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" windowWidth="19035" windowHeight="11505" activeTab="8"/>
  </bookViews>
  <sheets>
    <sheet name="Sch 2, 3 of 3" sheetId="12" r:id="rId1"/>
    <sheet name="MFR G-7 TY" sheetId="29" r:id="rId2"/>
    <sheet name="Int Synch" sheetId="40" r:id="rId3"/>
    <sheet name="RRCOMB3" sheetId="36" r:id="rId4"/>
    <sheet name="RRCOMB4" sheetId="37" r:id="rId5"/>
    <sheet name="RRCOMB2" sheetId="38" r:id="rId6"/>
    <sheet name="MFR G-8 TY" sheetId="30" r:id="rId7"/>
    <sheet name="MFR G-9 TY" sheetId="31" r:id="rId8"/>
    <sheet name="MFR G-11 TY" sheetId="32" r:id="rId9"/>
    <sheet name="Juris Rev Backup" sheetId="39" r:id="rId10"/>
    <sheet name="Sch 4" sheetId="16" r:id="rId11"/>
    <sheet name="Sch 1" sheetId="9" r:id="rId12"/>
    <sheet name="Sch 2, 1 of 3" sheetId="10" r:id="rId13"/>
    <sheet name="Sch 2, 2 of 3" sheetId="11" r:id="rId14"/>
    <sheet name="Sch 3, 1 of 3" sheetId="13" r:id="rId15"/>
    <sheet name="Sch 3, 2 of 3" sheetId="14" r:id="rId16"/>
    <sheet name="Sch 3, 3 of 3" sheetId="15" r:id="rId17"/>
    <sheet name="Sch 5" sheetId="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D" hidden="1">RRCOMB3!$H$327:$H$327</definedName>
    <definedName name="_12MECCRPPCCOUR">[1]RRCOMB2!$L$148</definedName>
    <definedName name="_12MECCRPPCCREV">[1]RRCOMB2!$L$147</definedName>
    <definedName name="_12MOUPSINT" localSheetId="5">[1]RRCOMB3!$G$562</definedName>
    <definedName name="_12MOUPSINT" localSheetId="4">[1]RRCOMB3!$G$562</definedName>
    <definedName name="_12MOUPSINT">RRCOMB3!$G$562</definedName>
    <definedName name="_12MPERKS">[1]RRCOMB1!$N$29</definedName>
    <definedName name="_12MPPCCTX">RRCOMB2!$I$147</definedName>
    <definedName name="_12MTDBRR" localSheetId="5">[1]RRCOMB3!$C$1030</definedName>
    <definedName name="_12MTDBRR" localSheetId="4">[1]RRCOMB3!$C$1030</definedName>
    <definedName name="_12MTDBRR">RRCOMB3!$C$1030</definedName>
    <definedName name="_12MTDCONSREV">RRCOMB2!$B$147</definedName>
    <definedName name="_12MTDCRTX">RRCOMB2!$D$147</definedName>
    <definedName name="_12MTDFFR">RRCOMB3!$C$1038</definedName>
    <definedName name="_12MTDFRFEE">[1]RRCOMB1!$B$29</definedName>
    <definedName name="_12MTDJURFE">[1]RRCOMB2!$K$28</definedName>
    <definedName name="_12MTDNFR">RRCOMB2!$E$28</definedName>
    <definedName name="_12MTDOOR" localSheetId="5">[1]RRCOMB3!$C$1036</definedName>
    <definedName name="_12MTDOOR" localSheetId="4">[1]RRCOMB3!$C$1036</definedName>
    <definedName name="_12MTDOOR">RRCOMB3!$C$1036</definedName>
    <definedName name="_12MTDORREV" localSheetId="5">[1]RRCOMB3!$C$1041</definedName>
    <definedName name="_12MTDORREV" localSheetId="4">[1]RRCOMB3!$C$1041</definedName>
    <definedName name="_12MTDORREV">RRCOMB3!$C$1041</definedName>
    <definedName name="_12MTDPPCCOUR">RRCOMB2!$J$147</definedName>
    <definedName name="_12MTDPPCCREV">RRCOMB2!$G$147</definedName>
    <definedName name="_12MTDRET">RRCOMB3!$C$1032</definedName>
    <definedName name="_12MTDRETFC">[1]RRCOMB2!$B$28</definedName>
    <definedName name="_12MTDREVTX">RRCOMB2!$L$28</definedName>
    <definedName name="_12MTDROE">[1]RRCOMB2!$D$28</definedName>
    <definedName name="_12MTDSCHE" localSheetId="5">[1]RRCOMB3!$C$1039</definedName>
    <definedName name="_12MTDSCHE" localSheetId="4">[1]RRCOMB3!$C$1039</definedName>
    <definedName name="_12MTDSCHE">RRCOMB3!$C$1039</definedName>
    <definedName name="_12MTDTFE">RRCOMB2!$O$111</definedName>
    <definedName name="_12MTDTNF">[1]RRCOMB2!$B$111</definedName>
    <definedName name="_12MTDUPS">RRCOMB3!$C$1034</definedName>
    <definedName name="_12MTDUPSFRE">[1]RRCOMB2!$N$51</definedName>
    <definedName name="_12MTDUPSNF" localSheetId="5">[1]RRCOMB3!$C$1040</definedName>
    <definedName name="_12MTDUPSNF" localSheetId="4">[1]RRCOMB3!$C$1040</definedName>
    <definedName name="_12MTDUPSNF">RRCOMB3!$C$1040</definedName>
    <definedName name="_12MTDWHOL">RRCOMB3!$C$1033</definedName>
    <definedName name="_12MTDWSFR">RRCOMB2!$E$51</definedName>
    <definedName name="_12MUOREXP">RRCOMB2!$E$147</definedName>
    <definedName name="_13M_A_D3FL">RRCOMB3!$F$56</definedName>
    <definedName name="_13MA3ITC">RRCOMB3!$F$326</definedName>
    <definedName name="_13MA4ITC">RRCOMB3!$I$326</definedName>
    <definedName name="_13MAAPWR">RRCOMB3!$M$326</definedName>
    <definedName name="_13MACDD">[1]RRCOMB1A!$C$182</definedName>
    <definedName name="_13MACDP">RRCOMB3!$E$326</definedName>
    <definedName name="_13MACEQ">RRCOMB3!$H$326</definedName>
    <definedName name="_13MACWIP">RRCOMB3!$E$29</definedName>
    <definedName name="_13MADANIEL">RRCOMB2!$O$294</definedName>
    <definedName name="_13MADCCDEPR">RRCOMB3!$L$29</definedName>
    <definedName name="_13MADECTRAN">RRCOMB3!$BG$29:$BM$52</definedName>
    <definedName name="_13MADFTX" localSheetId="5">[1]RRCOMB3!$G$326</definedName>
    <definedName name="_13MADFTX" localSheetId="4">[1]RRCOMB3!$G$326</definedName>
    <definedName name="_13MADFTX">RRCOMB3!$G$326</definedName>
    <definedName name="_13MAIDCC">RRCOMB3!$K$29</definedName>
    <definedName name="_13MAINTBCWIP">RRCOMB3!$G$29</definedName>
    <definedName name="_13MALLDEPR" localSheetId="5">[1]RRCOMB3!$O$29</definedName>
    <definedName name="_13MALLDEPR" localSheetId="4">[1]RRCOMB3!$O$29</definedName>
    <definedName name="_13MALLDEPR">RRCOMB3!$O$29</definedName>
    <definedName name="_13MALLNIBCWIP">RRCOMB3!$M$29</definedName>
    <definedName name="_13MALLPIS" localSheetId="5">[1]RRCOMB3!$N$29</definedName>
    <definedName name="_13MALLPIS" localSheetId="4">[1]RRCOMB3!$N$29</definedName>
    <definedName name="_13MALLPIS">RRCOMB3!$N$29</definedName>
    <definedName name="_13MALM">RRCOMB2!$N$294</definedName>
    <definedName name="_13MANB">[1]RRCOMB1!$D$748</definedName>
    <definedName name="_13MANNUP" localSheetId="5">[1]RRCOMB3!$L$326</definedName>
    <definedName name="_13MANNUP" localSheetId="4">[1]RRCOMB3!$L$326</definedName>
    <definedName name="_13MANNUP">RRCOMB3!$L$326</definedName>
    <definedName name="_13MAP_BRES">[1]RRCOMB1A!$K$516</definedName>
    <definedName name="_13MAPHFU">RRCOMB3!$C$29</definedName>
    <definedName name="_13MAPIS3FL">RRCOMB3!$G$56</definedName>
    <definedName name="_13MAPRSK">RRCOMB3!$D$326</definedName>
    <definedName name="_13MASCH_A_D">RRCOMB3!$N$56</definedName>
    <definedName name="_13MASCHINV">RRCOMB3!$M$56</definedName>
    <definedName name="_13MASEPTRAN">RRCOMB3!$BG$1:$BM$25</definedName>
    <definedName name="_13MASO2A">[1]RRCOMB1A!$H$156</definedName>
    <definedName name="_13MASO2CR">[1]RRCOMB1A!$K$477</definedName>
    <definedName name="_13MAUDR">RRCOMB3!$D$29</definedName>
    <definedName name="_13MAUPIS">RRCOMB3!$B$29</definedName>
    <definedName name="_13MBUSDEVA_D">RRCOMB3!$I$56</definedName>
    <definedName name="_13MBUSDVINV">RRCOMB3!$H$56</definedName>
    <definedName name="_13MNVYHSA_D">RRCOMB3!$L$56</definedName>
    <definedName name="_13MNVYHSINV">RRCOMB3!$K$56</definedName>
    <definedName name="_13NUTAD">RRCOMB3!$O$56</definedName>
    <definedName name="_13NUTPS">RRCOMB3!$P$29</definedName>
    <definedName name="_13PBEQUITY">RRCOMB2!$O$266</definedName>
    <definedName name="_13PBSTDT">RRCOMB2!$N$266</definedName>
    <definedName name="_13PHFUSODFM">RRCOMB3!$J$56</definedName>
    <definedName name="_88TAXREFADJ" localSheetId="5">[1]RRCOMB3!$E$1030</definedName>
    <definedName name="_88TAXREFADJ" localSheetId="4">[1]RRCOMB3!$E$1030</definedName>
    <definedName name="_88TAXREFADJ">RRCOMB3!$E$1030</definedName>
    <definedName name="_Key1" localSheetId="3" hidden="1">RRCOMB3!$BB$1</definedName>
    <definedName name="_Key1" localSheetId="4" hidden="1">RRCOMB4!$AF$26</definedName>
    <definedName name="_Key2" localSheetId="3" hidden="1">RRCOMB3!$BB$1</definedName>
    <definedName name="_Key2" localSheetId="4" hidden="1">RRCOMB4!$AF$26</definedName>
    <definedName name="_M2">RRCOMB3!$AO$40</definedName>
    <definedName name="_Order1" hidden="1">255</definedName>
    <definedName name="_Order2" hidden="1">255</definedName>
    <definedName name="_PG1">RRCOMB3!$A$300:$N$359</definedName>
    <definedName name="_PG2">RRCOMB3!$A$420:$N$480</definedName>
    <definedName name="_PG3">RRCOMB3!$A$1021:$M$1080</definedName>
    <definedName name="_PG4">RRCOMB3!$A$541:$O$594</definedName>
    <definedName name="_Regression_Int" localSheetId="5" hidden="1">1</definedName>
    <definedName name="_Regression_Int" localSheetId="3" hidden="1">1</definedName>
    <definedName name="_Regression_Int" localSheetId="4" hidden="1">1</definedName>
    <definedName name="_SCH1">RRCOMB3!$A$1295:$H$1353</definedName>
    <definedName name="_Sort" localSheetId="5" hidden="1">RRCOMB2!$IT$1:$IU$61</definedName>
    <definedName name="_Sort" localSheetId="4" hidden="1">RRCOMB4!$AE$26:$AF$40</definedName>
    <definedName name="_SYS1">RRCOMB2!$A$421:$J$476</definedName>
    <definedName name="_SYS2">RRCOMB2!$A$497:$J$553</definedName>
    <definedName name="AFUDCT">RRCOMB2!$O$370</definedName>
    <definedName name="AINTSYNC">RRCOMB3!$H$594</definedName>
    <definedName name="ANALYS1">RRCOMB2!$A$616:$O$671</definedName>
    <definedName name="ANALYS2">RRCOMB2!$A$736:$M$789</definedName>
    <definedName name="ANLY1">RRCOMB2!$A$616:$O$671</definedName>
    <definedName name="ANLY2">RRCOMB2!$A$736:$M$789</definedName>
    <definedName name="ANNCOSTNUPS">[1]RRCOMB1!$K$745</definedName>
    <definedName name="APPLDEPR">RRCOMB3!$J$29</definedName>
    <definedName name="APPLINVT">RRCOMB3!$I$29</definedName>
    <definedName name="ATCPESTKCR">[1]RRCOMB1!$H$700</definedName>
    <definedName name="BALSHEXCD">RRCOMB3!$L$383</definedName>
    <definedName name="BONDSNUPS">[1]RRCOMB1!$G$745</definedName>
    <definedName name="CABALSH">RRCOMB2!$C$280</definedName>
    <definedName name="CAPINBASE">RRCOMB3!$R$1036</definedName>
    <definedName name="CARBI">RRCOMB2!$D$280</definedName>
    <definedName name="CDIV">RRCOMB2!$O$369</definedName>
    <definedName name="CLBALSH">RRCOMB2!$C$289</definedName>
    <definedName name="CLCSI">RRCOMB2!$E$289</definedName>
    <definedName name="CLITDFE">RRCOMB2!$IV$8131</definedName>
    <definedName name="CLRBI">RRCOMB2!$D$289</definedName>
    <definedName name="CM">[2]Detail!$G$1:$G$2000</definedName>
    <definedName name="CMJURROE">RRCOMB2!$M$647</definedName>
    <definedName name="COMDIVDECL">[1]RRCOMB1A!$C$179</definedName>
    <definedName name="COMEQUITY">RRCOMB2!$C$670</definedName>
    <definedName name="COMMEQ13MA">RRCOMB3!$J$430</definedName>
    <definedName name="Competetive_Prem_Transactions">RRCOMB3!$P$1081:$W$1130</definedName>
    <definedName name="CONST">[1]RRCOMB2!$O$387</definedName>
    <definedName name="CR">[1]RRCOMB4!$E$71</definedName>
    <definedName name="CROR">[1]RRCOMB4!$E$72</definedName>
    <definedName name="CSTRTNB">RRCOMB3!$C$449</definedName>
    <definedName name="CSTRTPS">RRCOMB3!$E$449</definedName>
    <definedName name="_xlnm.Database">RRCOMB3!$1:$3179</definedName>
    <definedName name="Database_MI">RRCOMB3!$1:$3179</definedName>
    <definedName name="DCCSI">RRCOMB2!$E$290</definedName>
    <definedName name="DCITDFE">RRCOMB2!$IV$8131</definedName>
    <definedName name="DCRBI">RRCOMB2!$D$290</definedName>
    <definedName name="DDRBI">RRCOMB2!$D$281</definedName>
    <definedName name="DEFTAXN">RRCOMB2!$O$372</definedName>
    <definedName name="DEFTX13MA" localSheetId="5">[1]RRCOMB3!$H$430</definedName>
    <definedName name="DEFTX13MA" localSheetId="4">[1]RRCOMB3!$H$430</definedName>
    <definedName name="DEFTX13MA">RRCOMB3!$H$430</definedName>
    <definedName name="DEFTXCR">RRCOMB2!$G$261</definedName>
    <definedName name="DEFTXDR">RRCOMB2!$K$261</definedName>
    <definedName name="DEP_A">RRCOMB2!$O$371</definedName>
    <definedName name="ECONPROF" localSheetId="3">RRCOMB3!$D$1570</definedName>
    <definedName name="ECONPROF">RRCOMB2!$IJ$148</definedName>
    <definedName name="ENDBAL">[2]Detail!$I$1:$I$2000</definedName>
    <definedName name="ERCNOI">RRCOMB3!$A$1653:$U$1747</definedName>
    <definedName name="ERCRB">RRCOMB3!$A$1602:$J$1652</definedName>
    <definedName name="FERC">[2]Detail!$B$1:$B$2000</definedName>
    <definedName name="FININT">RRCOMB3!$A$1355:$J$1414</definedName>
    <definedName name="FININTEG">RRCOMB3!$A$1355:$J$1414</definedName>
    <definedName name="FININTG">RRCOMB3!$A$1355:$J$1413</definedName>
    <definedName name="FPSCADJROE">RRCOMB3!$H$336</definedName>
    <definedName name="FPSCAJOE">RRCOMB3!$L$941</definedName>
    <definedName name="FPSCAJOR">RRCOMB3!$C$941</definedName>
    <definedName name="FPSCAJPIS">RRCOMB3!$E$165</definedName>
    <definedName name="FPSCAJWC">RRCOMB3!$J$165</definedName>
    <definedName name="FPSCCWIP">RRCOMB3!$G$165</definedName>
    <definedName name="FPSCPHFU">RRCOMB3!$F$165</definedName>
    <definedName name="GSUSETTLE">RRCOMB3!$D$1051</definedName>
    <definedName name="INCONSEXP">RRCOMB3!$M$1055</definedName>
    <definedName name="ITC13MA" localSheetId="5">[1]RRCOMB3!$K$430</definedName>
    <definedName name="ITC13MA" localSheetId="4">[1]RRCOMB3!$K$430</definedName>
    <definedName name="ITC13MA">RRCOMB3!$K$430</definedName>
    <definedName name="ITCF">RRCOMB2!$O$373</definedName>
    <definedName name="Ivan_Recovery">[1]RRCOMB4!$A$177:'[1]RRCOMB4'!$I$238</definedName>
    <definedName name="JURCOMEQRA">RRCOMB3!$H$339</definedName>
    <definedName name="JURCWIP">RRCOMB2!$C$647</definedName>
    <definedName name="JURETURN">RRCOMB3!$E$1449:$IV$3352</definedName>
    <definedName name="JUREXP">RRCOMB2!$C$631</definedName>
    <definedName name="JURNPIS">RRCOMB2!$C$644</definedName>
    <definedName name="JURPHFU">RRCOMB2!$C$650</definedName>
    <definedName name="JURREV">RRCOMB2!$C$629</definedName>
    <definedName name="JURROE">RRCOMB3!$H$341</definedName>
    <definedName name="JURWC">RRCOMB2!$C$641</definedName>
    <definedName name="LTDCSI">RRCOMB2!$E$288</definedName>
    <definedName name="MACROS">RRCOMB3!$AO$1</definedName>
    <definedName name="MAPItemSort">#REF!</definedName>
    <definedName name="MEMO">RRCOMB3!$A$1502:$E$1528</definedName>
    <definedName name="MenuFormHeight">#REF!</definedName>
    <definedName name="MenuFormWidth">#REF!</definedName>
    <definedName name="MONFUELSAV" localSheetId="5">[1]RRCOMB3!$S$1036</definedName>
    <definedName name="MONFUELSAV" localSheetId="4">[1]RRCOMB3!$S$1036</definedName>
    <definedName name="MONFUELSAV">RRCOMB3!$S$1036</definedName>
    <definedName name="NBCSTRATE">RRCOMB3!$C$389</definedName>
    <definedName name="NETBONDS13MA" localSheetId="5">[1]RRCOMB3!$C$430</definedName>
    <definedName name="NETBONDS13MA" localSheetId="4">[1]RRCOMB3!$C$430</definedName>
    <definedName name="NETBONDS13MA">RRCOMB3!$C$430</definedName>
    <definedName name="NETPRIN">[1]RRCOMB1!$D$685</definedName>
    <definedName name="NIBPSTK">RRCOMB2!$O$367</definedName>
    <definedName name="NPISRBI">RRCOMB2!$D$278</definedName>
    <definedName name="NPSITDFE">RRCOMB2!$IV$8131</definedName>
    <definedName name="OOREV">RRCOMB4!$E$82</definedName>
    <definedName name="ORRBI">RRCOMB2!$D$291</definedName>
    <definedName name="OTHER">[1]RRCOMB4!$E$84</definedName>
    <definedName name="OTHERFDS">RRCOMB2!$O$374</definedName>
    <definedName name="PAGE1_2">RRCOMB2!$A$1:$O$52</definedName>
    <definedName name="PAGE1_3">RRCOMB3!$A$1:$O$57</definedName>
    <definedName name="PAGE1_4">RRCOMB4!$A$1:$I$42</definedName>
    <definedName name="PAGE10_2">RRCOMB2!$A$616:$O$671</definedName>
    <definedName name="PAGE10_3">RRCOMB3!$A$541:$O$596</definedName>
    <definedName name="PAGE11_2">RRCOMB2!$A$676:$M$729</definedName>
    <definedName name="PAGE11_3">RRCOMB3!$A$600:$N$659</definedName>
    <definedName name="PAGE12_2">RRCOMB2!$A$736:$M$789</definedName>
    <definedName name="PAGE12_3">RRCOMB3!$A$661:$M$720</definedName>
    <definedName name="PAGE13_2">RRCOMB2!$A$796:$O$851</definedName>
    <definedName name="PAGE13_3">RRCOMB3!$A$722:$N$743</definedName>
    <definedName name="PAGE14_3">RRCOMB3!$A$781:$H$831</definedName>
    <definedName name="PAGE15_3">RRCOMB3!$A$840:$W$884</definedName>
    <definedName name="PAGE16_3">RRCOMB3!$A$900:$N$960</definedName>
    <definedName name="PAGE17_3">RRCOMB3!$A$961:$N$1017</definedName>
    <definedName name="PAGE18">RRCOMB3!$A$1018:$M$1079</definedName>
    <definedName name="PAGE18A">RRCOMB3!$P$1017:$AC$1076</definedName>
    <definedName name="PAGE19">RRCOMB3!$A$1081:$M$1139</definedName>
    <definedName name="PAGE2_2">RRCOMB2!$A$61:$O$112</definedName>
    <definedName name="PAGE2_3">RRCOMB3!$A$61:$K$118</definedName>
    <definedName name="PAGE2_4">RRCOMB4!$A$61:$L$113</definedName>
    <definedName name="PAGE20">RRCOMB3!$A$1142:$K$1171</definedName>
    <definedName name="PAGE21">RRCOMB3!$A$1204:$E$1238</definedName>
    <definedName name="PAGE22">RRCOMB3!$A$1262:$F$1287</definedName>
    <definedName name="PAGE23">RRCOMB3!$A$1295:$H$1353</definedName>
    <definedName name="PAGE24">RRCOMB3!$A$1355:$J$1414</definedName>
    <definedName name="PAGE25">RRCOMB3!$A$1422:$E$1480</definedName>
    <definedName name="PAGE26">RRCOMB3!$A$1502:$E$1528</definedName>
    <definedName name="PAGE27">RRCOMB3!$A$1552:$D$1570</definedName>
    <definedName name="PAGE28">RRCOMB3!$A$1602:$J$1655</definedName>
    <definedName name="PAGE29">RRCOMB3!$A$1653:$U$1747</definedName>
    <definedName name="PAGE3_2">RRCOMB2!$A$121:$J$148</definedName>
    <definedName name="PAGE3_3">RRCOMB3!$A$121:$K$179</definedName>
    <definedName name="PAGE3_4">RRCOMB4!$A$121:$M$173</definedName>
    <definedName name="PAGE30">RRCOMB3!$A$1757:$I$1796</definedName>
    <definedName name="PAGE31">RRCOMB3!$A$1797:$U$1851</definedName>
    <definedName name="PAGE32">RRCOMB3!$P$1081:$W$1129</definedName>
    <definedName name="PAGE4_2">RRCOMB2!$A$181:$I$232</definedName>
    <definedName name="PAGE4_3">RRCOMB3!$A$181:$L$229</definedName>
    <definedName name="PAGE4_4">RRCOMB4!$A$242:$E$277</definedName>
    <definedName name="PAGE5_2">RRCOMB2!$A$241:$O$299</definedName>
    <definedName name="PAGE5_3">RRCOMB3!$A$241:$K$298</definedName>
    <definedName name="PAGE5_4">RRCOMB4!$A$301:$E$337</definedName>
    <definedName name="PAGE6_2">RRCOMB2!$A$302:$F$333</definedName>
    <definedName name="PAGE6_3">RRCOMB3!$A$300:$O$356</definedName>
    <definedName name="PAGE6_4">RRCOMB4!$A$361:$G$409</definedName>
    <definedName name="PAGE7_2">RRCOMB2!$A$361:$O$419</definedName>
    <definedName name="PAGE7_3">RRCOMB3!$A$360:$N$411</definedName>
    <definedName name="PAGE8_2">RRCOMB2!$A$421:$J$476</definedName>
    <definedName name="PAGE8_3">RRCOMB3!$A$420:$N$477</definedName>
    <definedName name="PAGE9_2">RRCOMB2!$A$497:$J$553</definedName>
    <definedName name="PAGE9_3">RRCOMB3!$A$480:$O$505</definedName>
    <definedName name="PCCSI">RRCOMB2!$E$287</definedName>
    <definedName name="PDIV">RRCOMB2!$O$368</definedName>
    <definedName name="PE_A_D3FL">RRCOMB3!$F$52</definedName>
    <definedName name="PE3ITC">RRCOMB3!$F$321</definedName>
    <definedName name="PE4ITC">RRCOMB3!$I$322</definedName>
    <definedName name="PEBUSDV_A_D">RRCOMB3!$I$52</definedName>
    <definedName name="PEBUSDVINV">RRCOMB3!$H$52</definedName>
    <definedName name="PECOMEQ">RRCOMB3!$H$322</definedName>
    <definedName name="PECSBONDS">RRCOMB3!$C$620</definedName>
    <definedName name="PECSCRB">RRCOMB3!$C$647</definedName>
    <definedName name="PECSCRPS">RRCOMB3!$E$647</definedName>
    <definedName name="PECSCUSDEP">RRCOMB3!$F$620</definedName>
    <definedName name="PECSPRSTK">RRCOMB3!$E$620</definedName>
    <definedName name="PECSSTD">RRCOMB3!$D$620</definedName>
    <definedName name="PECWIP">RRCOMB3!$E$25</definedName>
    <definedName name="PEDANIEL">RRCOMB2!$O$290</definedName>
    <definedName name="PEDEFTX" localSheetId="5">[1]RRCOMB3!$G$322</definedName>
    <definedName name="PEDEFTX" localSheetId="4">[1]RRCOMB3!$G$322</definedName>
    <definedName name="PEDEFTX">RRCOMB3!$G$322</definedName>
    <definedName name="PEDEP">RRCOMB3!$E$322</definedName>
    <definedName name="PEDEPR">RRCOMB3!$D$25</definedName>
    <definedName name="PEEXDCCDEPR">RRCOMB3!$L$25</definedName>
    <definedName name="PEEXDCCINV">RRCOMB3!$K$25</definedName>
    <definedName name="PEEXINCWIP">RRCOMB3!$G$25</definedName>
    <definedName name="PEEXLLCWIP">RRCOMB3!$M$25</definedName>
    <definedName name="PEEXLLDEPR" localSheetId="5">[1]RRCOMB3!$O$25</definedName>
    <definedName name="PEEXLLDEPR" localSheetId="4">[1]RRCOMB3!$O$25</definedName>
    <definedName name="PEEXLLDEPR">RRCOMB3!$O$25</definedName>
    <definedName name="PEEXLLPIS" localSheetId="5">[1]RRCOMB3!$N$25</definedName>
    <definedName name="PEEXLLPIS" localSheetId="4">[1]RRCOMB3!$N$25</definedName>
    <definedName name="PEEXLLPIS">RRCOMB3!$N$25</definedName>
    <definedName name="PEEXSSDEPR">RRCOMB3!$J$25</definedName>
    <definedName name="PEEXSSINV">RRCOMB3!$I$25</definedName>
    <definedName name="PEINTSYNC">RRCOMB3!$H$829</definedName>
    <definedName name="PEJURBCR">RRCOMB3!$C$688</definedName>
    <definedName name="PEJURPSCR">RRCOMB3!$E$688</definedName>
    <definedName name="PELM">RRCOMB2!$N$290</definedName>
    <definedName name="PENETBOND">RRCOMB3!$B$322</definedName>
    <definedName name="PENTAD">RRCOMB3!$O$52</definedName>
    <definedName name="PENTPIS">RRCOMB3!$P$25</definedName>
    <definedName name="PENVYHSA_D">RRCOMB3!$L$52</definedName>
    <definedName name="PENVYHSINV">RRCOMB3!$K$52</definedName>
    <definedName name="PEPBEQUITY">RRCOMB2!$O$261</definedName>
    <definedName name="PEPBSTDT">RRCOMB2!$N$261</definedName>
    <definedName name="PEPHFU">RRCOMB3!$C$25</definedName>
    <definedName name="PEPHFUSOD">RRCOMB3!$J$52</definedName>
    <definedName name="PEPIS">RRCOMB3!$B$25</definedName>
    <definedName name="PEPIS3FL">RRCOMB3!$G$52</definedName>
    <definedName name="PEPREFR">RRCOMB3!$D$322</definedName>
    <definedName name="PERROR">RRCOMB4!$G$24</definedName>
    <definedName name="PESCH_A_D">RRCOMB3!$N$52</definedName>
    <definedName name="PESCHINV">RRCOMB3!$M$52</definedName>
    <definedName name="PESTD">RRCOMB3!$C$322</definedName>
    <definedName name="PEUPSFUEL">RRCOMB3!$IV$3352</definedName>
    <definedName name="PEUPSFURV">[1]RRCOMB2!$N$49</definedName>
    <definedName name="PPCCEXP">RRCOMB3!$T$1036</definedName>
    <definedName name="PRECSTRATE">RRCOMB3!$E$389</definedName>
    <definedName name="PRESTK13MA" localSheetId="5">[1]RRCOMB3!$E$430</definedName>
    <definedName name="PRESTK13MA" localSheetId="4">[1]RRCOMB3!$E$430</definedName>
    <definedName name="PRESTK13MA">RRCOMB3!$E$430</definedName>
    <definedName name="_xlnm.Print_Area" localSheetId="9">'Juris Rev Backup'!$A$1:$R$36</definedName>
    <definedName name="_xlnm.Print_Area" localSheetId="8">'MFR G-11 TY'!$A$1:$AC$54</definedName>
    <definedName name="_xlnm.Print_Area" localSheetId="1">'MFR G-7 TY'!$A$1:$N$53</definedName>
    <definedName name="_xlnm.Print_Area" localSheetId="6">'MFR G-8 TY'!$A$1:$K$45</definedName>
    <definedName name="_xlnm.Print_Area" localSheetId="7">'MFR G-9 TY'!$A$1:$L$264</definedName>
    <definedName name="_xlnm.Print_Area" localSheetId="5">RRCOMB2!$A$361:$O$396</definedName>
    <definedName name="_xlnm.Print_Area" localSheetId="3">RRCOMB3!$A$1021:$J$1068</definedName>
    <definedName name="_xlnm.Print_Area" localSheetId="4">RRCOMB4!$A$177:$E$202</definedName>
    <definedName name="Print_Area_MI" localSheetId="3">RRCOMB3!$A$840:$O$885</definedName>
    <definedName name="PRORATA">RRCOMB3!$A$3123:$E$3174</definedName>
    <definedName name="RBADJ">RRCOMB3!$K$76:$K$92</definedName>
    <definedName name="RBRR">RRCOMB4!$E$70</definedName>
    <definedName name="REMSCHER">RRCOMB3!$D$1659</definedName>
    <definedName name="REMSCHRTX">RRCOMB3!$D$1660</definedName>
    <definedName name="RETURN">RRCOMB3!$E$1460:$IV$3352</definedName>
    <definedName name="RETURNS">RRCOMB3!$A$1422:$E$1501</definedName>
    <definedName name="REVTX12M">RRCOMB2!$L$88</definedName>
    <definedName name="RFCR">RRCOMB4!$E$73</definedName>
    <definedName name="ROE">RRCOMB2!$C$667</definedName>
    <definedName name="ROREC">RRCOMB4!$E$74</definedName>
    <definedName name="RoundDigits" localSheetId="2">[3]Global_Setting!$C$6</definedName>
    <definedName name="RoundDigits">[4]Global_Setting!$C$6</definedName>
    <definedName name="SCHALCO_M">RRCOMB3!$M$864</definedName>
    <definedName name="SCHAMORTPROP">RRCOMB3!$AJ$864</definedName>
    <definedName name="SCHCAPEQLADJ">RRCOMB3!$O$884</definedName>
    <definedName name="SCHDEFDEBIT">[1]RRCOMB1A!$K$55</definedName>
    <definedName name="SCHERERREV">RRCOMB3!$E$1040</definedName>
    <definedName name="SCHOTHRTX">RRCOMB3!$N$864</definedName>
    <definedName name="SCHPROPINS">RRCOMB3!$IV$3352</definedName>
    <definedName name="SCHRADIT">RRCOMB3!$O$432:$R$457</definedName>
    <definedName name="SCHTRANSRNTL" localSheetId="5">[1]RRCOMB3!$L$864</definedName>
    <definedName name="SCHTRANSRNTL" localSheetId="4">[1]RRCOMB3!$L$864</definedName>
    <definedName name="SCHTRANSRNTL">RRCOMB3!$L$864</definedName>
    <definedName name="SEEF">RRCOMB4!$E$78</definedName>
    <definedName name="SEEOE_C">RRCOMB4!$E$79</definedName>
    <definedName name="STATION">RRCOMB3!$AB$847:$AH$888</definedName>
    <definedName name="Storm_Reserve">[1]RRCOMB1A!#REF!</definedName>
    <definedName name="STRIP" localSheetId="3">RRCOMB3!$IB$1:$IS$148</definedName>
    <definedName name="SUB">[2]Detail!$C$1:$C$2000</definedName>
    <definedName name="SUM">RRCOMB3!$A$3042:$L$3098</definedName>
    <definedName name="SUMMARY">RRCOMB3!$A$1502:$E$1533</definedName>
    <definedName name="SYSADJCON" localSheetId="3">RRCOMB3!$E$931</definedName>
    <definedName name="SYSADJCON">RRCOMB2!$I$452</definedName>
    <definedName name="UPSA_G">RRCOMB3!$H$864</definedName>
    <definedName name="UPSADA">RRCOMB3!$D$73</definedName>
    <definedName name="UPSAMRTITC">RRCOMB3!$J$864</definedName>
    <definedName name="UPSDEPR">RRCOMB3!$I$864</definedName>
    <definedName name="UPSFUEL">RRCOMB4!$E$80</definedName>
    <definedName name="UPSINVT3">[1]RRCOMB1!$I$166</definedName>
    <definedName name="UPSNOI">RRCOMB3!$A$1705:$G$1713</definedName>
    <definedName name="UPSNOI1">RRCOMB3!$A$840:$O$899</definedName>
    <definedName name="UPSNOITEST">RRCOMB3!$A$1700:$G$1713</definedName>
    <definedName name="UPSOE_C">RRCOMB4!$E$81</definedName>
    <definedName name="UPSOT">RRCOMB3!$K$864</definedName>
    <definedName name="UPSPLIS">RRCOMB3!$C$73</definedName>
    <definedName name="UPSPRODNOF">RRCOMB3!$F$864</definedName>
    <definedName name="UPSTAXADJ">RRCOMB2!$G$582</definedName>
    <definedName name="UPSTRANS">RRCOMB3!$G$864</definedName>
    <definedName name="VARO_M">RRCOMB3!$AB$848:$AH$872</definedName>
    <definedName name="Version">#REF!</definedName>
    <definedName name="Z">RRCOMB3!$A$6</definedName>
  </definedNames>
  <calcPr calcId="125725" calcMode="manual"/>
</workbook>
</file>

<file path=xl/calcChain.xml><?xml version="1.0" encoding="utf-8"?>
<calcChain xmlns="http://schemas.openxmlformats.org/spreadsheetml/2006/main">
  <c r="I112" i="31"/>
  <c r="I115"/>
  <c r="I118"/>
  <c r="F30" i="30"/>
  <c r="I30"/>
  <c r="K147" i="31"/>
  <c r="K115"/>
  <c r="J115" s="1"/>
  <c r="K109"/>
  <c r="J191"/>
  <c r="J167"/>
  <c r="D41" i="40"/>
  <c r="D18"/>
  <c r="F18"/>
  <c r="F23"/>
  <c r="F27"/>
  <c r="D19"/>
  <c r="F19"/>
  <c r="D20"/>
  <c r="F20"/>
  <c r="D21"/>
  <c r="F21"/>
  <c r="A59"/>
  <c r="E46"/>
  <c r="E45"/>
  <c r="F25"/>
  <c r="F41"/>
  <c r="F40"/>
  <c r="F39"/>
  <c r="F43"/>
  <c r="F38"/>
  <c r="M48"/>
  <c r="M47"/>
  <c r="E49"/>
  <c r="J194" i="31"/>
  <c r="J164"/>
  <c r="J161"/>
  <c r="J155"/>
  <c r="J112"/>
  <c r="Y27" i="32"/>
  <c r="G29" i="39"/>
  <c r="G9"/>
  <c r="Y39" i="32"/>
  <c r="I203" i="31"/>
  <c r="M197"/>
  <c r="M194"/>
  <c r="Q38" i="32"/>
  <c r="Q39" s="1"/>
  <c r="M25"/>
  <c r="K31"/>
  <c r="AA31"/>
  <c r="K32"/>
  <c r="U32"/>
  <c r="AA32" s="1"/>
  <c r="K33"/>
  <c r="AA33"/>
  <c r="AC33"/>
  <c r="K34"/>
  <c r="AA34"/>
  <c r="K35"/>
  <c r="AA35"/>
  <c r="K36"/>
  <c r="M36" s="1"/>
  <c r="K37"/>
  <c r="AA37"/>
  <c r="K38"/>
  <c r="M38"/>
  <c r="O38"/>
  <c r="S38"/>
  <c r="S39" s="1"/>
  <c r="K25"/>
  <c r="O25"/>
  <c r="S25"/>
  <c r="W25"/>
  <c r="W26" s="1"/>
  <c r="W28" s="1"/>
  <c r="W41" s="1"/>
  <c r="K27"/>
  <c r="AA27"/>
  <c r="K17"/>
  <c r="M17"/>
  <c r="O17"/>
  <c r="Q17"/>
  <c r="S17"/>
  <c r="U17"/>
  <c r="K18"/>
  <c r="M18"/>
  <c r="O18"/>
  <c r="Q18"/>
  <c r="S18"/>
  <c r="U18"/>
  <c r="K19"/>
  <c r="M19"/>
  <c r="O19"/>
  <c r="Q19"/>
  <c r="U19"/>
  <c r="K20"/>
  <c r="M20"/>
  <c r="O20"/>
  <c r="Q20"/>
  <c r="S20"/>
  <c r="S24"/>
  <c r="S26" s="1"/>
  <c r="S28" s="1"/>
  <c r="H17" i="30" s="1"/>
  <c r="U20" i="32"/>
  <c r="K21"/>
  <c r="AC21" s="1"/>
  <c r="AA21"/>
  <c r="K22"/>
  <c r="AC22" s="1"/>
  <c r="AA22"/>
  <c r="K23"/>
  <c r="AC23" s="1"/>
  <c r="AA23"/>
  <c r="Q58"/>
  <c r="Y24"/>
  <c r="Y26"/>
  <c r="Y28"/>
  <c r="Y41"/>
  <c r="O39"/>
  <c r="G18" i="30" s="1"/>
  <c r="U39" i="32"/>
  <c r="I18" i="30" s="1"/>
  <c r="I65" i="31"/>
  <c r="I68"/>
  <c r="I33"/>
  <c r="G29" i="29" s="1"/>
  <c r="I74" i="31"/>
  <c r="G30" i="29" s="1"/>
  <c r="I155" i="31"/>
  <c r="K155" s="1"/>
  <c r="I161"/>
  <c r="K161" s="1"/>
  <c r="I164"/>
  <c r="K164" s="1"/>
  <c r="I167"/>
  <c r="K167" s="1"/>
  <c r="I191"/>
  <c r="K191" s="1"/>
  <c r="I194"/>
  <c r="K194" s="1"/>
  <c r="I197"/>
  <c r="K197" s="1"/>
  <c r="I59"/>
  <c r="K59" s="1"/>
  <c r="I77"/>
  <c r="H28" i="30" s="1"/>
  <c r="I158" i="31"/>
  <c r="K158" s="1"/>
  <c r="J65"/>
  <c r="K74"/>
  <c r="K77"/>
  <c r="I21"/>
  <c r="I27"/>
  <c r="K27"/>
  <c r="K40" i="29"/>
  <c r="F40"/>
  <c r="H40" s="1"/>
  <c r="J40" s="1"/>
  <c r="L40" s="1"/>
  <c r="N40" s="1"/>
  <c r="F36"/>
  <c r="K36"/>
  <c r="F37"/>
  <c r="K37"/>
  <c r="K39"/>
  <c r="F39"/>
  <c r="H39" s="1"/>
  <c r="J39" s="1"/>
  <c r="L39" s="1"/>
  <c r="N39" s="1"/>
  <c r="D27"/>
  <c r="F27"/>
  <c r="D28"/>
  <c r="F28"/>
  <c r="D30"/>
  <c r="F30"/>
  <c r="L29"/>
  <c r="N29"/>
  <c r="D29"/>
  <c r="K31"/>
  <c r="D32"/>
  <c r="F32"/>
  <c r="K32"/>
  <c r="D33"/>
  <c r="F33" s="1"/>
  <c r="H33" s="1"/>
  <c r="J33" s="1"/>
  <c r="L33" s="1"/>
  <c r="N33" s="1"/>
  <c r="K33"/>
  <c r="D34"/>
  <c r="F34" s="1"/>
  <c r="H34" s="1"/>
  <c r="J34" s="1"/>
  <c r="L34" s="1"/>
  <c r="N34" s="1"/>
  <c r="K34"/>
  <c r="G24" i="32"/>
  <c r="G26"/>
  <c r="G28"/>
  <c r="K19" i="29"/>
  <c r="K22" s="1"/>
  <c r="K45" s="1"/>
  <c r="G39" i="32"/>
  <c r="D20" i="29"/>
  <c r="F20" s="1"/>
  <c r="K203" i="31"/>
  <c r="K24"/>
  <c r="K106"/>
  <c r="K121"/>
  <c r="K150"/>
  <c r="K152"/>
  <c r="G30" i="30"/>
  <c r="F25"/>
  <c r="J25" s="1"/>
  <c r="E30"/>
  <c r="N21" i="31"/>
  <c r="E22" i="29"/>
  <c r="I22"/>
  <c r="E42"/>
  <c r="E45"/>
  <c r="I42"/>
  <c r="I45"/>
  <c r="J35" i="30"/>
  <c r="J36"/>
  <c r="J37"/>
  <c r="V28" i="31"/>
  <c r="Z28"/>
  <c r="V29"/>
  <c r="V30" s="1"/>
  <c r="Z29"/>
  <c r="V34"/>
  <c r="V48"/>
  <c r="Z34"/>
  <c r="Z48" s="1"/>
  <c r="V41"/>
  <c r="V50" s="1"/>
  <c r="R69"/>
  <c r="T69"/>
  <c r="T82" s="1"/>
  <c r="R70"/>
  <c r="T70" s="1"/>
  <c r="R71"/>
  <c r="T71" s="1"/>
  <c r="R72"/>
  <c r="T72" s="1"/>
  <c r="T76"/>
  <c r="T92" s="1"/>
  <c r="T77"/>
  <c r="T78"/>
  <c r="T79"/>
  <c r="T80"/>
  <c r="T91"/>
  <c r="I24" i="32"/>
  <c r="W24"/>
  <c r="I26"/>
  <c r="I28"/>
  <c r="I39"/>
  <c r="I41"/>
  <c r="W39"/>
  <c r="C54"/>
  <c r="F29" i="29"/>
  <c r="AA69" i="32"/>
  <c r="H26" i="30"/>
  <c r="P27" s="1"/>
  <c r="J74" i="31"/>
  <c r="AC34" i="32"/>
  <c r="I27" i="30"/>
  <c r="Q27" s="1"/>
  <c r="J68" i="31"/>
  <c r="AA38" i="32"/>
  <c r="AC38"/>
  <c r="AC37"/>
  <c r="I28" i="30"/>
  <c r="R21" i="29"/>
  <c r="K71" i="31"/>
  <c r="G31" i="29"/>
  <c r="G32"/>
  <c r="AC35" i="32"/>
  <c r="AC27"/>
  <c r="D31" i="29"/>
  <c r="F31" s="1"/>
  <c r="H31" s="1"/>
  <c r="J31" s="1"/>
  <c r="L31" s="1"/>
  <c r="M31" s="1"/>
  <c r="O24" i="32"/>
  <c r="K62" i="31" s="1"/>
  <c r="O26" i="32"/>
  <c r="O28" s="1"/>
  <c r="G17" i="30" s="1"/>
  <c r="G20" s="1"/>
  <c r="AA18" i="32"/>
  <c r="AC18" s="1"/>
  <c r="H32" i="29"/>
  <c r="J32" s="1"/>
  <c r="L32" s="1"/>
  <c r="N32" s="1"/>
  <c r="D19"/>
  <c r="D22" s="1"/>
  <c r="G41" i="32"/>
  <c r="F31" i="40"/>
  <c r="F30"/>
  <c r="I18" i="31"/>
  <c r="K18" s="1"/>
  <c r="K21"/>
  <c r="K68"/>
  <c r="K39" i="32"/>
  <c r="AC31"/>
  <c r="H30" i="30"/>
  <c r="K118" i="31"/>
  <c r="G34" i="29"/>
  <c r="K112" i="31"/>
  <c r="K42" i="29"/>
  <c r="K24" i="32"/>
  <c r="K26"/>
  <c r="K28" s="1"/>
  <c r="K41" s="1"/>
  <c r="M24"/>
  <c r="M26" s="1"/>
  <c r="M28" s="1"/>
  <c r="AA25"/>
  <c r="AC25" s="1"/>
  <c r="G8" i="39" s="1"/>
  <c r="G10" s="1"/>
  <c r="G12" s="1"/>
  <c r="AA17" i="32"/>
  <c r="E48" i="40"/>
  <c r="F49"/>
  <c r="F51"/>
  <c r="J27" i="30"/>
  <c r="AA20" i="32"/>
  <c r="AC20" s="1"/>
  <c r="Q24"/>
  <c r="Q26" s="1"/>
  <c r="Q28" s="1"/>
  <c r="F17" i="30" s="1"/>
  <c r="E23"/>
  <c r="F33" i="40"/>
  <c r="F55"/>
  <c r="F54"/>
  <c r="F57"/>
  <c r="AC17" i="32"/>
  <c r="R20" i="29"/>
  <c r="J23" i="30"/>
  <c r="O23" s="1"/>
  <c r="AA36" i="32" l="1"/>
  <c r="AC36" s="1"/>
  <c r="M39"/>
  <c r="E18" i="30" s="1"/>
  <c r="AA19" i="32"/>
  <c r="T89" i="31"/>
  <c r="Z30"/>
  <c r="Z32" s="1"/>
  <c r="J30" i="30"/>
  <c r="H29" i="29"/>
  <c r="K65" i="31"/>
  <c r="H30" i="29"/>
  <c r="J30" s="1"/>
  <c r="L30" s="1"/>
  <c r="N30" s="1"/>
  <c r="T74" i="31"/>
  <c r="R75"/>
  <c r="L30" i="30"/>
  <c r="O30"/>
  <c r="AC19" i="32"/>
  <c r="AC24" s="1"/>
  <c r="AA24"/>
  <c r="AA26" s="1"/>
  <c r="AA28" s="1"/>
  <c r="AC32"/>
  <c r="AC39" s="1"/>
  <c r="AA39"/>
  <c r="AA41" s="1"/>
  <c r="AA70" s="1"/>
  <c r="F42" i="29"/>
  <c r="I62" i="31"/>
  <c r="M41" i="32"/>
  <c r="M70" s="1"/>
  <c r="E17" i="30"/>
  <c r="R74" i="31"/>
  <c r="V32"/>
  <c r="S41" i="32"/>
  <c r="S70" s="1"/>
  <c r="H18" i="30"/>
  <c r="F18"/>
  <c r="Q41" i="32"/>
  <c r="Q70" s="1"/>
  <c r="G20" i="29"/>
  <c r="P21" s="1"/>
  <c r="H20" i="30"/>
  <c r="U24" i="32"/>
  <c r="U26" s="1"/>
  <c r="U28" s="1"/>
  <c r="I17" i="30" s="1"/>
  <c r="I20" s="1"/>
  <c r="F19" i="29"/>
  <c r="G27"/>
  <c r="O41" i="32"/>
  <c r="O70" s="1"/>
  <c r="J26" i="30"/>
  <c r="G24"/>
  <c r="D42" i="29"/>
  <c r="D45" s="1"/>
  <c r="U71" i="31"/>
  <c r="O27" i="30"/>
  <c r="AB34" i="31"/>
  <c r="R73" s="1"/>
  <c r="T73" s="1"/>
  <c r="G28" i="29"/>
  <c r="H28" s="1"/>
  <c r="J28" s="1"/>
  <c r="L28" s="1"/>
  <c r="N28" s="1"/>
  <c r="J77" i="31"/>
  <c r="Z41"/>
  <c r="Z50" s="1"/>
  <c r="T75" s="1"/>
  <c r="S75" s="1"/>
  <c r="K33"/>
  <c r="F28" i="30"/>
  <c r="H20" i="29" l="1"/>
  <c r="J20" s="1"/>
  <c r="L20" s="1"/>
  <c r="G14" i="39"/>
  <c r="G15" s="1"/>
  <c r="N19" i="29" s="1"/>
  <c r="AC26" i="32"/>
  <c r="AC28" s="1"/>
  <c r="AC41" s="1"/>
  <c r="J18" i="30"/>
  <c r="F20"/>
  <c r="G28" i="39"/>
  <c r="G31" s="1"/>
  <c r="G33" s="1"/>
  <c r="N20" i="29" s="1"/>
  <c r="U74" i="31"/>
  <c r="S74"/>
  <c r="U41" i="32"/>
  <c r="H27" i="29"/>
  <c r="G19"/>
  <c r="J28" i="30"/>
  <c r="O28" s="1"/>
  <c r="J24"/>
  <c r="F22" i="29"/>
  <c r="F45" s="1"/>
  <c r="H19"/>
  <c r="I32" i="30"/>
  <c r="I103" i="31"/>
  <c r="K103" s="1"/>
  <c r="I33" i="30"/>
  <c r="H33"/>
  <c r="H32"/>
  <c r="I71" i="31"/>
  <c r="E20" i="30"/>
  <c r="J17"/>
  <c r="G33"/>
  <c r="G32"/>
  <c r="AB50" i="31"/>
  <c r="AB55" s="1"/>
  <c r="T90" s="1"/>
  <c r="T94" s="1"/>
  <c r="J20" i="30" l="1"/>
  <c r="M20" i="29"/>
  <c r="G39" i="30"/>
  <c r="G41" s="1"/>
  <c r="I39"/>
  <c r="I41" s="1"/>
  <c r="O24"/>
  <c r="J27" i="29"/>
  <c r="N22"/>
  <c r="E32" i="30"/>
  <c r="I15" i="31"/>
  <c r="E33" i="30"/>
  <c r="J19" i="29"/>
  <c r="H22"/>
  <c r="P20"/>
  <c r="G22"/>
  <c r="F32" i="30"/>
  <c r="I30" i="31"/>
  <c r="K30" s="1"/>
  <c r="F33" i="30"/>
  <c r="H39"/>
  <c r="H41" s="1"/>
  <c r="G37" i="29" l="1"/>
  <c r="H37" s="1"/>
  <c r="J37" s="1"/>
  <c r="L37" s="1"/>
  <c r="N37" s="1"/>
  <c r="G36"/>
  <c r="K200" i="31"/>
  <c r="K207" s="1"/>
  <c r="L19" i="29"/>
  <c r="J22"/>
  <c r="J32" i="30"/>
  <c r="E39"/>
  <c r="E41" s="1"/>
  <c r="L27" i="29"/>
  <c r="F39" i="30"/>
  <c r="F41" s="1"/>
  <c r="J33"/>
  <c r="O33" s="1"/>
  <c r="I200" i="31"/>
  <c r="M21" s="1"/>
  <c r="M24" s="1"/>
  <c r="N27" i="29" l="1"/>
  <c r="O32" i="30"/>
  <c r="J39"/>
  <c r="J41" s="1"/>
  <c r="L41" s="1"/>
  <c r="L22" i="29"/>
  <c r="M19"/>
  <c r="H36"/>
  <c r="G42"/>
  <c r="I207" i="31"/>
  <c r="N199" s="1"/>
  <c r="J36" i="29" l="1"/>
  <c r="H42"/>
  <c r="H45" s="1"/>
  <c r="M22"/>
  <c r="P43"/>
  <c r="G45"/>
  <c r="L36" l="1"/>
  <c r="J42"/>
  <c r="J45" s="1"/>
  <c r="N36" l="1"/>
  <c r="N42" s="1"/>
  <c r="L42"/>
  <c r="L45" s="1"/>
  <c r="M42" l="1"/>
  <c r="N45"/>
  <c r="M45" s="1"/>
</calcChain>
</file>

<file path=xl/sharedStrings.xml><?xml version="1.0" encoding="utf-8"?>
<sst xmlns="http://schemas.openxmlformats.org/spreadsheetml/2006/main" count="10493" uniqueCount="3754">
  <si>
    <t>RETAIL FUEL REVENUES</t>
  </si>
  <si>
    <t>ECCR &amp; PPCC REVENUES</t>
  </si>
  <si>
    <t>INT ON TAX ASSESSMENT</t>
  </si>
  <si>
    <t>RECLASSIFY FINANCING EXPENSES</t>
  </si>
  <si>
    <t>ECON DEV EXPENSE TOTAL</t>
  </si>
  <si>
    <t>ECON DEV EXPENSE ALLOWED</t>
  </si>
  <si>
    <t>LIAISON EXPENSES</t>
  </si>
  <si>
    <t>CORP ADV &amp; WHOLESALE EXPENSES</t>
  </si>
  <si>
    <t>RETAIL FUEL EXPENSES</t>
  </si>
  <si>
    <t>ECCR AND PPCC EXPENSES</t>
  </si>
  <si>
    <t xml:space="preserve">FRANCHISE FEE </t>
  </si>
  <si>
    <t>GRT, FPSC FEES ON CLAUSES &amp; FFEES</t>
  </si>
  <si>
    <t>GROSS RECEIPTS TAX ADJUST</t>
  </si>
  <si>
    <t>TOTAL FPSC ADJUSTMENTS</t>
  </si>
  <si>
    <t>FPSC ADJUSTED</t>
  </si>
  <si>
    <t xml:space="preserve"> PRO FORMA REVENUE  ANNUALIZATION </t>
  </si>
  <si>
    <t xml:space="preserve">   ADJUSTMENTS</t>
  </si>
  <si>
    <t>OPERATING REVENUE INCREASE</t>
  </si>
  <si>
    <t>REVENUE NORMALIZATION ADJUSTMENT</t>
  </si>
  <si>
    <t>UNCOLLECTIBLE EXPENSE (.2416%)</t>
  </si>
  <si>
    <t>SMITH UNIT 3 RELATED EXPENSES</t>
  </si>
  <si>
    <t>FPSC ASSESS. FEES DUE TO</t>
  </si>
  <si>
    <t xml:space="preserve">  OPERATING REV INCREASE (.072%)</t>
  </si>
  <si>
    <t>INCOME TAX ADJUSTMENTS</t>
  </si>
  <si>
    <t>TOTAL PRO FORMA ADJUSTMENTS</t>
  </si>
  <si>
    <t>PRO FORMA ADJUSTED</t>
  </si>
  <si>
    <t>(a) THE ADDITION OF EARNINGS FROM AFUDC WOULD INCREASE THE SYSTEM NOI BY</t>
  </si>
  <si>
    <t>AND THE JURISDICTIONAL NOI BY</t>
  </si>
  <si>
    <t xml:space="preserve">   (b) ADJUSTMENT TO NORMALIZE BASE REVENUES IS PRIMARILY RELATED TO WEATHER CONDITIONS EXPERIENCED DURING THE 12 MONTH PERIOD</t>
  </si>
  <si>
    <t xml:space="preserve">YEAR END RATE OF RETURN  </t>
  </si>
  <si>
    <t>PAGE 1 OF 3</t>
  </si>
  <si>
    <t>RATE BASE</t>
  </si>
  <si>
    <t>ACCUMULATED</t>
  </si>
  <si>
    <t xml:space="preserve">CONSTRUCTION </t>
  </si>
  <si>
    <t>PLANT IN</t>
  </si>
  <si>
    <t>PROPERTY HELD</t>
  </si>
  <si>
    <t>WORK IN</t>
  </si>
  <si>
    <t>NUCLEAR FUEL</t>
  </si>
  <si>
    <t>WORKING</t>
  </si>
  <si>
    <t>SERVICE</t>
  </si>
  <si>
    <t>FOR FUTURE USE</t>
  </si>
  <si>
    <t>PROGRESS</t>
  </si>
  <si>
    <t>UTILITY PLANT</t>
  </si>
  <si>
    <t>CAPITAL</t>
  </si>
  <si>
    <t xml:space="preserve">  </t>
  </si>
  <si>
    <t>FPSC ADJUSTMENTS:</t>
  </si>
  <si>
    <t xml:space="preserve">INT BEARING CWIP </t>
  </si>
  <si>
    <t>ENERGY CONSERVATION CLAUSE</t>
  </si>
  <si>
    <t>LOANS TO EMPLOYEES AND RETIREES</t>
  </si>
  <si>
    <t>INTEREST AND DIVIDENDS RECEIVABLE</t>
  </si>
  <si>
    <t>NOTES RECEIVABLE</t>
  </si>
  <si>
    <t>FUNDED PROP RES &amp; OTHER INVESTMENTS</t>
  </si>
  <si>
    <t>FUEL RELATED DEFERRED DEBITS</t>
  </si>
  <si>
    <t>FLAME RESISTANT CLOTHING</t>
  </si>
  <si>
    <t>ACCRUED PROVISION FOR REFUND</t>
  </si>
  <si>
    <t>SALE OF RAILCARS</t>
  </si>
  <si>
    <t>PRO FORMA REVENUE AND</t>
  </si>
  <si>
    <t>ANNUALIZATION ADJUSTMENTS</t>
  </si>
  <si>
    <t>SCHEDULE 2</t>
  </si>
  <si>
    <t>AVERAGE RATE OF RETURN</t>
  </si>
  <si>
    <t xml:space="preserve">   CONSERVATION/AEM INVENTORY</t>
  </si>
  <si>
    <t xml:space="preserve">ECRC/ECCR EXPENSES </t>
  </si>
  <si>
    <t>ECCR and PPCC REVENUES</t>
  </si>
  <si>
    <t>GRT, FPSC FEES ON CLAUSES &amp; FEES</t>
  </si>
  <si>
    <t xml:space="preserve"> PRO FORMA REVENUE  ANNUALIZATION</t>
  </si>
  <si>
    <t>INTEREST SYNCH ADJ</t>
  </si>
  <si>
    <t xml:space="preserve">   AND THE JURISDICTIONAL NOI BY</t>
  </si>
  <si>
    <t>CURRENT MO. SYSTEM PER BOOKS</t>
  </si>
  <si>
    <t>CURRENT MO. JURIS PER BOOKS</t>
  </si>
  <si>
    <t xml:space="preserve">AVERAGE RATE OF RETURN  </t>
  </si>
  <si>
    <t>LOANS TO EMPLOYEES / RETIREES</t>
  </si>
  <si>
    <t xml:space="preserve">  TOTAL PRO FORMA ADJUST</t>
  </si>
  <si>
    <t>Page 1 of 1</t>
  </si>
  <si>
    <t>FLORIDA PUBLIC SERVICE COMMISSION</t>
  </si>
  <si>
    <t>Type of Data Shown:</t>
  </si>
  <si>
    <t>COMPANY:  GULF POWER COMPANY</t>
  </si>
  <si>
    <t>DOCKET NO.:  110138-EI</t>
  </si>
  <si>
    <t>($000s)</t>
  </si>
  <si>
    <t>(6)</t>
  </si>
  <si>
    <t>(7)</t>
  </si>
  <si>
    <t>(8)</t>
  </si>
  <si>
    <t>(9)</t>
  </si>
  <si>
    <t>(10)</t>
  </si>
  <si>
    <t>(11)</t>
  </si>
  <si>
    <t>(12)</t>
  </si>
  <si>
    <t>(13)</t>
  </si>
  <si>
    <t>Commission</t>
  </si>
  <si>
    <t>Total</t>
  </si>
  <si>
    <t>Jurisdictional</t>
  </si>
  <si>
    <t>Non-</t>
  </si>
  <si>
    <t>Electric</t>
  </si>
  <si>
    <t>Company</t>
  </si>
  <si>
    <t>Unit Power</t>
  </si>
  <si>
    <t>Line</t>
  </si>
  <si>
    <t>Utility</t>
  </si>
  <si>
    <t>Sales</t>
  </si>
  <si>
    <t>Rate Base</t>
  </si>
  <si>
    <t>No.</t>
  </si>
  <si>
    <t>per Books</t>
  </si>
  <si>
    <t>Factor</t>
  </si>
  <si>
    <t>1</t>
  </si>
  <si>
    <t>2</t>
  </si>
  <si>
    <t>3</t>
  </si>
  <si>
    <t>4</t>
  </si>
  <si>
    <t>5</t>
  </si>
  <si>
    <t>6</t>
  </si>
  <si>
    <t>7</t>
  </si>
  <si>
    <t>8</t>
  </si>
  <si>
    <t>Recap Schedules:  G-1</t>
  </si>
  <si>
    <t>Witness:  R.J. McMillan</t>
  </si>
  <si>
    <t>Adjustment</t>
  </si>
  <si>
    <t>Amount</t>
  </si>
  <si>
    <t>Commission Adjustments:</t>
  </si>
  <si>
    <t>Total Commission Adjustments</t>
  </si>
  <si>
    <t xml:space="preserve">DOCKET NO.:  110138-EI </t>
  </si>
  <si>
    <t>Other</t>
  </si>
  <si>
    <t>UPS</t>
  </si>
  <si>
    <t>Prepayments</t>
  </si>
  <si>
    <t>Calculated</t>
  </si>
  <si>
    <t>Schedule G-7</t>
  </si>
  <si>
    <t>INTERIM ADJUSTED JURISDICTIONAL NET OPERATING INCOME</t>
  </si>
  <si>
    <t>income for the test year, the prior year and the most recent historical year.</t>
  </si>
  <si>
    <t>Adjusted Jurisdictional Net Operating Income Calculation for the Twelve Months Ended</t>
  </si>
  <si>
    <t>Total Adjusted</t>
  </si>
  <si>
    <t>Adjusted per</t>
  </si>
  <si>
    <t>Net Operating</t>
  </si>
  <si>
    <t>net of UPS</t>
  </si>
  <si>
    <t>Separation</t>
  </si>
  <si>
    <t xml:space="preserve">  Description</t>
  </si>
  <si>
    <t>(5) + (6)</t>
  </si>
  <si>
    <t>Income</t>
  </si>
  <si>
    <t>C-2</t>
  </si>
  <si>
    <t>C-3</t>
  </si>
  <si>
    <t>C-5</t>
  </si>
  <si>
    <t xml:space="preserve">   1</t>
  </si>
  <si>
    <t>Operating Revenues:</t>
  </si>
  <si>
    <t xml:space="preserve">   2</t>
  </si>
  <si>
    <t xml:space="preserve">  Sales of Electricity</t>
  </si>
  <si>
    <t xml:space="preserve">   3</t>
  </si>
  <si>
    <t xml:space="preserve">  Other Operating Revenues</t>
  </si>
  <si>
    <t xml:space="preserve">   4</t>
  </si>
  <si>
    <t>Total Operating Revenues</t>
  </si>
  <si>
    <t>check</t>
  </si>
  <si>
    <t xml:space="preserve">   5</t>
  </si>
  <si>
    <t>Operating Expenses:</t>
  </si>
  <si>
    <t xml:space="preserve">   6</t>
  </si>
  <si>
    <t xml:space="preserve">  Recoverable Fuel</t>
  </si>
  <si>
    <t xml:space="preserve">   7</t>
  </si>
  <si>
    <t xml:space="preserve">  Recoverable Capacity</t>
  </si>
  <si>
    <t xml:space="preserve">   8</t>
  </si>
  <si>
    <t xml:space="preserve">  Recoverable Conservation</t>
  </si>
  <si>
    <t xml:space="preserve">   9</t>
  </si>
  <si>
    <t xml:space="preserve">  Recoverable Environmental</t>
  </si>
  <si>
    <t xml:space="preserve">   10</t>
  </si>
  <si>
    <t xml:space="preserve">  Other Operation &amp; Maintenance</t>
  </si>
  <si>
    <t xml:space="preserve">   11</t>
  </si>
  <si>
    <t xml:space="preserve">  Depreciation &amp; Amortization</t>
  </si>
  <si>
    <t xml:space="preserve">   12</t>
  </si>
  <si>
    <t xml:space="preserve">  Amortization of Investment Credit</t>
  </si>
  <si>
    <t xml:space="preserve">   13</t>
  </si>
  <si>
    <t xml:space="preserve">  Taxes Other Than Income Taxes</t>
  </si>
  <si>
    <t xml:space="preserve">   14</t>
  </si>
  <si>
    <t xml:space="preserve">   Income Taxes</t>
  </si>
  <si>
    <t xml:space="preserve">   15</t>
  </si>
  <si>
    <t xml:space="preserve">    Federal</t>
  </si>
  <si>
    <t xml:space="preserve">   16</t>
  </si>
  <si>
    <t xml:space="preserve">    State</t>
  </si>
  <si>
    <t xml:space="preserve">   17</t>
  </si>
  <si>
    <t xml:space="preserve">  Deferred Income Taxes - Net</t>
  </si>
  <si>
    <t xml:space="preserve">   18</t>
  </si>
  <si>
    <t xml:space="preserve">   19</t>
  </si>
  <si>
    <t xml:space="preserve">   20</t>
  </si>
  <si>
    <t>Total Operating Expenses</t>
  </si>
  <si>
    <t xml:space="preserve">   21</t>
  </si>
  <si>
    <t>Net Operating Income</t>
  </si>
  <si>
    <t>Schedule  G-8</t>
  </si>
  <si>
    <t>Fuel</t>
  </si>
  <si>
    <t>Related</t>
  </si>
  <si>
    <t>Conservation</t>
  </si>
  <si>
    <t>PPCC</t>
  </si>
  <si>
    <t>ECRC</t>
  </si>
  <si>
    <t xml:space="preserve">Line </t>
  </si>
  <si>
    <t>Revenues</t>
  </si>
  <si>
    <t>Revenues &amp;</t>
  </si>
  <si>
    <t>Miscellaneous</t>
  </si>
  <si>
    <t>Description</t>
  </si>
  <si>
    <t>&amp; Expenses</t>
  </si>
  <si>
    <t>Expenses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</si>
  <si>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</si>
  <si>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</si>
  <si>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</si>
  <si>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</si>
  <si>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</si>
  <si>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Income Taxes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</si>
  <si>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</si>
  <si>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</si>
  <si>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</si>
  <si>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</si>
  <si>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</si>
  <si>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</si>
  <si>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Investment Tax Credit</t>
  </si>
  <si>
    <t xml:space="preserve">  22</t>
  </si>
  <si>
    <t xml:space="preserve">  23</t>
  </si>
  <si>
    <t xml:space="preserve">Supporting Schedules: </t>
  </si>
  <si>
    <t>Schedule G-9</t>
  </si>
  <si>
    <t xml:space="preserve">          INTERIM JURISDICTIONAL NET OPERATING INCOME ADJUSTMENTS</t>
  </si>
  <si>
    <t>EXPLANATION:  List and explain all proposed adjustments</t>
  </si>
  <si>
    <t>adjustments included in the last case that are not proposed</t>
  </si>
  <si>
    <t>in the interim test year and the reasons for excluding them.</t>
  </si>
  <si>
    <t>Reason for Adjustment</t>
  </si>
  <si>
    <t>Adj</t>
  </si>
  <si>
    <t>or Omission  (Provide</t>
  </si>
  <si>
    <t xml:space="preserve">   Adjustment</t>
  </si>
  <si>
    <t>Supporting Schedules)</t>
  </si>
  <si>
    <t>Fuel Revenues</t>
  </si>
  <si>
    <t>To remove all fuel-related revenues and</t>
  </si>
  <si>
    <t>expenses from NOI for ratemaking purposes.</t>
  </si>
  <si>
    <t>Not used, but leave just in case we need this for backup.</t>
  </si>
  <si>
    <t>Fuel Expense</t>
  </si>
  <si>
    <t>Gulf Power Company</t>
  </si>
  <si>
    <t>Calculation of Franchise Fee Revenues</t>
  </si>
  <si>
    <t>For the Twelve Months Ended March 31, 2011</t>
  </si>
  <si>
    <t>Fuel Expense - Interchange Energy</t>
  </si>
  <si>
    <t>in '000s</t>
  </si>
  <si>
    <t>Purchased Transmission</t>
  </si>
  <si>
    <t>To remove expenses associated with transmission</t>
  </si>
  <si>
    <t>FL Muni</t>
  </si>
  <si>
    <t>County</t>
  </si>
  <si>
    <t xml:space="preserve">Total </t>
  </si>
  <si>
    <t>reflected in the fuel clause.</t>
  </si>
  <si>
    <t>Franchise</t>
  </si>
  <si>
    <t>Reference</t>
  </si>
  <si>
    <t>Revenue</t>
  </si>
  <si>
    <t>Peabody Litigation Fees</t>
  </si>
  <si>
    <t>To remove the Peabody litigation fees that are</t>
  </si>
  <si>
    <t>recoverable through the fuel clause.</t>
  </si>
  <si>
    <t>Total Residential Revenue</t>
  </si>
  <si>
    <t>Financial Model (12MTD)</t>
  </si>
  <si>
    <t>Total Commercial Revenue</t>
  </si>
  <si>
    <t>ECCR Revenues</t>
  </si>
  <si>
    <t>To remove all ECCR revenues and expenses</t>
  </si>
  <si>
    <t>Total Revenue</t>
  </si>
  <si>
    <t>from NOI for ratemaking purposes.</t>
  </si>
  <si>
    <t>Tax Rate</t>
  </si>
  <si>
    <t>Financial Model</t>
  </si>
  <si>
    <t>ECCR Expenses in O&amp;M Expense</t>
  </si>
  <si>
    <t>T:\Rate Case Planning - 2011\2011 MFRs Financial Planning\Interim Version 1\[NOI Interim G MFRs v3.xls]RRCOMB3</t>
  </si>
  <si>
    <t xml:space="preserve">   (b)        CONSISTS OF TWO ADJ'S: BASE RATE INCREASE OF 0 AND WEATHER NORMALIZATION OF (0)</t>
  </si>
  <si>
    <t xml:space="preserve">      DEFERRED REVENUE/Associated with SFAS 133</t>
  </si>
  <si>
    <t>Schedule G-11</t>
  </si>
  <si>
    <t>(Sch. G-9)</t>
  </si>
  <si>
    <t xml:space="preserve">   (Sch. G-9)</t>
  </si>
  <si>
    <t xml:space="preserve">       EXPLANATION:  Provide a schedule of net operating</t>
  </si>
  <si>
    <t xml:space="preserve">       income adjustments for the interim test year.  Provide</t>
  </si>
  <si>
    <t xml:space="preserve">       the details of all adjustments on Schedule G-9.</t>
  </si>
  <si>
    <t>account for the interim test year. Provide the per books amounts and the</t>
  </si>
  <si>
    <t>adjustments required to adjust the per books amounts to reflect the</t>
  </si>
  <si>
    <t xml:space="preserve">requested interim test year operating revenues. </t>
  </si>
  <si>
    <t>(3) - (4)</t>
  </si>
  <si>
    <t>(7) + (8)</t>
  </si>
  <si>
    <t>(9) - (10)</t>
  </si>
  <si>
    <t>(11) x (12)</t>
  </si>
  <si>
    <r>
      <t xml:space="preserve">         </t>
    </r>
    <r>
      <rPr>
        <sz val="12"/>
        <rFont val="Arial"/>
        <family val="2"/>
      </rPr>
      <t>Projected Test Year Ended 12/31/12</t>
    </r>
  </si>
  <si>
    <r>
      <t xml:space="preserve">         </t>
    </r>
    <r>
      <rPr>
        <sz val="12"/>
        <rFont val="Arial"/>
        <family val="2"/>
      </rPr>
      <t>Prior Year Ended 12/31/11</t>
    </r>
  </si>
  <si>
    <r>
      <t xml:space="preserve">    X   </t>
    </r>
    <r>
      <rPr>
        <sz val="12"/>
        <rFont val="Arial"/>
        <family val="2"/>
      </rPr>
      <t>Historical Test Year Ended 3/31/11</t>
    </r>
  </si>
  <si>
    <t>INTERIM OPERATING REVENUES DETAIL</t>
  </si>
  <si>
    <t xml:space="preserve"> Other Electric Revenues (In Detail)</t>
  </si>
  <si>
    <r>
      <t xml:space="preserve">         </t>
    </r>
    <r>
      <rPr>
        <sz val="13.5"/>
        <rFont val="Arial"/>
        <family val="2"/>
      </rPr>
      <t>Projected Test Year Ended 12/31/12</t>
    </r>
  </si>
  <si>
    <r>
      <t xml:space="preserve">         </t>
    </r>
    <r>
      <rPr>
        <sz val="13.5"/>
        <rFont val="Arial"/>
        <family val="2"/>
      </rPr>
      <t>Prior Year Ended 12/31/11</t>
    </r>
  </si>
  <si>
    <r>
      <t xml:space="preserve">    X   </t>
    </r>
    <r>
      <rPr>
        <sz val="13.5"/>
        <rFont val="Arial"/>
        <family val="2"/>
      </rPr>
      <t>Historical Test Year Ended 3/31/11</t>
    </r>
  </si>
  <si>
    <t>Recap Schedules:  G-7</t>
  </si>
  <si>
    <t xml:space="preserve">             INTERIM NET OPERATING INCOME ADJUSTMENTS</t>
  </si>
  <si>
    <t xml:space="preserve">    JURIS FUEL</t>
  </si>
  <si>
    <t xml:space="preserve">       JURIS</t>
  </si>
  <si>
    <t xml:space="preserve">       AIR</t>
  </si>
  <si>
    <t xml:space="preserve">    INTEREST</t>
  </si>
  <si>
    <t xml:space="preserve">   FUEL CLAUSE</t>
  </si>
  <si>
    <t xml:space="preserve">     NON-TERR.</t>
  </si>
  <si>
    <t xml:space="preserve">     OF FUEL</t>
  </si>
  <si>
    <t xml:space="preserve">       FUEL</t>
  </si>
  <si>
    <t xml:space="preserve">   &amp; NET POWER</t>
  </si>
  <si>
    <t xml:space="preserve">     ECONOMY</t>
  </si>
  <si>
    <t xml:space="preserve">      COAL CAR</t>
  </si>
  <si>
    <t xml:space="preserve">     REVENUE</t>
  </si>
  <si>
    <t xml:space="preserve">     PRODUCTS</t>
  </si>
  <si>
    <t xml:space="preserve">  ON OVER/UNDER</t>
  </si>
  <si>
    <t xml:space="preserve">    INCENTIVE</t>
  </si>
  <si>
    <t>13MAP&amp;BRES</t>
  </si>
  <si>
    <t xml:space="preserve">     REVENUES</t>
  </si>
  <si>
    <t xml:space="preserve">    IN REVENUE</t>
  </si>
  <si>
    <t xml:space="preserve">   TRANSACTIONS</t>
  </si>
  <si>
    <t xml:space="preserve">   SALES PROFIT</t>
  </si>
  <si>
    <t xml:space="preserve">    IN EXPENSE</t>
  </si>
  <si>
    <t xml:space="preserve">       COSTS</t>
  </si>
  <si>
    <t xml:space="preserve">     EXPENSE</t>
  </si>
  <si>
    <t xml:space="preserve">      CREDIT</t>
  </si>
  <si>
    <t xml:space="preserve">    RECOVERY</t>
  </si>
  <si>
    <t xml:space="preserve">    PROVISION</t>
  </si>
  <si>
    <t xml:space="preserve">    (34 x 37)</t>
  </si>
  <si>
    <t xml:space="preserve">     (1+2+3)</t>
  </si>
  <si>
    <t xml:space="preserve">   (SAME AS 2)</t>
  </si>
  <si>
    <t xml:space="preserve">     (35 x 37)</t>
  </si>
  <si>
    <t xml:space="preserve">     (36 x 38)</t>
  </si>
  <si>
    <t xml:space="preserve">   (5+6+7+7A-8)</t>
  </si>
  <si>
    <t>CONSERV/AEM</t>
  </si>
  <si>
    <t>13MASCHBUY</t>
  </si>
  <si>
    <t xml:space="preserve">        13</t>
  </si>
  <si>
    <t>13a</t>
  </si>
  <si>
    <t xml:space="preserve">        14</t>
  </si>
  <si>
    <t xml:space="preserve">        15</t>
  </si>
  <si>
    <t xml:space="preserve">        16</t>
  </si>
  <si>
    <t>16a</t>
  </si>
  <si>
    <t xml:space="preserve">        17</t>
  </si>
  <si>
    <t xml:space="preserve">        18</t>
  </si>
  <si>
    <t xml:space="preserve">        19</t>
  </si>
  <si>
    <t xml:space="preserve">        20</t>
  </si>
  <si>
    <t xml:space="preserve">        21</t>
  </si>
  <si>
    <t>21-B</t>
  </si>
  <si>
    <t>21-C</t>
  </si>
  <si>
    <t xml:space="preserve">  W/S BASE FUEL</t>
  </si>
  <si>
    <t xml:space="preserve">W/S FUEL </t>
  </si>
  <si>
    <t xml:space="preserve">    WHOLESALE</t>
  </si>
  <si>
    <t xml:space="preserve">     W/S FUEL</t>
  </si>
  <si>
    <t>Energy Purchase</t>
  </si>
  <si>
    <t>Secondary</t>
  </si>
  <si>
    <t xml:space="preserve">  &amp; FUEL CLAUSE</t>
  </si>
  <si>
    <t xml:space="preserve">(OVER)/UNDER </t>
  </si>
  <si>
    <t xml:space="preserve">    TOTAL W/S</t>
  </si>
  <si>
    <t xml:space="preserve">      OVER</t>
  </si>
  <si>
    <t xml:space="preserve">       FUEL </t>
  </si>
  <si>
    <t>FPU</t>
  </si>
  <si>
    <t>Blountstown</t>
  </si>
  <si>
    <t xml:space="preserve">  FUEL REVENUES</t>
  </si>
  <si>
    <t xml:space="preserve">  FUEL EXPENSE</t>
  </si>
  <si>
    <t xml:space="preserve">  REVENUE TAXES</t>
  </si>
  <si>
    <t xml:space="preserve">    REV &amp; EXP</t>
  </si>
  <si>
    <t>(Included in col. 22)</t>
  </si>
  <si>
    <t>OATT Revenue</t>
  </si>
  <si>
    <t>(565-200, 940)</t>
  </si>
  <si>
    <t>456-503</t>
  </si>
  <si>
    <t>456-505, 403</t>
  </si>
  <si>
    <t>Embedded in 456-100's</t>
  </si>
  <si>
    <t xml:space="preserve">     (34 x 39)</t>
  </si>
  <si>
    <t xml:space="preserve">      (13+13A+14)</t>
  </si>
  <si>
    <t xml:space="preserve">   (SAME AS 14)</t>
  </si>
  <si>
    <t xml:space="preserve">      (16+16A+17)</t>
  </si>
  <si>
    <t>D228</t>
  </si>
  <si>
    <t>CARYVILLE</t>
  </si>
  <si>
    <t>13MARATEREFUND</t>
  </si>
  <si>
    <t>FILE NAME: RRCOMB2 (FUELCO) RANGE:A61.O113</t>
  </si>
  <si>
    <t xml:space="preserve">       22</t>
  </si>
  <si>
    <t xml:space="preserve">       23</t>
  </si>
  <si>
    <t xml:space="preserve">       24</t>
  </si>
  <si>
    <t xml:space="preserve">       25</t>
  </si>
  <si>
    <t xml:space="preserve">  25A</t>
  </si>
  <si>
    <t xml:space="preserve">  25B</t>
  </si>
  <si>
    <t xml:space="preserve">       26</t>
  </si>
  <si>
    <t xml:space="preserve">       27</t>
  </si>
  <si>
    <t xml:space="preserve">       28</t>
  </si>
  <si>
    <t xml:space="preserve">       29</t>
  </si>
  <si>
    <t xml:space="preserve">       30</t>
  </si>
  <si>
    <t xml:space="preserve">       31</t>
  </si>
  <si>
    <t xml:space="preserve">       32</t>
  </si>
  <si>
    <t xml:space="preserve">       33</t>
  </si>
  <si>
    <t xml:space="preserve">      ADD:</t>
  </si>
  <si>
    <t>13MASO2CR</t>
  </si>
  <si>
    <t xml:space="preserve"> FUEL COMPONENT</t>
  </si>
  <si>
    <t xml:space="preserve">    NON-TERR</t>
  </si>
  <si>
    <t xml:space="preserve">     TOTAL</t>
  </si>
  <si>
    <t xml:space="preserve">   FUEL EXPENSE</t>
  </si>
  <si>
    <t xml:space="preserve">     AMOUNT</t>
  </si>
  <si>
    <t xml:space="preserve">    RETAIL</t>
  </si>
  <si>
    <t xml:space="preserve">    OF ENERGY</t>
  </si>
  <si>
    <t xml:space="preserve">    FUEL AND</t>
  </si>
  <si>
    <t xml:space="preserve">   OF PURCHASED</t>
  </si>
  <si>
    <t xml:space="preserve">      FUEL</t>
  </si>
  <si>
    <t>ADVANCED</t>
  </si>
  <si>
    <t xml:space="preserve">  FUEL-RELATED</t>
  </si>
  <si>
    <t xml:space="preserve">       NOT</t>
  </si>
  <si>
    <t xml:space="preserve">   RECONCILING</t>
  </si>
  <si>
    <t xml:space="preserve">    REVENUES</t>
  </si>
  <si>
    <t xml:space="preserve">  PURCH &amp; SOLD</t>
  </si>
  <si>
    <t xml:space="preserve">   ECON PROFIT</t>
  </si>
  <si>
    <t xml:space="preserve">      POWER</t>
  </si>
  <si>
    <t>PAYMENT</t>
  </si>
  <si>
    <t xml:space="preserve">    EXPENSE</t>
  </si>
  <si>
    <t xml:space="preserve">    RECOVERED</t>
  </si>
  <si>
    <t xml:space="preserve">    EXPENSES</t>
  </si>
  <si>
    <t xml:space="preserve">   DIFFERENCE</t>
  </si>
  <si>
    <t xml:space="preserve">      ITEMS</t>
  </si>
  <si>
    <t xml:space="preserve">    RECONCILED</t>
  </si>
  <si>
    <t xml:space="preserve">   - EXPENSES</t>
  </si>
  <si>
    <t xml:space="preserve">     (22+23)</t>
  </si>
  <si>
    <t xml:space="preserve">   (SAME AS 7A)</t>
  </si>
  <si>
    <t xml:space="preserve">    (24+25+25A)</t>
  </si>
  <si>
    <t xml:space="preserve">   (26-9-18-21)</t>
  </si>
  <si>
    <t xml:space="preserve">    (4+15+21)</t>
  </si>
  <si>
    <t xml:space="preserve">   (SAME AS 26)</t>
  </si>
  <si>
    <t xml:space="preserve">     (10+19)</t>
  </si>
  <si>
    <t xml:space="preserve">    (28-29-30)</t>
  </si>
  <si>
    <t>(8+12+20-7-10A-27-25B)</t>
  </si>
  <si>
    <t>FN:C:\DATA\LOTUS\SEPUPS92\RRCOMB2</t>
  </si>
  <si>
    <t>the necessary modifications to current files to properly link</t>
  </si>
  <si>
    <t>the UPS data in file RRCOMB1 with the other files.</t>
  </si>
  <si>
    <t>STRIP RANGE: IC1..IT148</t>
  </si>
  <si>
    <t>No Longer Needed</t>
  </si>
  <si>
    <t xml:space="preserve">                  BUYOUT COSTS RELATED TO</t>
  </si>
  <si>
    <t xml:space="preserve">       34</t>
  </si>
  <si>
    <t xml:space="preserve">       35</t>
  </si>
  <si>
    <t xml:space="preserve">       36</t>
  </si>
  <si>
    <t xml:space="preserve">       37</t>
  </si>
  <si>
    <t xml:space="preserve">       38</t>
  </si>
  <si>
    <t xml:space="preserve">       39</t>
  </si>
  <si>
    <t>Remainder of 20%</t>
  </si>
  <si>
    <t>40</t>
  </si>
  <si>
    <t>44</t>
  </si>
  <si>
    <t>FUEL EXPENSE</t>
  </si>
  <si>
    <t xml:space="preserve">      TOTAL </t>
  </si>
  <si>
    <t>41</t>
  </si>
  <si>
    <t>42</t>
  </si>
  <si>
    <t>43</t>
  </si>
  <si>
    <t xml:space="preserve">ADJUSTED FOR </t>
  </si>
  <si>
    <t xml:space="preserve">    COAL CAR</t>
  </si>
  <si>
    <t xml:space="preserve">     FACTOR</t>
  </si>
  <si>
    <t>ACTUAL FUEL</t>
  </si>
  <si>
    <t>MISC. NON-</t>
  </si>
  <si>
    <t>DEBT EXPENSE &amp;</t>
  </si>
  <si>
    <t>MISC STEAM</t>
  </si>
  <si>
    <t>NON-OPER FUEL</t>
  </si>
  <si>
    <t xml:space="preserve">   x LINE LOSS</t>
  </si>
  <si>
    <t>OPER. INCOME</t>
  </si>
  <si>
    <t>POWER EXPENSE</t>
  </si>
  <si>
    <t>&amp; DEBT AMORT.</t>
  </si>
  <si>
    <t xml:space="preserve">  (37 x 1.0014)</t>
  </si>
  <si>
    <t xml:space="preserve">    (1- COL 37)</t>
  </si>
  <si>
    <t>(29-41-42)</t>
  </si>
  <si>
    <t>O/T_LIASON</t>
  </si>
  <si>
    <t>A&amp;G_LIASON</t>
  </si>
  <si>
    <t xml:space="preserve">GSU </t>
  </si>
  <si>
    <t>total fuel+maxine mine-rail track depr</t>
  </si>
  <si>
    <t>total 421-704,705</t>
  </si>
  <si>
    <t>427-050,501,503, 504+428-442+431-991</t>
  </si>
  <si>
    <t>506-925,926,927,929</t>
  </si>
  <si>
    <t>TOTSCHRPIS</t>
  </si>
  <si>
    <t>TOTSCHRGEN</t>
  </si>
  <si>
    <t>TOTSCHRAD</t>
  </si>
  <si>
    <t>TRANSPIS</t>
  </si>
  <si>
    <t>TRANSAD</t>
  </si>
  <si>
    <t>SCHRFUEL</t>
  </si>
  <si>
    <t>SCHRMS</t>
  </si>
  <si>
    <t>CAPACITY CLAUSE &amp; CONSERVATION REVENUES AND EXPENSES</t>
  </si>
  <si>
    <t>SCHRPRE</t>
  </si>
  <si>
    <t>FILE NAME: RRCOMB2 (FUELCO)</t>
  </si>
  <si>
    <t>SCHROWC</t>
  </si>
  <si>
    <t>H169</t>
  </si>
  <si>
    <t>TRANSM&amp;S</t>
  </si>
  <si>
    <t>RANGE: A121..J149</t>
  </si>
  <si>
    <t>TRANSOWC</t>
  </si>
  <si>
    <t>PETRANSPIS</t>
  </si>
  <si>
    <t>CAPACITY CLAUSE</t>
  </si>
  <si>
    <t>PETRANSAD</t>
  </si>
  <si>
    <t>(OVER)UNDER</t>
  </si>
  <si>
    <t>PESCHRFUEL</t>
  </si>
  <si>
    <t>PESCHRMS</t>
  </si>
  <si>
    <t>OF CONS EXP</t>
  </si>
  <si>
    <t>OF PPCC EXP</t>
  </si>
  <si>
    <t>PESCHRPRE</t>
  </si>
  <si>
    <t>PESCHROWC</t>
  </si>
  <si>
    <t>H166</t>
  </si>
  <si>
    <t>PETRANSM&amp;S</t>
  </si>
  <si>
    <t>PETRANSOWC</t>
  </si>
  <si>
    <t>PETOTSCHRPIS</t>
  </si>
  <si>
    <t>PETOTSCHRGEN</t>
  </si>
  <si>
    <t>disc/iss exp on trust pref</t>
  </si>
  <si>
    <t>j689</t>
  </si>
  <si>
    <t>SCHGSU_UNC</t>
  </si>
  <si>
    <t>IICFUELREV</t>
  </si>
  <si>
    <t>jarvis conservation schedule rev + inter dept rev</t>
  </si>
  <si>
    <t>from budget deviation analysis of fuel total conservation expenses</t>
  </si>
  <si>
    <t>jarvis conservation under revenue taxes</t>
  </si>
  <si>
    <t>budget deviation analysis of fuel under recorded in (over)/under recovery</t>
  </si>
  <si>
    <t>paul packet purch power capacity cost revenue calc pp cap coast + inter dept rev</t>
  </si>
  <si>
    <t>budget deviation analysis of fuel net cap alause exp</t>
  </si>
  <si>
    <t>paul packet pp cap cost rev calc</t>
  </si>
  <si>
    <t>bud dev recorded in (over)/under recovery (capacity section)</t>
  </si>
  <si>
    <t>CONSERVATION / PPCC / ERC REVENUES</t>
  </si>
  <si>
    <t>CONSERVATION / PPCC / ERC OVER/UNDER RECOVERY</t>
  </si>
  <si>
    <t>VARO&amp;M</t>
  </si>
  <si>
    <t>O864</t>
  </si>
  <si>
    <t>ERC (O)/U FROM FILE 3</t>
  </si>
  <si>
    <t>PPCCEXP</t>
  </si>
  <si>
    <t>M1024</t>
  </si>
  <si>
    <t>ERC REV FROM FILE 3</t>
  </si>
  <si>
    <t>TAXADJ</t>
  </si>
  <si>
    <t>M1057</t>
  </si>
  <si>
    <t>E56</t>
  </si>
  <si>
    <t>ERC INVESTMENT</t>
  </si>
  <si>
    <t>Total Franchse Fee Revenue</t>
  </si>
  <si>
    <t>A</t>
  </si>
  <si>
    <t>ky</t>
  </si>
  <si>
    <t>le</t>
  </si>
  <si>
    <t>Franshise Revenue Includes Gross-up for Gross Receipts Tax and FPSC Assessment Fee</t>
  </si>
  <si>
    <t>Legend:</t>
  </si>
  <si>
    <t>ECCR</t>
  </si>
  <si>
    <t>Energy Conservation Cost Recovery Clause</t>
  </si>
  <si>
    <t>Less: Gross Receipts Tax @ 2.5% :</t>
  </si>
  <si>
    <t>Purchased Power Capacity Cost Recovery Clause</t>
  </si>
  <si>
    <t>B</t>
  </si>
  <si>
    <t>Environmental Cost Recovery Clause</t>
  </si>
  <si>
    <t>(A * B)</t>
  </si>
  <si>
    <t>=</t>
  </si>
  <si>
    <t>C</t>
  </si>
  <si>
    <t>Supporting Schedules:</t>
  </si>
  <si>
    <t>Less FPSC Assessment Fee @ .072% :</t>
  </si>
  <si>
    <t>D</t>
  </si>
  <si>
    <t>(A * D)</t>
  </si>
  <si>
    <t>E</t>
  </si>
  <si>
    <t>Total Franchise Fee Revenue Excluding Gross-up for Taxes</t>
  </si>
  <si>
    <t>Rounding Variation</t>
  </si>
  <si>
    <t>Total Franchise Fee Tax Expense</t>
  </si>
  <si>
    <t>Commission Adjustments (Continued):</t>
  </si>
  <si>
    <t>ECCR Depreciation</t>
  </si>
  <si>
    <t>Taxes Other Than Income Taxes Backup</t>
  </si>
  <si>
    <t>PPCC Revenues</t>
  </si>
  <si>
    <t>To remove all PPCC revenues and expenses</t>
  </si>
  <si>
    <t>Test Year - Adjustment to Taxes Other Than Income Taxes</t>
  </si>
  <si>
    <t xml:space="preserve">PPCC Expenses </t>
  </si>
  <si>
    <t>Tax</t>
  </si>
  <si>
    <t>Rate</t>
  </si>
  <si>
    <t>PPCC Recovery Clause Revenues</t>
  </si>
  <si>
    <t xml:space="preserve">To remove transmission expenses that are </t>
  </si>
  <si>
    <t>Fuel Clause Revenues</t>
  </si>
  <si>
    <t>recoverable through the capacity clause.</t>
  </si>
  <si>
    <t>ECCR Clause Revenues</t>
  </si>
  <si>
    <t>ECRC Revenues</t>
  </si>
  <si>
    <t>To remove all ECRC revenues and expenses</t>
  </si>
  <si>
    <t>FPSC Assessment Fee on Franchise Fees</t>
  </si>
  <si>
    <t>Municipal Franchise Fee Expense</t>
  </si>
  <si>
    <t>County Franchise Fee Expense</t>
  </si>
  <si>
    <t>ECRC Expenses in O&amp;M</t>
  </si>
  <si>
    <t>Environmental Property Assessment x Millage Rate</t>
  </si>
  <si>
    <t>Conservation Property Assessment x Millage Rate</t>
  </si>
  <si>
    <t>Conservation Labor x Payroll Tax Rate</t>
  </si>
  <si>
    <t>(14)</t>
  </si>
  <si>
    <t>ECRC in Depreciation Expense</t>
  </si>
  <si>
    <t>Lobbying Office Labor x Payroll Tax Rate</t>
  </si>
  <si>
    <t>Gross Receipts Tax</t>
  </si>
  <si>
    <t>(29)  Conservation Expense in Other Taxes</t>
  </si>
  <si>
    <t>(30)  Franchise Fee Expense</t>
  </si>
  <si>
    <t>(31)  Payroll Taxes - Tallahassee Liason Expenses</t>
  </si>
  <si>
    <t>(32)  Environmental Expense in Other Taxes</t>
  </si>
  <si>
    <t>(33)  Gross Receipts Tax</t>
  </si>
  <si>
    <t>(34)  FPSC Assessment Fee</t>
  </si>
  <si>
    <t>(15)</t>
  </si>
  <si>
    <t>Gross Receipts &amp; Franchise Fee Revenues</t>
  </si>
  <si>
    <t>To remove gross receipts &amp; franchise revenues</t>
  </si>
  <si>
    <t>(16)</t>
  </si>
  <si>
    <t>Gross Receipts &amp; Franchise Fee Expenses</t>
  </si>
  <si>
    <t>To remove gross receipts &amp; franchise expenses</t>
  </si>
  <si>
    <t>(17)</t>
  </si>
  <si>
    <t>Payroll Taxes-Liaison Office Salaries</t>
  </si>
  <si>
    <t>To remove expenses associated with Gulf's Tallahassee</t>
  </si>
  <si>
    <t xml:space="preserve">office. </t>
  </si>
  <si>
    <t>(18)</t>
  </si>
  <si>
    <t>ECRC Expenses in Other Tax Expense</t>
  </si>
  <si>
    <t>(19)</t>
  </si>
  <si>
    <t>ECCR Expenses in Other Tax Expense</t>
  </si>
  <si>
    <t>TOTAL INTERNAL SOURCES: CONSTRUCTION EXPENDITURES LESS EXTERNAL SOURCES</t>
  </si>
  <si>
    <t>1ST MTG. BONDS-RETIREMENTS: BALANCE SHEET, COR; CURRENT MONTH LESS PRIOR MONTH</t>
  </si>
  <si>
    <t>PREF. STK.-RETIREMENTS: BALANCE SHEET, COR; CURRENT MONTH LESS PRIOR MONTH</t>
  </si>
  <si>
    <t>CAPITAL CONTRIBUTIONS: BALANCE SHEET, COR; CURRENT MONTH LESS PRIOR MONTH</t>
  </si>
  <si>
    <t>POLLUTION CONTROL BONDS: BALANCE SHEET, COR; CURRENT MONTH LESS PRIOR MONTH</t>
  </si>
  <si>
    <t>SHORT-TERM DEBT: BALANCE SHEET, COR; CURRENT MONTH LESS PRIOR MONTH</t>
  </si>
  <si>
    <t>TOTAL EXTERNAL SOURCES: SUM OF ALL EXTERNAL SOURCES</t>
  </si>
  <si>
    <t>CONSTRUCTION EXPENDITURES: BUDGET DEVIATION; AMOUNT EXPENDED LESS AFUDC(DEBT &amp; OTHER)</t>
  </si>
  <si>
    <t>FPSC SHEDULE 2</t>
  </si>
  <si>
    <t>AVERAGE RATE OF RETURN SYSTEM ADJUST.</t>
  </si>
  <si>
    <t xml:space="preserve">             SYSTEM ADJUSTMENTS</t>
  </si>
  <si>
    <t>FILE NAME: RRCOMB2  RANGE:A421..F475</t>
  </si>
  <si>
    <t>APPLIANCE SALES &amp; SERVICE:</t>
  </si>
  <si>
    <t>-B147-E147-G147-J147+Q432+Q433-Q436-Q437</t>
  </si>
  <si>
    <t>ECCR, PPCC, and ERC REVENUES</t>
  </si>
  <si>
    <t>13MAPIS</t>
  </si>
  <si>
    <t>B232</t>
  </si>
  <si>
    <t>CABALSH</t>
  </si>
  <si>
    <t>C280</t>
  </si>
  <si>
    <t>13MAAPWR</t>
  </si>
  <si>
    <t>M326</t>
  </si>
  <si>
    <t>May '10</t>
  </si>
  <si>
    <t xml:space="preserve">  FEB</t>
  </si>
  <si>
    <t>13MAITLP</t>
  </si>
  <si>
    <t>F509</t>
  </si>
  <si>
    <t>13MAPREPY</t>
  </si>
  <si>
    <t>F232</t>
  </si>
  <si>
    <t>CARBI</t>
  </si>
  <si>
    <t>D280</t>
  </si>
  <si>
    <t>13MACDP</t>
  </si>
  <si>
    <t>E326</t>
  </si>
  <si>
    <t>June '10</t>
  </si>
  <si>
    <t xml:space="preserve">  MAR</t>
  </si>
  <si>
    <t>Accumulated Depreciation</t>
  </si>
  <si>
    <t>13MAJDITC</t>
  </si>
  <si>
    <t>L509</t>
  </si>
  <si>
    <t>ADNA911.13</t>
  </si>
  <si>
    <t>C29</t>
  </si>
  <si>
    <t>CLBALSH</t>
  </si>
  <si>
    <t>C289</t>
  </si>
  <si>
    <t>13MACEQ</t>
  </si>
  <si>
    <t>H326</t>
  </si>
  <si>
    <t>July '10</t>
  </si>
  <si>
    <t xml:space="preserve">  APR</t>
  </si>
  <si>
    <t>13MALOANS</t>
  </si>
  <si>
    <t>C149</t>
  </si>
  <si>
    <t>ADNA930</t>
  </si>
  <si>
    <t>D29</t>
  </si>
  <si>
    <t>CLCSI</t>
  </si>
  <si>
    <t>E289</t>
  </si>
  <si>
    <t>13MACWIP</t>
  </si>
  <si>
    <t>August '10</t>
  </si>
  <si>
    <t xml:space="preserve">  MAY</t>
  </si>
  <si>
    <t>Corp Office 3rd Floor Depreciation</t>
  </si>
  <si>
    <t>13MALTDDST</t>
  </si>
  <si>
    <t>F175</t>
  </si>
  <si>
    <t>AJURCR</t>
  </si>
  <si>
    <t>H757</t>
  </si>
  <si>
    <t>CLITDFE</t>
  </si>
  <si>
    <t>IF7</t>
  </si>
  <si>
    <t>13MADCCDEPR</t>
  </si>
  <si>
    <t>K29</t>
  </si>
  <si>
    <t>September '10</t>
  </si>
  <si>
    <t xml:space="preserve">  JUN</t>
  </si>
  <si>
    <t>13MANOTE</t>
  </si>
  <si>
    <t>J149</t>
  </si>
  <si>
    <t>AJURPEPSCR</t>
  </si>
  <si>
    <t>H698</t>
  </si>
  <si>
    <t>CLRBI</t>
  </si>
  <si>
    <t>D289</t>
  </si>
  <si>
    <t>13MADFTX</t>
  </si>
  <si>
    <t>G326</t>
  </si>
  <si>
    <t>October '10</t>
  </si>
  <si>
    <t xml:space="preserve">  JUL</t>
  </si>
  <si>
    <t>Plant Held for Future Use</t>
  </si>
  <si>
    <t>13MAODC</t>
  </si>
  <si>
    <t>M509</t>
  </si>
  <si>
    <t>AJURPSCR</t>
  </si>
  <si>
    <t>I698</t>
  </si>
  <si>
    <t>CMJURROE</t>
  </si>
  <si>
    <t>M632</t>
  </si>
  <si>
    <t>13MAIDCC</t>
  </si>
  <si>
    <t>November '10</t>
  </si>
  <si>
    <t xml:space="preserve">  AUG </t>
  </si>
  <si>
    <t>13MAPIR</t>
  </si>
  <si>
    <t>I509</t>
  </si>
  <si>
    <t>ANNCOST</t>
  </si>
  <si>
    <t>H745</t>
  </si>
  <si>
    <t>COMEQUITY</t>
  </si>
  <si>
    <t>C653</t>
  </si>
  <si>
    <t>13MAINTBCWIP</t>
  </si>
  <si>
    <t>December '10</t>
  </si>
  <si>
    <t xml:space="preserve">  SEP '92</t>
  </si>
  <si>
    <t>CWIP</t>
  </si>
  <si>
    <t>13MAPS&amp;I</t>
  </si>
  <si>
    <t>B509</t>
  </si>
  <si>
    <t>ANNCOSTNUPS</t>
  </si>
  <si>
    <t>K745</t>
  </si>
  <si>
    <t>DCCSI</t>
  </si>
  <si>
    <t>E290</t>
  </si>
  <si>
    <t>13NUTPS</t>
  </si>
  <si>
    <t>O29</t>
  </si>
  <si>
    <t>January '11</t>
  </si>
  <si>
    <t xml:space="preserve">    TOTAL</t>
  </si>
  <si>
    <t>13MAPSUAP</t>
  </si>
  <si>
    <t>G509</t>
  </si>
  <si>
    <t>ANNDIV</t>
  </si>
  <si>
    <t>G685</t>
  </si>
  <si>
    <t>DCITDFE</t>
  </si>
  <si>
    <t>IJ14</t>
  </si>
  <si>
    <t>13MALLDEPR</t>
  </si>
  <si>
    <t>N29</t>
  </si>
  <si>
    <t>February '11</t>
  </si>
  <si>
    <t xml:space="preserve">    13 MA</t>
  </si>
  <si>
    <t>Working Capital</t>
  </si>
  <si>
    <t>13MAREC</t>
  </si>
  <si>
    <t>F149</t>
  </si>
  <si>
    <t>ANNDIVNUPS</t>
  </si>
  <si>
    <t>I685</t>
  </si>
  <si>
    <t>DCRBI</t>
  </si>
  <si>
    <t>D290</t>
  </si>
  <si>
    <t>13MALLNIBCWIP</t>
  </si>
  <si>
    <t>L29</t>
  </si>
  <si>
    <t>SHOULD THIS INVESTMENT DATA BE RETROACTIVE</t>
  </si>
  <si>
    <t>13MASTD</t>
  </si>
  <si>
    <t>G175</t>
  </si>
  <si>
    <t>ATCCR</t>
  </si>
  <si>
    <t>H759</t>
  </si>
  <si>
    <t>DDRBI</t>
  </si>
  <si>
    <t>D281</t>
  </si>
  <si>
    <t>13MALLPIS</t>
  </si>
  <si>
    <t>M29</t>
  </si>
  <si>
    <t>JAN 1993 DATA INCLUDES ACCT. 318</t>
  </si>
  <si>
    <t>13MATD</t>
  </si>
  <si>
    <t>H175</t>
  </si>
  <si>
    <t>ATCPESTKCR</t>
  </si>
  <si>
    <t>H700</t>
  </si>
  <si>
    <t>DEFTXCR</t>
  </si>
  <si>
    <t>G261+M290</t>
  </si>
  <si>
    <t>13MANNUP</t>
  </si>
  <si>
    <t>L326</t>
  </si>
  <si>
    <t xml:space="preserve"> -------------</t>
  </si>
  <si>
    <t>13MATOTWCAD</t>
  </si>
  <si>
    <t>N509</t>
  </si>
  <si>
    <t>ATCPSCR</t>
  </si>
  <si>
    <t>I700</t>
  </si>
  <si>
    <t>DEFTXDR</t>
  </si>
  <si>
    <t>K261+L290</t>
  </si>
  <si>
    <t>13MAPHFU</t>
  </si>
  <si>
    <t>13 MTD</t>
  </si>
  <si>
    <t>Net Current Assets &amp; Liabilities</t>
  </si>
  <si>
    <t>13MAUNCOL</t>
  </si>
  <si>
    <t>H149</t>
  </si>
  <si>
    <t>BONDSNUPS</t>
  </si>
  <si>
    <t>G745</t>
  </si>
  <si>
    <t>PEDANIEL</t>
  </si>
  <si>
    <t>O290</t>
  </si>
  <si>
    <t>13MAPRSK</t>
  </si>
  <si>
    <t>D326</t>
  </si>
  <si>
    <t>13 MO AVG</t>
  </si>
  <si>
    <t>Fuel Stock</t>
  </si>
  <si>
    <t>13MAUNS</t>
  </si>
  <si>
    <t>C509</t>
  </si>
  <si>
    <t>COALINVADJ</t>
  </si>
  <si>
    <t>E418</t>
  </si>
  <si>
    <t>13MADANIEL</t>
  </si>
  <si>
    <t>O294</t>
  </si>
  <si>
    <t>13MAUDR</t>
  </si>
  <si>
    <t xml:space="preserve">  ================</t>
  </si>
  <si>
    <t xml:space="preserve">  =============</t>
  </si>
  <si>
    <t>Other Materials &amp; Supplies</t>
  </si>
  <si>
    <t>13MAWCDIS</t>
  </si>
  <si>
    <t>K149-G149-N149</t>
  </si>
  <si>
    <t>DBODEFTX1</t>
  </si>
  <si>
    <t>L324</t>
  </si>
  <si>
    <t>13MAUPIS</t>
  </si>
  <si>
    <t>13 MONTH AVERAGE - DECEMBER '92</t>
  </si>
  <si>
    <t>APFS&amp;UT</t>
  </si>
  <si>
    <t>E172</t>
  </si>
  <si>
    <t>DBODEFTX2</t>
  </si>
  <si>
    <t>M324</t>
  </si>
  <si>
    <t>AINTSYNC</t>
  </si>
  <si>
    <t>H594</t>
  </si>
  <si>
    <t>ARAPPSSPE</t>
  </si>
  <si>
    <t>F145</t>
  </si>
  <si>
    <t>JURPECR</t>
  </si>
  <si>
    <t>G757</t>
  </si>
  <si>
    <t>JURCWIP</t>
  </si>
  <si>
    <t>C630</t>
  </si>
  <si>
    <t>APPLDEPR</t>
  </si>
  <si>
    <t xml:space="preserve">   EXCLUSIONS FROM RATE BASE</t>
  </si>
  <si>
    <t>Preliminary Survey &amp; Investigation</t>
  </si>
  <si>
    <t>CACLRETJUR</t>
  </si>
  <si>
    <t>D218</t>
  </si>
  <si>
    <t>NETBONDS</t>
  </si>
  <si>
    <t>D745</t>
  </si>
  <si>
    <t>JUREXP</t>
  </si>
  <si>
    <t>C614</t>
  </si>
  <si>
    <t>APPLINVT</t>
  </si>
  <si>
    <t>SOURCES:</t>
  </si>
  <si>
    <t>Other Deferred Debits/Credits</t>
  </si>
  <si>
    <t>COMDIVDECL</t>
  </si>
  <si>
    <t>C172</t>
  </si>
  <si>
    <t>NETPRIN</t>
  </si>
  <si>
    <t>D685</t>
  </si>
  <si>
    <t>JURNPIS</t>
  </si>
  <si>
    <t>C627</t>
  </si>
  <si>
    <t>BALSHEXCD</t>
  </si>
  <si>
    <t>L383</t>
  </si>
  <si>
    <t>K384</t>
  </si>
  <si>
    <t>THIRD FLOOR</t>
  </si>
  <si>
    <t>BUSINESS</t>
  </si>
  <si>
    <t>SOD FARM</t>
  </si>
  <si>
    <t>NAVY HOUSE</t>
  </si>
  <si>
    <t>SCHERER</t>
  </si>
  <si>
    <t>Clearing Accounts</t>
  </si>
  <si>
    <t>CUSDEP</t>
  </si>
  <si>
    <t>D172</t>
  </si>
  <si>
    <t>PEDEFTAX</t>
  </si>
  <si>
    <t>F324</t>
  </si>
  <si>
    <t>JURPHFU</t>
  </si>
  <si>
    <t>C633</t>
  </si>
  <si>
    <t>COMMEQ13MA</t>
  </si>
  <si>
    <t>I430</t>
  </si>
  <si>
    <t>UTILITY PLANT IN SERVICE: SCHED 72</t>
  </si>
  <si>
    <t>CORPORATE</t>
  </si>
  <si>
    <t>DEV. CENTER</t>
  </si>
  <si>
    <t>PLANT HELD</t>
  </si>
  <si>
    <t>Caryville Subsuface Study</t>
  </si>
  <si>
    <t>MERINVPE</t>
  </si>
  <si>
    <t>D145</t>
  </si>
  <si>
    <t>PEGPIS1</t>
  </si>
  <si>
    <t>D106</t>
  </si>
  <si>
    <t>JURREV</t>
  </si>
  <si>
    <t>C612</t>
  </si>
  <si>
    <t>CSTRTNB</t>
  </si>
  <si>
    <t>C449</t>
  </si>
  <si>
    <t>PLANT HELD FOR FUTURE USE: ENDING BALANCE IN ACCOUNT 105</t>
  </si>
  <si>
    <t>OFC ACC DEPR</t>
  </si>
  <si>
    <t>OFFICE P-I-S</t>
  </si>
  <si>
    <t>Plant Set-Up Accounts Payable</t>
  </si>
  <si>
    <t>PEALLUPS</t>
  </si>
  <si>
    <t>H202</t>
  </si>
  <si>
    <t>PEGPIS2</t>
  </si>
  <si>
    <t>E106</t>
  </si>
  <si>
    <t>JURWC</t>
  </si>
  <si>
    <t>C624</t>
  </si>
  <si>
    <t>CSTRTPS</t>
  </si>
  <si>
    <t>E449</t>
  </si>
  <si>
    <t>UTILITY DEPR. RESERVE: BALANCE SHEET, COR</t>
  </si>
  <si>
    <t>RETAMT</t>
  </si>
  <si>
    <t>N520</t>
  </si>
  <si>
    <t>PEGPIS3</t>
  </si>
  <si>
    <t>C166</t>
  </si>
  <si>
    <t>LTDCSI</t>
  </si>
  <si>
    <t>E288</t>
  </si>
  <si>
    <t>DEFTX13MA</t>
  </si>
  <si>
    <t>H430</t>
  </si>
  <si>
    <t>CWIP PER BOOKS: COR. PAGE 33-A (ACCT.107) OR PLANT INFO SHEETS</t>
  </si>
  <si>
    <t>STD</t>
  </si>
  <si>
    <t>G172</t>
  </si>
  <si>
    <t>PEPIS1</t>
  </si>
  <si>
    <t>B106</t>
  </si>
  <si>
    <t>NPISRBI</t>
  </si>
  <si>
    <t>D278</t>
  </si>
  <si>
    <t>FPSCADJROE</t>
  </si>
  <si>
    <t>H336</t>
  </si>
  <si>
    <t>NON-INTEREST BEARING CWIP: PLANT INFO SHEETS FROM PLANT ACCOUNTING</t>
  </si>
  <si>
    <t>Injuries and Damages Reserve</t>
  </si>
  <si>
    <t>UNCOLSSPE</t>
  </si>
  <si>
    <t>H145</t>
  </si>
  <si>
    <t>PEPIS2</t>
  </si>
  <si>
    <t>C106</t>
  </si>
  <si>
    <t>NPSITDFE</t>
  </si>
  <si>
    <t>IJ26</t>
  </si>
  <si>
    <t>FPSCAJOE</t>
  </si>
  <si>
    <t>L941</t>
  </si>
  <si>
    <t>INTEREST BEARING CWIP: PER BOOKS CWIP LESS NON INTEREST BEARING</t>
  </si>
  <si>
    <t>VISIONACCTS</t>
  </si>
  <si>
    <t>G145</t>
  </si>
  <si>
    <t>PEPIS3</t>
  </si>
  <si>
    <t>B166</t>
  </si>
  <si>
    <t>ORRBI</t>
  </si>
  <si>
    <t>D291</t>
  </si>
  <si>
    <t>FPSCAJOR</t>
  </si>
  <si>
    <t>C941</t>
  </si>
  <si>
    <t>INVEST &amp; ACCUM DEP IN APPL. SALES &amp; SERVICE: PLANT INFO SHEETS FROM PLANT</t>
  </si>
  <si>
    <t>13MAVISION</t>
  </si>
  <si>
    <t>G149</t>
  </si>
  <si>
    <t>PEPISTRAN</t>
  </si>
  <si>
    <t>B204</t>
  </si>
  <si>
    <t>PCCSI</t>
  </si>
  <si>
    <t>E287</t>
  </si>
  <si>
    <t>FPSCAJPIS</t>
  </si>
  <si>
    <t>E165</t>
  </si>
  <si>
    <t xml:space="preserve">INV. IN PLANT DANIEL COAL CARS: COR, P. 31 </t>
  </si>
  <si>
    <t>13MWCAP</t>
  </si>
  <si>
    <t>H206+N521</t>
  </si>
  <si>
    <t>PEUNAITC</t>
  </si>
  <si>
    <t>E324</t>
  </si>
  <si>
    <t>PEUPSFURV</t>
  </si>
  <si>
    <t>L49</t>
  </si>
  <si>
    <t>FPSCAJWC</t>
  </si>
  <si>
    <t>J165</t>
  </si>
  <si>
    <t xml:space="preserve">DEPR. RESERVE DANIEL-COAL CARS: COR, P. 34-A </t>
  </si>
  <si>
    <t>PEUPSWC</t>
  </si>
  <si>
    <t>H202+N517</t>
  </si>
  <si>
    <t>PEUPSBONDS</t>
  </si>
  <si>
    <t>B324</t>
  </si>
  <si>
    <t>REVTX12M</t>
  </si>
  <si>
    <t>L88</t>
  </si>
  <si>
    <t>FPSCCWIP</t>
  </si>
  <si>
    <t>G165</t>
  </si>
  <si>
    <t>LEISURE LAKES INVEST &amp; ACCUM DEPR: PLANT INFO SHEETS FROM PLANT ACCTG</t>
  </si>
  <si>
    <t>Other Operating Revenues</t>
  </si>
  <si>
    <t>PERETJUR</t>
  </si>
  <si>
    <t>D229</t>
  </si>
  <si>
    <t>PEUPSCE</t>
  </si>
  <si>
    <t>D324</t>
  </si>
  <si>
    <t>ROE</t>
  </si>
  <si>
    <t>C650</t>
  </si>
  <si>
    <t>FPSCPHFU</t>
  </si>
  <si>
    <t>F165</t>
  </si>
  <si>
    <t>TALLAHASSEE INVEST &amp; ACCUM DEPR FROM PLANT ACCOUNTING</t>
  </si>
  <si>
    <t>TOTCOMWC</t>
  </si>
  <si>
    <t>S12</t>
  </si>
  <si>
    <t>PEUPSDEPR</t>
  </si>
  <si>
    <t>C229</t>
  </si>
  <si>
    <t>SYSADJCON</t>
  </si>
  <si>
    <t>I442</t>
  </si>
  <si>
    <t>INCONSEXP</t>
  </si>
  <si>
    <t>M1055</t>
  </si>
  <si>
    <t>PLANT SCHERER CWIP FROM SCHERER INVEST REPORT</t>
  </si>
  <si>
    <t xml:space="preserve">  SEP </t>
  </si>
  <si>
    <t>Schedule E, S and Economy Sales</t>
  </si>
  <si>
    <t>Allocated Based on Demand Allocator</t>
  </si>
  <si>
    <t>TOTRETWC</t>
  </si>
  <si>
    <t>S56</t>
  </si>
  <si>
    <t>PEUPSPIS</t>
  </si>
  <si>
    <t>B229</t>
  </si>
  <si>
    <t>UPSTAXADJ</t>
  </si>
  <si>
    <t>G567</t>
  </si>
  <si>
    <t>ITC13MA</t>
  </si>
  <si>
    <t>K430</t>
  </si>
  <si>
    <t>THIRD FLOOR CORP OFC INVEST AND DEPR PER RATE ORDER DOCKET 891345-EI</t>
  </si>
  <si>
    <t>OTHINVADJ</t>
  </si>
  <si>
    <t>@SUM(G15..G44)</t>
  </si>
  <si>
    <t>PEUPSPRSTK</t>
  </si>
  <si>
    <t>C324</t>
  </si>
  <si>
    <t>13PBSTDT</t>
  </si>
  <si>
    <t>N266</t>
  </si>
  <si>
    <t>JURCOMEQRA</t>
  </si>
  <si>
    <t>H339</t>
  </si>
  <si>
    <t>BUSINESS DEV CENTER INVEST &amp; ACCUM DEPR FROM PLANT ACCOUNTING</t>
  </si>
  <si>
    <t>UPS Net of Fuel</t>
  </si>
  <si>
    <t>Allocated Based on Energy Allocator</t>
  </si>
  <si>
    <t>DEFDEBADJ</t>
  </si>
  <si>
    <t>SUM(K15:K44)</t>
  </si>
  <si>
    <t>PREFNUPS</t>
  </si>
  <si>
    <t>F685</t>
  </si>
  <si>
    <t>PEPBSTDT</t>
  </si>
  <si>
    <t>N261</t>
  </si>
  <si>
    <t>JURROE</t>
  </si>
  <si>
    <t>H341</t>
  </si>
  <si>
    <t>SOD FARM ADJUSTMENT TO PHFU PER RATE ORDER DOCKET 891345-EI</t>
  </si>
  <si>
    <t xml:space="preserve">  DEC '92</t>
  </si>
  <si>
    <t>NONCURLIADJ</t>
  </si>
  <si>
    <t>SUM(M15:M40)</t>
  </si>
  <si>
    <t>PSPRIN</t>
  </si>
  <si>
    <t>13PBEQUITY</t>
  </si>
  <si>
    <t>O266</t>
  </si>
  <si>
    <t>13MATAXADJ</t>
  </si>
  <si>
    <t>M1063</t>
  </si>
  <si>
    <t>NAVY HOUSE INVEST &amp; ACCUM DEPR FROM PLANT ACCOUNTING</t>
  </si>
  <si>
    <t>O&amp;M Expenses</t>
  </si>
  <si>
    <t>DEFCRADJ</t>
  </si>
  <si>
    <t>SUM(Q15:Q44)+J470</t>
  </si>
  <si>
    <t>RMIT</t>
  </si>
  <si>
    <t>=IF(P493=1,0,+W2)</t>
  </si>
  <si>
    <t>PEPBEQUITY</t>
  </si>
  <si>
    <t>O261</t>
  </si>
  <si>
    <t>NBCSTRATE</t>
  </si>
  <si>
    <t>C389</t>
  </si>
  <si>
    <t>PETOTSCHRPROD</t>
  </si>
  <si>
    <t>B145</t>
  </si>
  <si>
    <t>PESCH_A/D</t>
  </si>
  <si>
    <t>N52</t>
  </si>
  <si>
    <t>13MUPSSCHRGEN</t>
  </si>
  <si>
    <t>C169</t>
  </si>
  <si>
    <t>PEBUSDVINV</t>
  </si>
  <si>
    <t>H52</t>
  </si>
  <si>
    <t>ERC WK CAP - 1A</t>
  </si>
  <si>
    <t>PEUPSSCHRGEN</t>
  </si>
  <si>
    <t>PEBUSDV_A/D</t>
  </si>
  <si>
    <t>I52</t>
  </si>
  <si>
    <t>13MTOTSCHRAD</t>
  </si>
  <si>
    <t>D148</t>
  </si>
  <si>
    <t>PENVYHSINV</t>
  </si>
  <si>
    <t>K52</t>
  </si>
  <si>
    <t>13MTOTSCHF/S</t>
  </si>
  <si>
    <t>PENVYHSA/D</t>
  </si>
  <si>
    <t>L52</t>
  </si>
  <si>
    <t xml:space="preserve">  ------------</t>
  </si>
  <si>
    <t>-------------</t>
  </si>
  <si>
    <t>13MTOTSCHMS</t>
  </si>
  <si>
    <t>F148</t>
  </si>
  <si>
    <t>PEPHFUSOD</t>
  </si>
  <si>
    <t>J52</t>
  </si>
  <si>
    <t>13MTOTSCHRPRE</t>
  </si>
  <si>
    <t>SCHCAPEQLADJ</t>
  </si>
  <si>
    <t>N884</t>
  </si>
  <si>
    <t>PETOTSCHRAD</t>
  </si>
  <si>
    <t>SCHPRODO&amp;M</t>
  </si>
  <si>
    <t>J864</t>
  </si>
  <si>
    <t>PETOTSCHRF/S</t>
  </si>
  <si>
    <t>SCHGSUO&amp;M</t>
  </si>
  <si>
    <t>K864</t>
  </si>
  <si>
    <t>FPSC ADJUSTMENTS</t>
  </si>
  <si>
    <t>PETOTSCHRMS</t>
  </si>
  <si>
    <t>SCHTRANSRNTL</t>
  </si>
  <si>
    <t>L864</t>
  </si>
  <si>
    <t>----------------</t>
  </si>
  <si>
    <t>PETOTSCHRPRE</t>
  </si>
  <si>
    <t>SCHPROPINS</t>
  </si>
  <si>
    <t>E864</t>
  </si>
  <si>
    <t>13MUPSTRANPIS</t>
  </si>
  <si>
    <t>B207</t>
  </si>
  <si>
    <t>SCHPRODA&amp;G</t>
  </si>
  <si>
    <t>F864</t>
  </si>
  <si>
    <t>13MUPSTRANAD</t>
  </si>
  <si>
    <t>C207</t>
  </si>
  <si>
    <t>SCHAMORTPROP</t>
  </si>
  <si>
    <t>Z864</t>
  </si>
  <si>
    <t>13MUPSTRANMS</t>
  </si>
  <si>
    <t>E207</t>
  </si>
  <si>
    <t>SCHAMRTITC</t>
  </si>
  <si>
    <t>I864</t>
  </si>
  <si>
    <t>LEISURE LAKES</t>
  </si>
  <si>
    <t>13MUPSTRANOWC</t>
  </si>
  <si>
    <t>G207</t>
  </si>
  <si>
    <t>SCHDEPREXP</t>
  </si>
  <si>
    <t>G864</t>
  </si>
  <si>
    <t>PEUPSTRANPIS</t>
  </si>
  <si>
    <t>SCHOTHRTX</t>
  </si>
  <si>
    <t>N864</t>
  </si>
  <si>
    <t>PEUPSTRANAD</t>
  </si>
  <si>
    <t>C204</t>
  </si>
  <si>
    <t>GSU SETTLEMENT</t>
  </si>
  <si>
    <t>D1050</t>
  </si>
  <si>
    <t>PEUPSTRANMS</t>
  </si>
  <si>
    <t>E204</t>
  </si>
  <si>
    <t>88TAXREFADJ</t>
  </si>
  <si>
    <t>E1030</t>
  </si>
  <si>
    <t>PEUPSTRANOWC</t>
  </si>
  <si>
    <t>G204</t>
  </si>
  <si>
    <t>SCHERERREV</t>
  </si>
  <si>
    <t>E1039</t>
  </si>
  <si>
    <t>13MTOTSCHRWC</t>
  </si>
  <si>
    <t>13MAPIS3FL</t>
  </si>
  <si>
    <t>G56</t>
  </si>
  <si>
    <t>PETOTSCHRWC</t>
  </si>
  <si>
    <t>N222</t>
  </si>
  <si>
    <t>PEPIS3FL</t>
  </si>
  <si>
    <t>G52</t>
  </si>
  <si>
    <t>13M_A/D3FL</t>
  </si>
  <si>
    <t>F56</t>
  </si>
  <si>
    <t>TEMPORARY CASH INVESTMENTS</t>
  </si>
  <si>
    <t>PE_A/D3FL</t>
  </si>
  <si>
    <t>F52</t>
  </si>
  <si>
    <t>ECONPROF</t>
  </si>
  <si>
    <t>D1568</t>
  </si>
  <si>
    <t>ECR/ECCR DEPR</t>
  </si>
  <si>
    <t>G1774+M1849</t>
  </si>
  <si>
    <t>STORM RECOVERY</t>
  </si>
  <si>
    <t>ECR/ECCR AMORT</t>
  </si>
  <si>
    <t>H1774+N1849</t>
  </si>
  <si>
    <t>POTENTIAL NUCLEAR SITES</t>
  </si>
  <si>
    <t>CORPORATE OFFICE-3RD FLOOR</t>
  </si>
  <si>
    <t xml:space="preserve">  ============</t>
  </si>
  <si>
    <t>FPSC ADJUSTMENTS: (AUTOMATIC EXCEPT FOR)</t>
  </si>
  <si>
    <t>LOANS TO EMPLOYEES: RRCACL TIMES JURIS. FACTOR</t>
  </si>
  <si>
    <t>INTEREST AND DIVIDENDS: RRCACL TIMES JURIS. FACTOR</t>
  </si>
  <si>
    <t>TEMPORY CASH INVESTMENTS: RRCACL TIMES JURIS. FACTOR</t>
  </si>
  <si>
    <t>NOTES RECEIVABLE: RRCACL TIMES JURIS. FACTOR</t>
  </si>
  <si>
    <t>WORKSHEET-PERIOD END RATEBASE</t>
  </si>
  <si>
    <t>FPSC SCHED.3 PG 1 OF 3</t>
  </si>
  <si>
    <t>PAGE 4 OF FILE NAME: RRCOMB3 (RB)</t>
  </si>
  <si>
    <t>RANGE: A181..K221</t>
  </si>
  <si>
    <t xml:space="preserve">     WORKING</t>
  </si>
  <si>
    <t xml:space="preserve">     CAPITAL</t>
  </si>
  <si>
    <t>ALL BUT WORKING CAPITAL: PG. 1 RRRB, PERIOD END</t>
  </si>
  <si>
    <t>WORKING CAPITAL: AUTOMATIC FROM PG. 2 RRRB</t>
  </si>
  <si>
    <t>UPS: ALL FROM RRUPSRB EXCEPT WORKING CAPITAL</t>
  </si>
  <si>
    <t>Rrcomb 2 F-537</t>
  </si>
  <si>
    <t>Rrcomb 2 F-538</t>
  </si>
  <si>
    <t>ADJUSTMENTS:</t>
  </si>
  <si>
    <t>ALL BUT WORKING CAPITAL: PG 1 RRRB</t>
  </si>
  <si>
    <t>WORKING CAPITAL: AUTO FROM PG. 2 RRRB</t>
  </si>
  <si>
    <t>FPSC SCHEDULE 3</t>
  </si>
  <si>
    <t>PERIOD END RATE BASE</t>
  </si>
  <si>
    <t>PAGE 5 OF FILE NAME: RRCOMB3 (RB)</t>
  </si>
  <si>
    <t>RANGE: A242..K300</t>
  </si>
  <si>
    <t>-------------------------</t>
  </si>
  <si>
    <t>JURISDICTIONAL PER BOOKS: PLUGGED (AUTOMATIC)</t>
  </si>
  <si>
    <t>SYSTEM PER BOOKS: AUTOMATIC FROM PG. 4 RRRB</t>
  </si>
  <si>
    <t>FPSC ADJUSTMENTS: ALL EXCEPT WORKING CAPITAL AUTOMATIC FROM RRRB PG. 4 X JURISDICTIONAL FACTOR</t>
  </si>
  <si>
    <t>-----------------</t>
  </si>
  <si>
    <t>WORKING CAPITAL: AUTOMATIC FROM RRRB PG. 3</t>
  </si>
  <si>
    <t>13-MONTH AVERAGE CAPITAL STRUCTURE</t>
  </si>
  <si>
    <t>PAGE 1</t>
  </si>
  <si>
    <t>FILE NAME: RRCOMB3 (13MACS)</t>
  </si>
  <si>
    <t>RANGE: A301..M360</t>
  </si>
  <si>
    <t>UNAMORTIZED</t>
  </si>
  <si>
    <t>Average Rate</t>
  </si>
  <si>
    <t>Common Eq Add-On</t>
  </si>
  <si>
    <t>Hedging:</t>
  </si>
  <si>
    <t xml:space="preserve">Hedging: </t>
  </si>
  <si>
    <t>SHORT-TERM</t>
  </si>
  <si>
    <t>PREFERRED</t>
  </si>
  <si>
    <t>CUSTOMER</t>
  </si>
  <si>
    <t>COMMON</t>
  </si>
  <si>
    <t>NON-UTILITY</t>
  </si>
  <si>
    <t>WARRANTY</t>
  </si>
  <si>
    <t>ITC</t>
  </si>
  <si>
    <t>of Return</t>
  </si>
  <si>
    <t>Com Eq Add-On</t>
  </si>
  <si>
    <t xml:space="preserve">Deferred Taxes </t>
  </si>
  <si>
    <t>Balance Sheet</t>
  </si>
  <si>
    <t>DEBT</t>
  </si>
  <si>
    <t>STOCK</t>
  </si>
  <si>
    <t>DEPOSITS</t>
  </si>
  <si>
    <t>TAXES</t>
  </si>
  <si>
    <t>EQUITY</t>
  </si>
  <si>
    <t>PROPERTY</t>
  </si>
  <si>
    <t xml:space="preserve">  --------------</t>
  </si>
  <si>
    <t xml:space="preserve"> --------------</t>
  </si>
  <si>
    <t>&lt;-- Common Equity Add-On</t>
  </si>
  <si>
    <t>&lt;-- Hedging:Common Equity Add-On</t>
  </si>
  <si>
    <t xml:space="preserve">13 MO AVG </t>
  </si>
  <si>
    <t xml:space="preserve">&lt;-- Hedging Deferred Taxes </t>
  </si>
  <si>
    <t>(TOTAL COMPANY)</t>
  </si>
  <si>
    <t xml:space="preserve"> ==============</t>
  </si>
  <si>
    <t xml:space="preserve">  ==============</t>
  </si>
  <si>
    <t>NON-UTILITY AMOUNTS  (13 MONTH AVERAGE)</t>
  </si>
  <si>
    <t xml:space="preserve">            RETURN ON COMMON EQUITY</t>
  </si>
  <si>
    <t>-----------</t>
  </si>
  <si>
    <t>ACTUAL</t>
  </si>
  <si>
    <t xml:space="preserve">            FPSC ADJUSTED</t>
  </si>
  <si>
    <t xml:space="preserve">          PRO FORMA ADJUSTED</t>
  </si>
  <si>
    <t>WORKING CAPITAL ADJ.</t>
  </si>
  <si>
    <t xml:space="preserve">      ---------</t>
  </si>
  <si>
    <t xml:space="preserve">      TOTAL CO.</t>
  </si>
  <si>
    <t xml:space="preserve">         JURIS.</t>
  </si>
  <si>
    <t>NET NON UTILITY PROPERTY</t>
  </si>
  <si>
    <t xml:space="preserve">     13-MO AVG RATE OF RETURN</t>
  </si>
  <si>
    <t xml:space="preserve">     COMPONENT</t>
  </si>
  <si>
    <t xml:space="preserve">     ----------</t>
  </si>
  <si>
    <t xml:space="preserve">      ----------</t>
  </si>
  <si>
    <t xml:space="preserve">     COMMON EQUITY RATIO</t>
  </si>
  <si>
    <t xml:space="preserve">     RETURN ON EQUITY</t>
  </si>
  <si>
    <t xml:space="preserve">     ==========</t>
  </si>
  <si>
    <t xml:space="preserve">      ==========</t>
  </si>
  <si>
    <t xml:space="preserve">             REQUIRED RATE OF RETURN</t>
  </si>
  <si>
    <t>13-MONTH AVERAGE RATES OF RETURN:</t>
  </si>
  <si>
    <t>TOTAL CO ACTUAL-SYSTEM NOI PER RRNOI P. 2 PLUS AFUDC PER NOI P.2 DIVIDED BY</t>
  </si>
  <si>
    <t xml:space="preserve">          LOW</t>
  </si>
  <si>
    <t xml:space="preserve">       MIDPOINT</t>
  </si>
  <si>
    <t xml:space="preserve">         HIGH</t>
  </si>
  <si>
    <t xml:space="preserve">   SYSTEM RATE BASE PER RRRB P. 3</t>
  </si>
  <si>
    <t>JURIS ACTUAL-JURIS PER BOOKS NOI PER RRNOI P. 2 PLUS AFUDC PER NOI P.2 DIVIDED BY</t>
  </si>
  <si>
    <t xml:space="preserve">   JURIS PER BOOKS RATE BASE PER RRRB P. 3</t>
  </si>
  <si>
    <t xml:space="preserve">     ALLOWED RETURN ON EQUITY</t>
  </si>
  <si>
    <t>TOTAL CO FPSC ADJ-TOTAL CO ADJ NOI P.4 PLUS UPS PER RRNOI P. 4 DIVIDED BY</t>
  </si>
  <si>
    <t xml:space="preserve">   TOTAL CO ADJ RATE BASE PLUS UPS PER RRRB P. 2</t>
  </si>
  <si>
    <t>JURIS FPSC ADJ-FPSC ADJUSTED NOI PER RRNOI P. 2 DIVIDED BY</t>
  </si>
  <si>
    <t xml:space="preserve">   FPSC ADJUSTED RATE BASE PER RRRB P. 3</t>
  </si>
  <si>
    <t xml:space="preserve">TOTAL CO FPSC ADJ-TOTAL CO ADJ NOI PLUS UPS PER RRNOI P. 4 PLUS PRO FORMA NOI PER RRNOI P. 2 </t>
  </si>
  <si>
    <t xml:space="preserve">     OVERALL RATE OF RETURN</t>
  </si>
  <si>
    <t xml:space="preserve">   DIVIDED BY TOTAL CO ADJ RATE BASE PLUS UPS PER RRRB P. 2</t>
  </si>
  <si>
    <t>JURIS PRO FORMA ADJUSTED-PRO FORMA ADJ NOI PER RRNOI P. 2 DIVIDED BY</t>
  </si>
  <si>
    <t>TOTAL COMPANY 13-MONTH AVERAGE CAPITAL STRUCTURE</t>
  </si>
  <si>
    <t>FASB 109</t>
  </si>
  <si>
    <t>PAGE 2</t>
  </si>
  <si>
    <t>PAGE 2 OF FILE NAME: RRCOMB3 (13MACS)</t>
  </si>
  <si>
    <t>REGULATORY</t>
  </si>
  <si>
    <t xml:space="preserve">    SHORT-TERM</t>
  </si>
  <si>
    <t xml:space="preserve">    PREFERRED</t>
  </si>
  <si>
    <t xml:space="preserve">     CUSTOMER</t>
  </si>
  <si>
    <t xml:space="preserve">      COMMON</t>
  </si>
  <si>
    <t xml:space="preserve">    NET BONDS</t>
  </si>
  <si>
    <t xml:space="preserve">       DEBT</t>
  </si>
  <si>
    <t xml:space="preserve">      STOCK</t>
  </si>
  <si>
    <t xml:space="preserve">     DEPOSITS</t>
  </si>
  <si>
    <t xml:space="preserve">      3% ITC</t>
  </si>
  <si>
    <t xml:space="preserve">      EQUITY</t>
  </si>
  <si>
    <t xml:space="preserve">   4% &amp; 10% ITC</t>
  </si>
  <si>
    <t xml:space="preserve">       TOTAL</t>
  </si>
  <si>
    <t xml:space="preserve">   -------------</t>
  </si>
  <si>
    <t>TOTAL COMPANY CAPITAL STRUCTURE</t>
  </si>
  <si>
    <t>-----------------------</t>
  </si>
  <si>
    <t>13 MO AVG (TOTAL CO)</t>
  </si>
  <si>
    <t xml:space="preserve">      PEABODY BUYOUT</t>
  </si>
  <si>
    <t>INTEREST SYNC RATIO</t>
  </si>
  <si>
    <t>LESS: NON-UTILITY &amp; SPECIFIC ADJ</t>
  </si>
  <si>
    <t xml:space="preserve">      Common Div. Declared</t>
  </si>
  <si>
    <t>RATIO FOR ALLOCATING R.B. ADJ.</t>
  </si>
  <si>
    <t xml:space="preserve">  &amp; B.S. ITEMS EXCLUDED</t>
  </si>
  <si>
    <t>BALANCE SHEET ITEMS EXCLUDED</t>
  </si>
  <si>
    <t>s/b       0</t>
  </si>
  <si>
    <t>SCHERER ADJUSTMENT</t>
  </si>
  <si>
    <t>CAP STRUCTURE</t>
  </si>
  <si>
    <t xml:space="preserve">   =============</t>
  </si>
  <si>
    <t>TOTAL CO (ACTUAL) COST RATES</t>
  </si>
  <si>
    <t xml:space="preserve">        -------</t>
  </si>
  <si>
    <t xml:space="preserve">        --------</t>
  </si>
  <si>
    <t>TOTAL CO (ACTUAL) COMPONENT</t>
  </si>
  <si>
    <t xml:space="preserve">        =======</t>
  </si>
  <si>
    <t xml:space="preserve">        ========</t>
  </si>
  <si>
    <t>TOTAL CO (FPSC ADJ) COST RATES</t>
  </si>
  <si>
    <t>TOTAL CO (FPSC ADJ) COMPONENT</t>
  </si>
  <si>
    <t>TOTAL CO(PRO FORMA) COST RATES</t>
  </si>
  <si>
    <t>TOTAL CO (PRO FORMA) COMPONENT</t>
  </si>
  <si>
    <t>CALCULATION OF ITC COST RATE</t>
  </si>
  <si>
    <t>JURISDICTIONAL 13-MONTH AVERAGE CAPITAL STRUCTURE</t>
  </si>
  <si>
    <t>PAGE 3</t>
  </si>
  <si>
    <t>PAGE 3 OF FILE NAME: RRCOMB3 (13MACS)</t>
  </si>
  <si>
    <t xml:space="preserve">    DEFERRED</t>
  </si>
  <si>
    <t xml:space="preserve">      TAXES</t>
  </si>
  <si>
    <t>JURISDICTIONAL CAPITAL STRUCTURE</t>
  </si>
  <si>
    <t>--------------------------------</t>
  </si>
  <si>
    <t>UPS 13MA DefTax</t>
  </si>
  <si>
    <t>LESS: NON-UTILITY &amp; SPECIFIC ADJ.</t>
  </si>
  <si>
    <t>Remaining Scherer</t>
  </si>
  <si>
    <t xml:space="preserve">      COMMON DIV. DECLARED</t>
  </si>
  <si>
    <t xml:space="preserve">      UPS 13 MO AVG</t>
  </si>
  <si>
    <t>SCHERER @ 100%</t>
  </si>
  <si>
    <t>ADIT</t>
  </si>
  <si>
    <t>REMAINING SCHERER</t>
  </si>
  <si>
    <t>UNIT 3</t>
  </si>
  <si>
    <t xml:space="preserve">     TRANS.</t>
  </si>
  <si>
    <t xml:space="preserve">  ----------</t>
  </si>
  <si>
    <t xml:space="preserve">  -----------</t>
  </si>
  <si>
    <t xml:space="preserve">   RATE BASE</t>
  </si>
  <si>
    <t>JURISDICTIONAL FACTOR</t>
  </si>
  <si>
    <t>JURISDICTIONAL RATE BASE</t>
  </si>
  <si>
    <t>JURIS (ACTUAL) COST RATES</t>
  </si>
  <si>
    <t>JURIS (ACTUAL) COMPONENT</t>
  </si>
  <si>
    <t xml:space="preserve">   ------------</t>
  </si>
  <si>
    <t>JURIS (FPSC ADJ) COST RATES</t>
  </si>
  <si>
    <t>13MA</t>
  </si>
  <si>
    <t>JURIS (FPSC ADJ) COMPONENT</t>
  </si>
  <si>
    <t>JURIS (PRO FORMA) COST RATES</t>
  </si>
  <si>
    <t>JURIS (PRO FORMA) COMPONENT</t>
  </si>
  <si>
    <t>RATIO WITH 4&amp;10% ITC ALLOCATED</t>
  </si>
  <si>
    <t>JURIS COST RATES</t>
  </si>
  <si>
    <t>COMPONENT FOR ROE CALCULATION</t>
  </si>
  <si>
    <t>net bonds</t>
  </si>
  <si>
    <t>pref stock</t>
  </si>
  <si>
    <t>comm equity</t>
  </si>
  <si>
    <t xml:space="preserve">13 MONTH AVERAGE CAPITAL STRUCTURE </t>
  </si>
  <si>
    <t>P. 4 OF FILE NAME: RRCOMB3 (13MACS)</t>
  </si>
  <si>
    <t xml:space="preserve">           LOW POINT</t>
  </si>
  <si>
    <t xml:space="preserve">           MIDPOINT</t>
  </si>
  <si>
    <t xml:space="preserve">           HIGH POINT</t>
  </si>
  <si>
    <t>(29)</t>
  </si>
  <si>
    <t>Include Prov. For Rate Refund (not included in Other Op Revs)</t>
  </si>
  <si>
    <t>Debit bal in the 449</t>
  </si>
  <si>
    <t>ROUND(-RRCOMB3!E1063/1000,0)+1</t>
  </si>
  <si>
    <t>ROUND(-RRCOMB3!E1064/1000,0)</t>
  </si>
  <si>
    <t>Page 1 of 6</t>
  </si>
  <si>
    <t>Page 2 of 6</t>
  </si>
  <si>
    <t>Page 3 of 6</t>
  </si>
  <si>
    <t>Page 4 of 6</t>
  </si>
  <si>
    <t>Page 5 of 6</t>
  </si>
  <si>
    <t>Page 6 of 6</t>
  </si>
  <si>
    <t>Adj.</t>
  </si>
  <si>
    <t>Adjustment Title</t>
  </si>
  <si>
    <t>Reason for Adjustment or Omission</t>
  </si>
  <si>
    <t>Commission Adjustments Not Made:</t>
  </si>
  <si>
    <t xml:space="preserve">Recap Schedules: </t>
  </si>
  <si>
    <t>RRCOMB 3, Beginning in Row 542</t>
  </si>
  <si>
    <t>Interest Synchronization Adjustment</t>
  </si>
  <si>
    <t>(Thousands of Dollars)</t>
  </si>
  <si>
    <t>Interest Synchronization</t>
  </si>
  <si>
    <t>Cost Rate</t>
  </si>
  <si>
    <t>Total Company</t>
  </si>
  <si>
    <t xml:space="preserve">        Bonds</t>
  </si>
  <si>
    <t xml:space="preserve">        Short-Term Debt</t>
  </si>
  <si>
    <t xml:space="preserve">        ITC-Debt Component</t>
  </si>
  <si>
    <t xml:space="preserve">        Total Synchronized Interest</t>
  </si>
  <si>
    <t xml:space="preserve">        Total Company Interest Expense</t>
  </si>
  <si>
    <t xml:space="preserve">        Difference</t>
  </si>
  <si>
    <t>ADJUSTED RATE BASE</t>
  </si>
  <si>
    <t xml:space="preserve">        Federal Income Tax @ 33.075%</t>
  </si>
  <si>
    <t xml:space="preserve">        State Income Tax @ 5.5%</t>
  </si>
  <si>
    <t xml:space="preserve">          Total</t>
  </si>
  <si>
    <t>Adj. 39</t>
  </si>
  <si>
    <t xml:space="preserve">        Less:  Unit Power Sales Interest</t>
  </si>
  <si>
    <t xml:space="preserve">        Jurisdictional Factor</t>
  </si>
  <si>
    <t>G-19a</t>
  </si>
  <si>
    <t>From Surv.</t>
  </si>
  <si>
    <t xml:space="preserve">Calculations are replicated in the March Surveillance </t>
  </si>
  <si>
    <t>Direct</t>
  </si>
  <si>
    <t>Hiring Lag</t>
  </si>
  <si>
    <t>Security Measures</t>
  </si>
  <si>
    <t>Inflation Factors</t>
  </si>
  <si>
    <t>Adjustment is not applicable for the interim test period.</t>
  </si>
  <si>
    <t>Depreciation Study Adjustment</t>
  </si>
  <si>
    <t>Relocation Expense</t>
  </si>
  <si>
    <t>Cable Injection Expense</t>
  </si>
  <si>
    <t>Tree Trimming Expenses</t>
  </si>
  <si>
    <t>Street &amp; Outdoor Lighting Expenses</t>
  </si>
  <si>
    <t>Smith CC Life Adjustment</t>
  </si>
  <si>
    <t>House Power Panels</t>
  </si>
  <si>
    <t>Office Building - 3rd Floor</t>
  </si>
  <si>
    <t xml:space="preserve">Smith CC Property Tax </t>
  </si>
  <si>
    <t>FPSC Assessment Fee on Franchise</t>
  </si>
  <si>
    <t>To remove the FPSC assessment on Franchise Fee</t>
  </si>
  <si>
    <t xml:space="preserve">   Fee Revenue</t>
  </si>
  <si>
    <t>revenues.</t>
  </si>
  <si>
    <t>(30)</t>
  </si>
  <si>
    <t>(31)</t>
  </si>
  <si>
    <t>(32)</t>
  </si>
  <si>
    <t>(33)</t>
  </si>
  <si>
    <t>FPSC Assessment Fee on ECRC</t>
  </si>
  <si>
    <t>To remove the FPSC assessment on ECRC revenues.</t>
  </si>
  <si>
    <t xml:space="preserve">   Revenues</t>
  </si>
  <si>
    <t>FPSC Assessment Fee on ECCR</t>
  </si>
  <si>
    <t>To remove the FPSC assessment on ECCR revenues.</t>
  </si>
  <si>
    <t>(27)</t>
  </si>
  <si>
    <t>(34)</t>
  </si>
  <si>
    <t xml:space="preserve">               Recap Schedule:  G-7</t>
  </si>
  <si>
    <t>Supporting Schedules:  G-9</t>
  </si>
  <si>
    <t>To remove the ECRC payroll tax and ECRC property tax</t>
  </si>
  <si>
    <t>To remove the ECCR payroll tax and ECCR property tax</t>
  </si>
  <si>
    <r>
      <t>SCHERER CAPACITY EQUALIZATION:</t>
    </r>
    <r>
      <rPr>
        <sz val="10"/>
        <rFont val="Arial"/>
        <family val="2"/>
      </rPr>
      <t xml:space="preserve"> SCS MONTHLY LOAD COMPARISON REPORT</t>
    </r>
  </si>
  <si>
    <t xml:space="preserve">     ("0" SINCE 100% SALES IN 6/92)</t>
  </si>
  <si>
    <r>
      <t>BASE &amp; STATION SERVICE VOM:</t>
    </r>
    <r>
      <rPr>
        <sz val="10"/>
        <rFont val="Arial"/>
        <family val="2"/>
      </rPr>
      <t xml:space="preserve"> UPSSALES SCHEDULE - UPS/BASE-BASE3/STATS;</t>
    </r>
  </si>
  <si>
    <t xml:space="preserve">      OTHER DOLLARS COLUMN</t>
  </si>
  <si>
    <t>MONTHLY RECONCILIATION OF UPS REVENUES AND EXPENSES:</t>
  </si>
  <si>
    <t>REVENUES NET OF FUEL</t>
  </si>
  <si>
    <t xml:space="preserve">   UPS VARIABLE O&amp;M (VOM)</t>
  </si>
  <si>
    <t xml:space="preserve">             GULF POWER COMPANY</t>
  </si>
  <si>
    <t>@</t>
  </si>
  <si>
    <t xml:space="preserve">           AVERAGE RATE OF RETURN</t>
  </si>
  <si>
    <t>UPS VOM (NET OF ALT &amp; SUPP)</t>
  </si>
  <si>
    <t>AVERAGE INCOME STATEMENT</t>
  </si>
  <si>
    <t xml:space="preserve">              INCOME STATEMENT</t>
  </si>
  <si>
    <t>ALT &amp; SUPP MARKUP</t>
  </si>
  <si>
    <t>PAGE 2 OF FILE NAME: RRCOMB3 (NOI)</t>
  </si>
  <si>
    <t>BASE &amp; STATION SERVICE VOM</t>
  </si>
  <si>
    <t>RANGE: A901..N961</t>
  </si>
  <si>
    <t>UPS REVENUE ADJUSTMENTS</t>
  </si>
  <si>
    <t>RECONCILIATION</t>
  </si>
  <si>
    <t>(ALT, SUPP, DIS &amp; "R")</t>
  </si>
  <si>
    <t xml:space="preserve"> ---------------</t>
  </si>
  <si>
    <t>Jan '03</t>
  </si>
  <si>
    <t>Feb '03</t>
  </si>
  <si>
    <t xml:space="preserve"> =============</t>
  </si>
  <si>
    <t xml:space="preserve"> ===============</t>
  </si>
  <si>
    <t>Mar '03</t>
  </si>
  <si>
    <t>Apr '03</t>
  </si>
  <si>
    <t>May '03</t>
  </si>
  <si>
    <t>Jun '02</t>
  </si>
  <si>
    <t>Jul '02</t>
  </si>
  <si>
    <t>Aug '02</t>
  </si>
  <si>
    <t>Sep '02</t>
  </si>
  <si>
    <t>Oct '02</t>
  </si>
  <si>
    <t>Nov '02</t>
  </si>
  <si>
    <t>Dec '02</t>
  </si>
  <si>
    <t>Change Month</t>
  </si>
  <si>
    <t>ADJUSTED</t>
  </si>
  <si>
    <t>PRORATA</t>
  </si>
  <si>
    <t>LT DEBT</t>
  </si>
  <si>
    <t>ST DEBT</t>
  </si>
  <si>
    <t>CUST DEPOSITS</t>
  </si>
  <si>
    <t>DEF INCOME TAX</t>
  </si>
  <si>
    <t>FAS 109 TAXES</t>
  </si>
  <si>
    <t>ITC - WEIGHTED</t>
  </si>
  <si>
    <t>SPECIFIC ADJUST</t>
  </si>
  <si>
    <t>BASIS -</t>
  </si>
  <si>
    <t>PRO RATA BASE</t>
  </si>
  <si>
    <t xml:space="preserve">PRO RATA </t>
  </si>
  <si>
    <t>TOTAL ADJUST</t>
  </si>
  <si>
    <t>SPREAD</t>
  </si>
  <si>
    <t>% SPREAD</t>
  </si>
  <si>
    <t>PAGE 5 OF FILE NAME: RRCOMB3 (13MACS)</t>
  </si>
  <si>
    <t>RANGE A542..G600</t>
  </si>
  <si>
    <t>PRO FORMA ADJUSTED 13 MONTH</t>
  </si>
  <si>
    <t xml:space="preserve">   13 MONTH AVERAGE</t>
  </si>
  <si>
    <t>INTEREST ON</t>
  </si>
  <si>
    <t xml:space="preserve"> INTEREST-RELATED BUYOUT COSTS</t>
  </si>
  <si>
    <t>REFUND OF</t>
  </si>
  <si>
    <t xml:space="preserve">COST </t>
  </si>
  <si>
    <t xml:space="preserve">  --------------------------</t>
  </si>
  <si>
    <t>BUYOUY-RELATED</t>
  </si>
  <si>
    <t>BUYOUT COSTS</t>
  </si>
  <si>
    <t>RATE</t>
  </si>
  <si>
    <t>EXPENSE</t>
  </si>
  <si>
    <t>AMORT DEBT EXP</t>
  </si>
  <si>
    <t>INTEREST ADJ.</t>
  </si>
  <si>
    <t>'88 TAX RULE</t>
  </si>
  <si>
    <t>TO W/S CUST.</t>
  </si>
  <si>
    <t>May, '05</t>
  </si>
  <si>
    <t>JURISDICTIONAL</t>
  </si>
  <si>
    <t>JURISDICTIONAL PROFORMA</t>
  </si>
  <si>
    <t xml:space="preserve">  BONDS</t>
  </si>
  <si>
    <t xml:space="preserve">  SHORT TERM DEBT</t>
  </si>
  <si>
    <t xml:space="preserve">  CUSTOMER DEPOSITS</t>
  </si>
  <si>
    <t xml:space="preserve">  INVESTMENT TAX CREDIT</t>
  </si>
  <si>
    <t xml:space="preserve">  TOTAL SYNCHRONIZED INTEREST</t>
  </si>
  <si>
    <t xml:space="preserve">  TOTAL COMPANY INTEREST EXPENSE (12 MTD)</t>
  </si>
  <si>
    <t xml:space="preserve">  LESS: UPS INTEREST EXPENSE (13 MO. AVG.)</t>
  </si>
  <si>
    <t xml:space="preserve">  JURISDICTIONAL FACTOR</t>
  </si>
  <si>
    <t xml:space="preserve">  12 M-T-D</t>
  </si>
  <si>
    <t xml:space="preserve">  TERRITORRIAL INTEREST SYNCHRONIZATION</t>
  </si>
  <si>
    <t xml:space="preserve">  DIFFERENCE</t>
  </si>
  <si>
    <t xml:space="preserve">  FEDERAL INCOME TAX  ( 12 MO. @33.075)</t>
  </si>
  <si>
    <t>TOTAL INTEREST EXPENSE</t>
  </si>
  <si>
    <t>$$</t>
  </si>
  <si>
    <t xml:space="preserve">  STATE INCOME TAX     5.5%</t>
  </si>
  <si>
    <t>----------------------</t>
  </si>
  <si>
    <t>12 M-T-D INTEREST CHARGES</t>
  </si>
  <si>
    <t xml:space="preserve">  JURISDICTIONAL  INTEREST</t>
  </si>
  <si>
    <t xml:space="preserve">  TOTAL</t>
  </si>
  <si>
    <t>LESS: BUYOUT RELATED INTEREST</t>
  </si>
  <si>
    <t xml:space="preserve">   ============</t>
  </si>
  <si>
    <t xml:space="preserve">      88 TAX RULE</t>
  </si>
  <si>
    <t>(6/90)</t>
  </si>
  <si>
    <t xml:space="preserve">  FEDERAL INCOME TAX  ( @ 33.075)</t>
  </si>
  <si>
    <t xml:space="preserve">      WHOLESALE REFUND</t>
  </si>
  <si>
    <t xml:space="preserve">  STATE INCOME TAX     (@ 5.5%)</t>
  </si>
  <si>
    <t>TOTAL COMPANY</t>
  </si>
  <si>
    <t xml:space="preserve">  TAX EFFECT OF INTEREST SYCHRONIZAION PRO FORMA</t>
  </si>
  <si>
    <t xml:space="preserve">   FPSC ADJUSTED INTEREST SYNCHRONIZATION</t>
  </si>
  <si>
    <t xml:space="preserve">  PRO FORMA INTEREST SYNCH ADJUSTMENT</t>
  </si>
  <si>
    <t xml:space="preserve">   -----------</t>
  </si>
  <si>
    <t>TOTAL SYNCHRONIZED INTEREST</t>
  </si>
  <si>
    <t xml:space="preserve">  TOTAL COMPANY INTEREST EXPENSE</t>
  </si>
  <si>
    <t>TTOTAL PRO FORMA TAX ADJUSTMENT:</t>
  </si>
  <si>
    <t>BASE RATE REVENUE INCREASE</t>
  </si>
  <si>
    <t>CHG TO UNCOLLECTIBLE RESERVE</t>
  </si>
  <si>
    <t>SMITH UNIT 3 OPER &amp; MAINT</t>
  </si>
  <si>
    <t>SMITH UNIT 3 DEPRECIATION</t>
  </si>
  <si>
    <t xml:space="preserve">  STATE INCOME TAX      5.5%</t>
  </si>
  <si>
    <t>SMITH UNIT 3 OTHER TAXES</t>
  </si>
  <si>
    <t>FPSC FEES ON BASE RATES ADJ</t>
  </si>
  <si>
    <t>SUBTOTAL</t>
  </si>
  <si>
    <t>TAX RATE</t>
  </si>
  <si>
    <t>STATUTORY TAXES</t>
  </si>
  <si>
    <t>PERIOD END CAPITAL STRUCTURE</t>
  </si>
  <si>
    <t>INTEREST SYNCH ADJUSTMENT</t>
  </si>
  <si>
    <t>FILE NAME:RRCOMB3 (PECS)</t>
  </si>
  <si>
    <t>RANGE: A601..K840</t>
  </si>
  <si>
    <t xml:space="preserve">       RETURN ON COMMON EQUITY</t>
  </si>
  <si>
    <t>INCOME TAX ADJ (PRO FORMA)</t>
  </si>
  <si>
    <t xml:space="preserve">       -----------------------</t>
  </si>
  <si>
    <t xml:space="preserve">           FPSC ADJUSTED</t>
  </si>
  <si>
    <t xml:space="preserve">         PRO FORMA ADJUSTED</t>
  </si>
  <si>
    <t xml:space="preserve">       --------</t>
  </si>
  <si>
    <t xml:space="preserve">       TOTAL CO</t>
  </si>
  <si>
    <t xml:space="preserve">          JURIS</t>
  </si>
  <si>
    <t>NON-UTILITY AMOUNTS  (PERIOD END)</t>
  </si>
  <si>
    <t>PERIOD END RATE OF RETURN</t>
  </si>
  <si>
    <t>COMPONENT</t>
  </si>
  <si>
    <t xml:space="preserve">         ------</t>
  </si>
  <si>
    <t>COMMON EQUITY RATIO</t>
  </si>
  <si>
    <t>TOTAL NON-UTILITY</t>
  </si>
  <si>
    <t>RETURN ON EQUITY</t>
  </si>
  <si>
    <t>COMMON DIVIDENDS DECLARED</t>
  </si>
  <si>
    <t xml:space="preserve">         ======</t>
  </si>
  <si>
    <t xml:space="preserve">        DEBT</t>
  </si>
  <si>
    <t>-------------------------------</t>
  </si>
  <si>
    <t>CURRENT MONTH AMOUNT</t>
  </si>
  <si>
    <t xml:space="preserve">  DIFF. 13M &amp; PE WORK CAP.</t>
  </si>
  <si>
    <t xml:space="preserve"> RB ADJ. AND BS ITEMS EXCL.</t>
  </si>
  <si>
    <t>BASE</t>
  </si>
  <si>
    <t>TOTAL CO(PRO FORMA) COMPONENT</t>
  </si>
  <si>
    <t>PAGE 2 OF FILE NAME: RRCOMB3 (PECS)</t>
  </si>
  <si>
    <t>LESS: NON-UTILITY</t>
  </si>
  <si>
    <t xml:space="preserve">       UPS 13 PERIOD END</t>
  </si>
  <si>
    <t xml:space="preserve">       PEABODY BUYOUT</t>
  </si>
  <si>
    <t xml:space="preserve">  RATIO  R.B.&amp; B.S. ITEMS EXCL.</t>
  </si>
  <si>
    <t>RETAIL/WHOLESALE RATE BASE</t>
  </si>
  <si>
    <t xml:space="preserve">              </t>
  </si>
  <si>
    <t>PERIOD END JURIS COST RATES</t>
  </si>
  <si>
    <t>JURISDICTIONAL COMPONENT</t>
  </si>
  <si>
    <t xml:space="preserve">            REQUIRED RATE OF RETURN</t>
  </si>
  <si>
    <t>JURS AMT</t>
  </si>
  <si>
    <t>ITC COMPONENT</t>
  </si>
  <si>
    <t xml:space="preserve">      MIDPOINT</t>
  </si>
  <si>
    <t>BONDS</t>
  </si>
  <si>
    <t>ALLOWED RETURN ON EQUITY</t>
  </si>
  <si>
    <t>OVERALL RATE OF RETURN</t>
  </si>
  <si>
    <t xml:space="preserve">      =========</t>
  </si>
  <si>
    <t xml:space="preserve">   --------------------------</t>
  </si>
  <si>
    <t xml:space="preserve">   -----------------------</t>
  </si>
  <si>
    <t xml:space="preserve"> YEAR-END</t>
  </si>
  <si>
    <t xml:space="preserve"> --------</t>
  </si>
  <si>
    <t>FPSC SCHEDULE 4</t>
  </si>
  <si>
    <t>PAGE 3 OF RRPECS</t>
  </si>
  <si>
    <t>PERIOD END CAP STRUCUTRE PRO FORMA</t>
  </si>
  <si>
    <t>JANUARY, '03</t>
  </si>
  <si>
    <t>PAGE 4 OF FILE NAME: RRCOMB3 (PECS)</t>
  </si>
  <si>
    <t>RANGE: A781..G840</t>
  </si>
  <si>
    <t xml:space="preserve">      PERIOD END</t>
  </si>
  <si>
    <t xml:space="preserve">   ADJUSTED</t>
  </si>
  <si>
    <t>COST</t>
  </si>
  <si>
    <t>---------</t>
  </si>
  <si>
    <t xml:space="preserve">    -----------</t>
  </si>
  <si>
    <t xml:space="preserve">  LESS: UPS INTEREST EXPENSE (13 MO.AVG.)</t>
  </si>
  <si>
    <t xml:space="preserve">  STATE INCOME TAX       5.50%</t>
  </si>
  <si>
    <t>--------------</t>
  </si>
  <si>
    <t xml:space="preserve">  TOTAL CO. INTEREST EXPENSE INCLUDES ADJUST. FOR 88 TAX RULE REFUND MADE IN 6/90.</t>
  </si>
  <si>
    <t>UNIT POWER SALES</t>
  </si>
  <si>
    <t>NET OPERATING INCOME</t>
  </si>
  <si>
    <t>PAGE 1 OF FILE NAME: RCOMB3 (RNOI)</t>
  </si>
  <si>
    <t>RANGE: A841..O900</t>
  </si>
  <si>
    <t>U.P.S.</t>
  </si>
  <si>
    <t>(ALT,SUP,DIS,"R")</t>
  </si>
  <si>
    <t>A&amp;G</t>
  </si>
  <si>
    <t>VARIABLE O&amp;M</t>
  </si>
  <si>
    <t>TAXABLE INC.</t>
  </si>
  <si>
    <t>SOURCE: REPORT NO. 20300</t>
  </si>
  <si>
    <t>NET OF</t>
  </si>
  <si>
    <t>O&amp;M</t>
  </si>
  <si>
    <t>OPER EXPS</t>
  </si>
  <si>
    <t>NET OF ALT. &amp;</t>
  </si>
  <si>
    <t>Check against Budret</t>
  </si>
  <si>
    <t xml:space="preserve">BEFORE </t>
  </si>
  <si>
    <t xml:space="preserve">CARRYING </t>
  </si>
  <si>
    <t xml:space="preserve">TAXABLE </t>
  </si>
  <si>
    <t>TAX</t>
  </si>
  <si>
    <t>UPS STATION SERVICE</t>
  </si>
  <si>
    <t xml:space="preserve"> Forfeited Discounts</t>
  </si>
  <si>
    <t>451</t>
  </si>
  <si>
    <t xml:space="preserve"> Miscellaneous Service Revenues</t>
  </si>
  <si>
    <t>453</t>
  </si>
  <si>
    <t xml:space="preserve"> Sales of Water and Water Power</t>
  </si>
  <si>
    <t>454</t>
  </si>
  <si>
    <t xml:space="preserve"> Rent from Electric Property</t>
  </si>
  <si>
    <t>455</t>
  </si>
  <si>
    <t xml:space="preserve"> Interdepartmental Rents</t>
  </si>
  <si>
    <t>456</t>
  </si>
  <si>
    <t xml:space="preserve"> Deferred Fuel Revenue</t>
  </si>
  <si>
    <t xml:space="preserve"> Unbilled Revenue</t>
  </si>
  <si>
    <t>TOTAL OTHER OPERATING REVENUES</t>
  </si>
  <si>
    <t>TOTAL ELECTRIC OPERATING REVENUES</t>
  </si>
  <si>
    <t>Common Equity</t>
  </si>
  <si>
    <t>Interest Bearing CWIP</t>
  </si>
  <si>
    <t xml:space="preserve">     RRCOMB1A</t>
  </si>
  <si>
    <t>RRCOMB1</t>
  </si>
  <si>
    <t>Y11..AA54</t>
  </si>
  <si>
    <t>RRCOMB2</t>
  </si>
  <si>
    <t>12MTDCONSREV</t>
  </si>
  <si>
    <t>B147</t>
  </si>
  <si>
    <t>RRCOMB3</t>
  </si>
  <si>
    <t>/M2</t>
  </si>
  <si>
    <t>AO40</t>
  </si>
  <si>
    <t>13-MONTH AVERAGE</t>
  </si>
  <si>
    <t>TRANSMISSION ADIT - 1991/1992 UPS</t>
  </si>
  <si>
    <t>Jurisdictional Separation Factors used in the Surveillance Report.</t>
  </si>
  <si>
    <t>13MAFS&amp;UT</t>
  </si>
  <si>
    <t>E175</t>
  </si>
  <si>
    <t>12MECODEVALLOW</t>
  </si>
  <si>
    <t>H29</t>
  </si>
  <si>
    <t>12MTDCRTX</t>
  </si>
  <si>
    <t>D147</t>
  </si>
  <si>
    <t>12MOUPSINT</t>
  </si>
  <si>
    <t>G562</t>
  </si>
  <si>
    <t>FILE NAME:RRCOMB3 (RB)</t>
  </si>
  <si>
    <t>13 MONTH AVERAGE - SEPTEMBER '92</t>
  </si>
  <si>
    <t>13MAC&amp;AA</t>
  </si>
  <si>
    <t>B149</t>
  </si>
  <si>
    <t>12MFFEXP</t>
  </si>
  <si>
    <t>F29</t>
  </si>
  <si>
    <t>12MTDJURFE</t>
  </si>
  <si>
    <t>K28</t>
  </si>
  <si>
    <t>12MTDBRR</t>
  </si>
  <si>
    <t>C1030</t>
  </si>
  <si>
    <t>RANGE: A1..O60</t>
  </si>
  <si>
    <t>C:\DATA\LOTUS\UPSIMPCT\JURAUG92.xls</t>
  </si>
  <si>
    <t>13MACA</t>
  </si>
  <si>
    <t>D509</t>
  </si>
  <si>
    <t>12MINDDUES</t>
  </si>
  <si>
    <t>E29</t>
  </si>
  <si>
    <t>12MTDNFR</t>
  </si>
  <si>
    <t>E28</t>
  </si>
  <si>
    <t>12MTDFFR</t>
  </si>
  <si>
    <t>C1037</t>
  </si>
  <si>
    <t>March '11</t>
  </si>
  <si>
    <t>TRANSMISSION</t>
  </si>
  <si>
    <t>Amount in 2000 Cost</t>
  </si>
  <si>
    <t>Amount in 2002 Cost</t>
  </si>
  <si>
    <t>13MACASH</t>
  </si>
  <si>
    <t>I149</t>
  </si>
  <si>
    <t>12MECONDEV</t>
  </si>
  <si>
    <t>G29</t>
  </si>
  <si>
    <t>12MTDRETFC</t>
  </si>
  <si>
    <t>B28</t>
  </si>
  <si>
    <t>12MTDOOR</t>
  </si>
  <si>
    <t>C1036</t>
  </si>
  <si>
    <t xml:space="preserve">          EXCLUSIONS FROM RATE BASE</t>
  </si>
  <si>
    <t>INVESTMENT</t>
  </si>
  <si>
    <t>of Service Study</t>
  </si>
  <si>
    <t>13MACD</t>
  </si>
  <si>
    <t>D175</t>
  </si>
  <si>
    <t>12MMMREF</t>
  </si>
  <si>
    <t>I29</t>
  </si>
  <si>
    <t>12MTDREVTX</t>
  </si>
  <si>
    <t>L28</t>
  </si>
  <si>
    <t>12MTDORREV</t>
  </si>
  <si>
    <t>C1040</t>
  </si>
  <si>
    <t>CONSTRUCTION</t>
  </si>
  <si>
    <t xml:space="preserve">  -------------------</t>
  </si>
  <si>
    <t>---------------</t>
  </si>
  <si>
    <t>-</t>
  </si>
  <si>
    <t>MONTH</t>
  </si>
  <si>
    <t>GULF</t>
  </si>
  <si>
    <t>D.I.T.-TOTAL</t>
  </si>
  <si>
    <t>D.I.T.-GULF</t>
  </si>
  <si>
    <t>NET OF D.I.T.</t>
  </si>
  <si>
    <t>INCLUD. D.I.T.</t>
  </si>
  <si>
    <t>Allocator</t>
  </si>
  <si>
    <t>Retail</t>
  </si>
  <si>
    <t>Wholesale</t>
  </si>
  <si>
    <t>13MACDD</t>
  </si>
  <si>
    <t>C175</t>
  </si>
  <si>
    <t>12MTDFRFEE</t>
  </si>
  <si>
    <t>B29</t>
  </si>
  <si>
    <t>12MTDROE</t>
  </si>
  <si>
    <t>D28</t>
  </si>
  <si>
    <t>12MTDRET</t>
  </si>
  <si>
    <t>C1032</t>
  </si>
  <si>
    <t>UTILITY</t>
  </si>
  <si>
    <t>PLANT</t>
  </si>
  <si>
    <t>APPLIANCE</t>
  </si>
  <si>
    <t>DANIEL</t>
  </si>
  <si>
    <t>GOVERNMENTAL &amp;</t>
  </si>
  <si>
    <t>$</t>
  </si>
  <si>
    <t>13MACL</t>
  </si>
  <si>
    <t>B175</t>
  </si>
  <si>
    <t>12MTDMMEXP</t>
  </si>
  <si>
    <t>J29</t>
  </si>
  <si>
    <t>12MTDTFE</t>
  </si>
  <si>
    <t>O111</t>
  </si>
  <si>
    <t>12MTDSCHE</t>
  </si>
  <si>
    <t>C1038</t>
  </si>
  <si>
    <t>PLANT-IN-</t>
  </si>
  <si>
    <t>HELD FOR</t>
  </si>
  <si>
    <t>DEPRECIATION</t>
  </si>
  <si>
    <t>NON-INTEREST</t>
  </si>
  <si>
    <t>INTEREST</t>
  </si>
  <si>
    <t>UPS INTEREST</t>
  </si>
  <si>
    <t>SALES/SERV</t>
  </si>
  <si>
    <t>COAL CARS</t>
  </si>
  <si>
    <t>ARO</t>
  </si>
  <si>
    <t>REGULATORY AFFRS</t>
  </si>
  <si>
    <t>13MACVS&amp;E</t>
  </si>
  <si>
    <t>E509</t>
  </si>
  <si>
    <t>13MAACCD</t>
  </si>
  <si>
    <t>C232</t>
  </si>
  <si>
    <t>12MTDTNF</t>
  </si>
  <si>
    <t>B111</t>
  </si>
  <si>
    <t>12MTDUPS</t>
  </si>
  <si>
    <t>C1034</t>
  </si>
  <si>
    <t>FUTURE USE</t>
  </si>
  <si>
    <t>RESERVE</t>
  </si>
  <si>
    <t>(PER BOOKS)</t>
  </si>
  <si>
    <t>BEARING CWIP</t>
  </si>
  <si>
    <t>ACCUM DEPREC</t>
  </si>
  <si>
    <t>INVESTIGATION</t>
  </si>
  <si>
    <t>PLANT-IN-SERV</t>
  </si>
  <si>
    <t xml:space="preserve">  SEP '91</t>
  </si>
  <si>
    <t>13MADCMM</t>
  </si>
  <si>
    <t>K509</t>
  </si>
  <si>
    <t>13MAFUEL</t>
  </si>
  <si>
    <t>D232</t>
  </si>
  <si>
    <t>12MTDUPSFRE</t>
  </si>
  <si>
    <t>L51</t>
  </si>
  <si>
    <t>12MTDUPSNF</t>
  </si>
  <si>
    <t>C1039</t>
  </si>
  <si>
    <t xml:space="preserve">  ----------------</t>
  </si>
  <si>
    <t>@ROUND((-D1747*0.9672085)+(-E1747*0.9677764)+(-F1747*0.9972201)+(-G1747*0.9764614),0)</t>
  </si>
  <si>
    <t>-B1744</t>
  </si>
  <si>
    <t>@ROUND(-II90*0.9764614,0)</t>
  </si>
  <si>
    <t>-O1744</t>
  </si>
  <si>
    <t>+M1032</t>
  </si>
  <si>
    <t>-D1750</t>
  </si>
  <si>
    <t>GAIN/LOSS ON DISPOSITION OF PROPERTY</t>
  </si>
  <si>
    <t>-E1750</t>
  </si>
  <si>
    <t>MONSANTO / REV ADJUSTMENT</t>
  </si>
  <si>
    <t>411-(601,701)</t>
  </si>
  <si>
    <t>421-(110,210)</t>
  </si>
  <si>
    <t>@ROUND($E$1110*0.2018652,0)</t>
  </si>
  <si>
    <t>-F1750</t>
  </si>
  <si>
    <t>-J1750</t>
  </si>
  <si>
    <t>CORPORATE INVEST / MANAG PERK</t>
  </si>
  <si>
    <t>-K1750</t>
  </si>
  <si>
    <t>-C1750</t>
  </si>
  <si>
    <t>-I1750</t>
  </si>
  <si>
    <t>-II90</t>
  </si>
  <si>
    <t>+M1045</t>
  </si>
  <si>
    <t>+E1110</t>
  </si>
  <si>
    <t>+M1033</t>
  </si>
  <si>
    <t>CORP ADV &amp; WHOLESALE EXPENSE</t>
  </si>
  <si>
    <t>+E1037</t>
  </si>
  <si>
    <t>Pro-Forma Adjustment</t>
  </si>
  <si>
    <t>+E1032</t>
  </si>
  <si>
    <t>October 1999 - September 2000</t>
  </si>
  <si>
    <t>+E1039</t>
  </si>
  <si>
    <t>ECCR and PPCC EXPENSES</t>
  </si>
  <si>
    <t>+E1031</t>
  </si>
  <si>
    <t>KWH Sales by Month</t>
  </si>
  <si>
    <t>-C915</t>
  </si>
  <si>
    <t>Residential Sales  (1)</t>
  </si>
  <si>
    <t>+M1040</t>
  </si>
  <si>
    <t>Commercial Sales   (1)</t>
  </si>
  <si>
    <t>+M1041</t>
  </si>
  <si>
    <t>Industrial Sales   (1)</t>
  </si>
  <si>
    <t>+M1030</t>
  </si>
  <si>
    <t>Public Street and Highway Lighting</t>
  </si>
  <si>
    <t>-II98</t>
  </si>
  <si>
    <t>Sales for Resale - Territorial:</t>
  </si>
  <si>
    <t>+M1053</t>
  </si>
  <si>
    <t xml:space="preserve">  Municipalities (Blountstown)</t>
  </si>
  <si>
    <t>+M1031</t>
  </si>
  <si>
    <t xml:space="preserve">  Florida Public Utilities</t>
  </si>
  <si>
    <t>+M1036</t>
  </si>
  <si>
    <t xml:space="preserve">  Other</t>
  </si>
  <si>
    <t>-S117</t>
  </si>
  <si>
    <t>Interdepartmental Sales</t>
  </si>
  <si>
    <t>+M1023</t>
  </si>
  <si>
    <t>+M1029</t>
  </si>
  <si>
    <t>Total Territorial Sales  (2)</t>
  </si>
  <si>
    <t>+M1034</t>
  </si>
  <si>
    <t>+M1044</t>
  </si>
  <si>
    <t>Total Territorial w/o Wholesale</t>
  </si>
  <si>
    <t>+M1054</t>
  </si>
  <si>
    <t>Monthly Sum:</t>
  </si>
  <si>
    <t>-M1056</t>
  </si>
  <si>
    <t>Settlement Factor</t>
  </si>
  <si>
    <t>-M1058</t>
  </si>
  <si>
    <t>Rate Reduction Settlement:</t>
  </si>
  <si>
    <t>+T118</t>
  </si>
  <si>
    <t>+U118</t>
  </si>
  <si>
    <t>Oct '99</t>
  </si>
  <si>
    <t>Nov '99</t>
  </si>
  <si>
    <t>Dec '99</t>
  </si>
  <si>
    <t>Jan '00</t>
  </si>
  <si>
    <t>Feb '00</t>
  </si>
  <si>
    <t>Mar '00</t>
  </si>
  <si>
    <t>Apr '00</t>
  </si>
  <si>
    <t>May '00</t>
  </si>
  <si>
    <t>Jun '00</t>
  </si>
  <si>
    <t>Jul '00</t>
  </si>
  <si>
    <t>Aug '00</t>
  </si>
  <si>
    <t>Sep '00</t>
  </si>
  <si>
    <t>+I1063</t>
  </si>
  <si>
    <t xml:space="preserve">   (a)        THE ADDITION OF EARNINGS FROM AFUDC WOULD INCREASE THE SYSTEM NOI BY</t>
  </si>
  <si>
    <t xml:space="preserve">              GULF POWER COMPANY</t>
  </si>
  <si>
    <t>FPSC SCHEDULE 3 PAGE 2 OF 3</t>
  </si>
  <si>
    <t xml:space="preserve">           YEAR END RATE OF RETURN</t>
  </si>
  <si>
    <t>May '06</t>
  </si>
  <si>
    <t>PERIOD END INCOME STATEMENT</t>
  </si>
  <si>
    <t>PAGE 3 OF FILE NAME: RRCOMB3 (NOI)</t>
  </si>
  <si>
    <t>RANGE: A962..N1020</t>
  </si>
  <si>
    <t>ENERGY CONS.COST RECOV.REVS.</t>
  </si>
  <si>
    <t>AREA DEV.&amp; NATIONAL ADVERTISING</t>
  </si>
  <si>
    <t>CLAUSE REL GRT/ FPSC &amp; FFEES.</t>
  </si>
  <si>
    <t xml:space="preserve"> PRO FORMA REVENUE  ANNUAL -</t>
  </si>
  <si>
    <t xml:space="preserve">   IZATION ADJUSTMENTS</t>
  </si>
  <si>
    <t xml:space="preserve">   (a) THE ADDITION OF EARNINGS FROM AFUDC WOULD INCREASE THE SYSTEM NOI BY</t>
  </si>
  <si>
    <t>NET COMPETITIVE PREM</t>
  </si>
  <si>
    <t>SOURCE: SCHEDULE CCA-1 &amp; CCA-2; LINE 5 : JURISDICTIONAL CAPACITY PAYMENTS / (RECEIPTS)</t>
  </si>
  <si>
    <t>(1B)  COMPETITIVE PREM REV</t>
  </si>
  <si>
    <t>565-100</t>
  </si>
  <si>
    <t>(1C)  COMPETITIVE PREM EXP</t>
  </si>
  <si>
    <t>CAPACITY COST</t>
  </si>
  <si>
    <t>Trans Cap Exp</t>
  </si>
  <si>
    <t>Trans Cap Rev</t>
  </si>
  <si>
    <t>INCLUDED IN</t>
  </si>
  <si>
    <t>Consolidated</t>
  </si>
  <si>
    <t xml:space="preserve">CCA-1 report </t>
  </si>
  <si>
    <t>AVERAGE NET OPERATING INCOME</t>
  </si>
  <si>
    <t xml:space="preserve">   ADJUSTMENTS:</t>
  </si>
  <si>
    <t xml:space="preserve">   (1) FUEL EXPENSE</t>
  </si>
  <si>
    <t>BASE RATES</t>
  </si>
  <si>
    <t>FUEL SAVINGS</t>
  </si>
  <si>
    <t>G/L</t>
  </si>
  <si>
    <t>Cap Clause</t>
  </si>
  <si>
    <t>PAGE 4 OF FILE NAME: RRCOMB3 (NOI)</t>
  </si>
  <si>
    <t xml:space="preserve">       ERC PRODUCTION EXP</t>
  </si>
  <si>
    <t>RANGE: A1021..M1080</t>
  </si>
  <si>
    <t>BASE RATE REVENUES</t>
  </si>
  <si>
    <t>COMPETITIVE SALES REVENUES AND ENTERGY SETTL.</t>
  </si>
  <si>
    <t>ERC REV</t>
  </si>
  <si>
    <t>FUEL EXPENSES</t>
  </si>
  <si>
    <t>ERC (O)/U</t>
  </si>
  <si>
    <t>ERC REV TAX</t>
  </si>
  <si>
    <t>CORPORATE OFFICE THIRD FLOOR</t>
  </si>
  <si>
    <t xml:space="preserve">ERC/ECCR DEPREC </t>
  </si>
  <si>
    <t>Storm Recovery Expense</t>
  </si>
  <si>
    <t>ERC/ECCR AMORT</t>
  </si>
  <si>
    <t>ERC PROD EXP</t>
  </si>
  <si>
    <t>ERC TRANS</t>
  </si>
  <si>
    <t>ERC DIST</t>
  </si>
  <si>
    <t>ERC CWIP</t>
  </si>
  <si>
    <t>ERC A&amp;G</t>
  </si>
  <si>
    <t>TALLAHASSEE OFFICE INVESTMENT</t>
  </si>
  <si>
    <t>ERC/ECCR PROP TAXES</t>
  </si>
  <si>
    <t xml:space="preserve">                          ACCUM. DEPRECIATION</t>
  </si>
  <si>
    <t>LIASON EXPENSE</t>
  </si>
  <si>
    <t>CORPORATE INVESTIGATION - ACCUM. DEPR.</t>
  </si>
  <si>
    <t>ERC/ECCR EXPENSES (INCL REV TAX)</t>
  </si>
  <si>
    <t>1418343+104959+1289501+34205+178563+447876+-327334+677009</t>
  </si>
  <si>
    <t>ARO NET PLANT</t>
  </si>
  <si>
    <t>GROSS REC / FPSC FEE  APPL TO  CLAUSE ADJUSTS</t>
  </si>
  <si>
    <t xml:space="preserve">   ERC WORKING CAPITAL</t>
  </si>
  <si>
    <t>TIE FIGURE TO RRCOMB3 - NOI</t>
  </si>
  <si>
    <t xml:space="preserve">   APPLIANCE SALES &amp; SERVICE:</t>
  </si>
  <si>
    <t xml:space="preserve">      ACCOUNTS RECEIVABLE,(NET)</t>
  </si>
  <si>
    <t>Economy Profits from RRCOMB4, A1.., col (5), 12MTD / .8</t>
  </si>
  <si>
    <t>NON-OP FUEL BUYOUT (NOI W/P)</t>
  </si>
  <si>
    <t xml:space="preserve">      LEASEHOLD IMPROVEMENTS</t>
  </si>
  <si>
    <t>EXPENSE ADJUSTMENTS PER NOI</t>
  </si>
  <si>
    <t xml:space="preserve">   NON UTILITY SALES &amp; USE TAX</t>
  </si>
  <si>
    <t xml:space="preserve">   NOTES RECEIVABLE</t>
  </si>
  <si>
    <t xml:space="preserve">   UNAMORTIZED RATE CASE</t>
  </si>
  <si>
    <t xml:space="preserve">   POTENTIAL NUCLEAR SITES</t>
  </si>
  <si>
    <t xml:space="preserve">   CORPORATE OFFICE - THIRD FLOOR</t>
  </si>
  <si>
    <t xml:space="preserve">   FUEL RELATED DEFERRED CREDITS</t>
  </si>
  <si>
    <t xml:space="preserve">   MISC NON-UTILITY DEFERRED DEBITS</t>
  </si>
  <si>
    <t xml:space="preserve">   DENNIS/KATRINA STORM RESERVE</t>
  </si>
  <si>
    <t xml:space="preserve">   LIGHT OIL INVENTORY ADJUSTMENT</t>
  </si>
  <si>
    <t xml:space="preserve">   COAL INVENTORY ADJUSTMENT</t>
  </si>
  <si>
    <t xml:space="preserve">   ARO WORKING CAPITAL</t>
  </si>
  <si>
    <t xml:space="preserve">   FAS 158 ASSETS</t>
  </si>
  <si>
    <t xml:space="preserve">   FAS 158 LIABILITIES</t>
  </si>
  <si>
    <t xml:space="preserve">   PPA ASSETS</t>
  </si>
  <si>
    <t xml:space="preserve">   PPA LIABILITIES</t>
  </si>
  <si>
    <t xml:space="preserve">   HEDGE ASSETS</t>
  </si>
  <si>
    <t xml:space="preserve">   HEDGE LIABILITIES</t>
  </si>
  <si>
    <t xml:space="preserve">   DEFERRED DIRECTOR'S COMP ASSETS</t>
  </si>
  <si>
    <t>Check with RRCOMB 3</t>
  </si>
  <si>
    <t xml:space="preserve">   DEFERRED DIRECTOR'S COMP LIABILITIES</t>
  </si>
  <si>
    <t>J-101</t>
  </si>
  <si>
    <t>Total Rate Base</t>
  </si>
  <si>
    <t>K 101</t>
  </si>
  <si>
    <t>FPSC SHEDULE 3</t>
  </si>
  <si>
    <t xml:space="preserve">            GULF POWER COMPANY</t>
  </si>
  <si>
    <t>PAGE 3 OF 3   RANGE: A482..F536</t>
  </si>
  <si>
    <t xml:space="preserve">          YEAR END RATE OF RETURN</t>
  </si>
  <si>
    <t>YEAR END RATE OF RETURN SYSTEM ADJUST.</t>
  </si>
  <si>
    <t xml:space="preserve">            SYSTEM ADJUSTMENTS</t>
  </si>
  <si>
    <t>PAGE 2 OF FILE NAME: RRCOMB2 (SYSADJ)</t>
  </si>
  <si>
    <t>COMPETITIVE SALES REVENUES</t>
  </si>
  <si>
    <t>AREA DEVELOPMENT &amp; NATIONAL ADVERTISING</t>
  </si>
  <si>
    <t>INTEREST BEARING CWIP AND SCHERER CWIP</t>
  </si>
  <si>
    <t>GROSS REC &amp; FPSC ASSMT FEE  APPL TO REV. ADJ</t>
  </si>
  <si>
    <t xml:space="preserve">   NON-UTILITY SALES &amp; USE TAX</t>
  </si>
  <si>
    <t xml:space="preserve">   CARYVILLE SUBSURFACE STUDY-PUMP</t>
  </si>
  <si>
    <t>secretary treasurer</t>
  </si>
  <si>
    <t>July '06</t>
  </si>
  <si>
    <t>ANALYSIS OF CHANGE IN JURIS. NOI</t>
  </si>
  <si>
    <t>CHANGES IN TOTAL RATE BASE:</t>
  </si>
  <si>
    <t xml:space="preserve">                          </t>
  </si>
  <si>
    <t xml:space="preserve">   PLANT-IN-SERVICE</t>
  </si>
  <si>
    <t xml:space="preserve">   WORKING CAPITAL</t>
  </si>
  <si>
    <t>JURISDICTIONAL REVENUES</t>
  </si>
  <si>
    <t xml:space="preserve">   CWIP-NIB</t>
  </si>
  <si>
    <t xml:space="preserve">   PLANT HELD FOR FUTURE USE</t>
  </si>
  <si>
    <t>JURISDICTIONAL EXPENSES</t>
  </si>
  <si>
    <t xml:space="preserve">           ROE</t>
  </si>
  <si>
    <t>JURISDICTIONAL NOI</t>
  </si>
  <si>
    <t xml:space="preserve">        BASED ON</t>
  </si>
  <si>
    <t xml:space="preserve">       CM CAPITAL</t>
  </si>
  <si>
    <t xml:space="preserve">       PM CAPITAL</t>
  </si>
  <si>
    <t>CHANGES IN BASIS POINTS:</t>
  </si>
  <si>
    <t xml:space="preserve">           ROR</t>
  </si>
  <si>
    <t xml:space="preserve">       STRUCTURE</t>
  </si>
  <si>
    <t xml:space="preserve">         -------</t>
  </si>
  <si>
    <t>ANALYSIS OF CHANGE IN JURIS. RATE BASE</t>
  </si>
  <si>
    <t xml:space="preserve">   PRIOR MONTH'S JURIS. NOI</t>
  </si>
  <si>
    <t>--------------------------------------</t>
  </si>
  <si>
    <t xml:space="preserve">   /CURRENT MONTH'S JURIS. RATE BASE</t>
  </si>
  <si>
    <t>LESS: PRIOR MONTH'S JURIS. NOI</t>
  </si>
  <si>
    <t>JURIS. WORKING CAPITAL</t>
  </si>
  <si>
    <t xml:space="preserve">      /PRIOR MONTH'S JURIS. RATE BASE</t>
  </si>
  <si>
    <t xml:space="preserve">          -----</t>
  </si>
  <si>
    <t>CHANGE IN BASIS POINTS DUE TO RATE BASE</t>
  </si>
  <si>
    <t>JURIS. NET PLANT-IN-SERV.</t>
  </si>
  <si>
    <t xml:space="preserve">          =====</t>
  </si>
  <si>
    <t xml:space="preserve">   CURRENT MONTH'S JURIS. NOI</t>
  </si>
  <si>
    <t>JURIS. CWIP-NIB</t>
  </si>
  <si>
    <t>JURISISDICTIONAL PHFU</t>
  </si>
  <si>
    <t xml:space="preserve">      /CURRENT MONTH'S JURIS. RATE BASE</t>
  </si>
  <si>
    <t>CHANGE IN BASIS POINTS DUE TO NOI</t>
  </si>
  <si>
    <t>TOTAL JURIS. RATE BASE</t>
  </si>
  <si>
    <t>ROE BASED ON CURRENT MONTH'S CAPITAL STRUCTURE AND PRIOR MONTH'S ROE</t>
  </si>
  <si>
    <t xml:space="preserve">  SOURCES:</t>
  </si>
  <si>
    <t>LESS:  ROE BASED ON PRIOR MONTH'S CAPITAL STRUCTURE AND ROE</t>
  </si>
  <si>
    <t xml:space="preserve">    JURISDICTIONAL REVENUES: AVERAGE INCOME STATEMENT (RRNOI PG. 2)</t>
  </si>
  <si>
    <t xml:space="preserve">    JURISDICTIONAL EXPENSES: SAME AS REVENUES</t>
  </si>
  <si>
    <t>CHANGE IN BASIS POINTS DUE TO CAPITAL STRUCTURE</t>
  </si>
  <si>
    <t xml:space="preserve">    JURISDICTIONAL WORKING CAPITAL: RATE BASE (RRRB PG. 3)</t>
  </si>
  <si>
    <t xml:space="preserve">    JURISDICTIONAL NET PLANT-IN-SERVICE: RATE BASE (RRRB PG.3) </t>
  </si>
  <si>
    <t xml:space="preserve">    JURISDICTIONAL CWIP - NIB: RATE BASE (RRRB PG. 3)</t>
  </si>
  <si>
    <t>ROE BASED ON CURRENT MONTH'S CAPITAL STRUCTURE AND ROE</t>
  </si>
  <si>
    <t xml:space="preserve">    JURISDICTIONAL PHFU: RATE BASE (RRRB PG. 3)</t>
  </si>
  <si>
    <t xml:space="preserve">    FPSC ADJUSTED ROE:</t>
  </si>
  <si>
    <t xml:space="preserve">  -------------</t>
  </si>
  <si>
    <t xml:space="preserve">  OCT</t>
  </si>
  <si>
    <t>Gross Plant</t>
  </si>
  <si>
    <t>13MAFCOR</t>
  </si>
  <si>
    <t>J509</t>
  </si>
  <si>
    <t>13MANB</t>
  </si>
  <si>
    <t>D748</t>
  </si>
  <si>
    <t>12MTDWSFR</t>
  </si>
  <si>
    <t>D51</t>
  </si>
  <si>
    <t>12MTDWHOL</t>
  </si>
  <si>
    <t>C1033</t>
  </si>
  <si>
    <t xml:space="preserve">  NOV</t>
  </si>
  <si>
    <t>Electric Gross Plant</t>
  </si>
  <si>
    <t>13MAI&amp;DA</t>
  </si>
  <si>
    <t>H509</t>
  </si>
  <si>
    <t>13MAOTHER</t>
  </si>
  <si>
    <t>E232</t>
  </si>
  <si>
    <t>12MUOREXP</t>
  </si>
  <si>
    <t>E147</t>
  </si>
  <si>
    <t>13MA3ITC</t>
  </si>
  <si>
    <t>F326</t>
  </si>
  <si>
    <t>March '10</t>
  </si>
  <si>
    <t xml:space="preserve">  DEC '91</t>
  </si>
  <si>
    <t>Unamortized Plant Acquisition Adj.</t>
  </si>
  <si>
    <t>13MAIDREC</t>
  </si>
  <si>
    <t>E149</t>
  </si>
  <si>
    <t>PEOTWC</t>
  </si>
  <si>
    <t>G229</t>
  </si>
  <si>
    <t>BALSHITSEX</t>
  </si>
  <si>
    <t>H297</t>
  </si>
  <si>
    <t>13MA4ITC</t>
  </si>
  <si>
    <t>I326</t>
  </si>
  <si>
    <t>April '10</t>
  </si>
  <si>
    <t xml:space="preserve">  JAN '92</t>
  </si>
  <si>
    <t>13MAINVEN</t>
  </si>
  <si>
    <t>N149</t>
  </si>
  <si>
    <t xml:space="preserve">       IIC/PP SALES (447)[FUEL]</t>
  </si>
  <si>
    <t>X</t>
  </si>
  <si>
    <t xml:space="preserve">       PPCC EXPENSES</t>
  </si>
  <si>
    <t xml:space="preserve">      SYSTEM</t>
  </si>
  <si>
    <t xml:space="preserve">       COMPETITIVE SALES EXP</t>
  </si>
  <si>
    <t xml:space="preserve">      AMOUNT</t>
  </si>
  <si>
    <t xml:space="preserve">      LESS:</t>
  </si>
  <si>
    <t xml:space="preserve">    TOTAL CO</t>
  </si>
  <si>
    <t xml:space="preserve">      JURIS</t>
  </si>
  <si>
    <t xml:space="preserve">      OTHER</t>
  </si>
  <si>
    <t xml:space="preserve">      12-MTD</t>
  </si>
  <si>
    <t xml:space="preserve">       UPS</t>
  </si>
  <si>
    <t xml:space="preserve">    ADJUSTED</t>
  </si>
  <si>
    <t xml:space="preserve">      FACTOR</t>
  </si>
  <si>
    <t>(1A)  COMPETITIVE SALE REV</t>
  </si>
  <si>
    <t>OPERATING REVENUES:</t>
  </si>
  <si>
    <t xml:space="preserve">    (NON-FUEL)</t>
  </si>
  <si>
    <t xml:space="preserve"> (2) CONS. IN CUST INFO EXP</t>
  </si>
  <si>
    <t>*</t>
  </si>
  <si>
    <t xml:space="preserve">  BASE RATE REVENUES</t>
  </si>
  <si>
    <t xml:space="preserve">       MARKETING PROGRAMS</t>
  </si>
  <si>
    <t xml:space="preserve">  ECCR,PPCC, AND ERC REVENUES</t>
  </si>
  <si>
    <t xml:space="preserve">   (3) BLK POW ENG SAL</t>
  </si>
  <si>
    <t xml:space="preserve">  FUEL REVENUES-RETAIL</t>
  </si>
  <si>
    <t xml:space="preserve">       MARKETING SUPPORT</t>
  </si>
  <si>
    <t>-WHOLESALE</t>
  </si>
  <si>
    <t xml:space="preserve">       ECON DEV EXPENSE TOTAL</t>
  </si>
  <si>
    <t>-UPS</t>
  </si>
  <si>
    <t xml:space="preserve">       ECON DEV EXPENSE ALLOWED</t>
  </si>
  <si>
    <t xml:space="preserve">  OTHER OPERATING REVENUES(NET </t>
  </si>
  <si>
    <t xml:space="preserve"> (4) MGM TAX PREP</t>
  </si>
  <si>
    <t xml:space="preserve">    OF FUEL, CONS, FRAN FEE)</t>
  </si>
  <si>
    <t xml:space="preserve">       CONSERVATION</t>
  </si>
  <si>
    <t>12MTD</t>
  </si>
  <si>
    <t xml:space="preserve">  OTHER OPER. REV ENUES</t>
  </si>
  <si>
    <t xml:space="preserve">       CORP ADVERT</t>
  </si>
  <si>
    <t xml:space="preserve">  FRANCHISE FEE REVENUE</t>
  </si>
  <si>
    <t xml:space="preserve">       IND ASSOC DUES</t>
  </si>
  <si>
    <t>SCH CCA-1</t>
  </si>
  <si>
    <t>LINE 6</t>
  </si>
  <si>
    <t>LINE 5</t>
  </si>
  <si>
    <t xml:space="preserve">  SCH E, S, &amp; ECON NET OF FUEL (A)</t>
  </si>
  <si>
    <t xml:space="preserve"> (1A)</t>
  </si>
  <si>
    <t xml:space="preserve">       ERC CLAUSE A&amp;G EXP</t>
  </si>
  <si>
    <r>
      <t xml:space="preserve">loc </t>
    </r>
    <r>
      <rPr>
        <b/>
        <sz val="10"/>
        <rFont val="Courier"/>
        <family val="3"/>
      </rPr>
      <t>-990</t>
    </r>
  </si>
  <si>
    <r>
      <t>loc -</t>
    </r>
    <r>
      <rPr>
        <b/>
        <sz val="10"/>
        <rFont val="Courier"/>
        <family val="3"/>
      </rPr>
      <t>990</t>
    </r>
  </si>
  <si>
    <t xml:space="preserve">  UPS NET OF FUEL (B)</t>
  </si>
  <si>
    <t xml:space="preserve">       SCS LOBBYING &amp; LIAISON</t>
  </si>
  <si>
    <t>9</t>
  </si>
  <si>
    <t>10</t>
  </si>
  <si>
    <t>11</t>
  </si>
  <si>
    <t>12</t>
  </si>
  <si>
    <t xml:space="preserve">  OTHER</t>
  </si>
  <si>
    <t xml:space="preserve">       INT ON TAX ASSESS</t>
  </si>
  <si>
    <t>PURCHASED</t>
  </si>
  <si>
    <t>SOLD CALL or</t>
  </si>
  <si>
    <t>PURCHASED CALL</t>
  </si>
  <si>
    <t>Col. 2 through 8</t>
  </si>
  <si>
    <t>Tie to Jurisdictional</t>
  </si>
  <si>
    <t>Transm Line Rent</t>
  </si>
  <si>
    <t xml:space="preserve">       PROP INS RES NORM/Storm Exp</t>
  </si>
  <si>
    <t>SCHEDULE</t>
  </si>
  <si>
    <t>POWER</t>
  </si>
  <si>
    <t>PUT PREMIUMS</t>
  </si>
  <si>
    <t>or PUT OPTIONS</t>
  </si>
  <si>
    <t>plus Col. 12</t>
  </si>
  <si>
    <t>Capacity</t>
  </si>
  <si>
    <t>Capacity Payments</t>
  </si>
  <si>
    <t>from GPC</t>
  </si>
  <si>
    <t xml:space="preserve">    TOTAL OPERATING REVENUES</t>
  </si>
  <si>
    <t>CLAUSE</t>
  </si>
  <si>
    <t>REVENUE</t>
  </si>
  <si>
    <t>NOT EXERCISED</t>
  </si>
  <si>
    <t>(OVER)/UNDER</t>
  </si>
  <si>
    <t>IN EXCESS OF</t>
  </si>
  <si>
    <t>Expense</t>
  </si>
  <si>
    <t>on CCA-1</t>
  </si>
  <si>
    <t>Recoverable thru</t>
  </si>
  <si>
    <t xml:space="preserve">   (5)421-(110,210)GAIN/LOSS ON DISP</t>
  </si>
  <si>
    <t>(BASE RATES)</t>
  </si>
  <si>
    <t>(456-600)</t>
  </si>
  <si>
    <t>(557-010)</t>
  </si>
  <si>
    <t>RECOVERY</t>
  </si>
  <si>
    <t>(565-100)</t>
  </si>
  <si>
    <t>Cap/PP Voucher</t>
  </si>
  <si>
    <t>the Capacity Clause</t>
  </si>
  <si>
    <t>OPERATING EXPENSES:</t>
  </si>
  <si>
    <t xml:space="preserve">       NONUTILITY TALLAHASSEE</t>
  </si>
  <si>
    <t xml:space="preserve"> O &amp; M EXPENSE</t>
  </si>
  <si>
    <t xml:space="preserve">       ERC/ECCR - DEPRECIATION</t>
  </si>
  <si>
    <t xml:space="preserve">  PRODUCTION</t>
  </si>
  <si>
    <t xml:space="preserve"> (1) &amp; (1C)</t>
  </si>
  <si>
    <t xml:space="preserve">       ERC/ECCR - AMORTIZATION</t>
  </si>
  <si>
    <t>As of 12/01 ECRC is without line loss.</t>
  </si>
  <si>
    <t xml:space="preserve">  TRANSMISSION</t>
  </si>
  <si>
    <t xml:space="preserve"> (8)</t>
  </si>
  <si>
    <t xml:space="preserve">  DISTRIBUTION</t>
  </si>
  <si>
    <t xml:space="preserve"> (9)</t>
  </si>
  <si>
    <t xml:space="preserve">  CUSTOMER ACCT. (NET OF GSU)</t>
  </si>
  <si>
    <t xml:space="preserve">  GSU SETTLEMENT</t>
  </si>
  <si>
    <t xml:space="preserve">   (6) ON CONSER. REV</t>
  </si>
  <si>
    <t xml:space="preserve">  CUSTOMER INFO</t>
  </si>
  <si>
    <t xml:space="preserve"> (2)</t>
  </si>
  <si>
    <t xml:space="preserve">       ON FUEL REV</t>
  </si>
  <si>
    <t xml:space="preserve">  SALES EXPENSE</t>
  </si>
  <si>
    <t xml:space="preserve"> (3)</t>
  </si>
  <si>
    <t xml:space="preserve">       ON LIAISON EXP.</t>
  </si>
  <si>
    <t xml:space="preserve">  A &amp; G EXPENSE</t>
  </si>
  <si>
    <t xml:space="preserve"> (4)</t>
  </si>
  <si>
    <t xml:space="preserve">       FRANCHISE FEE EXP.</t>
  </si>
  <si>
    <t xml:space="preserve">       PAYROLL TAXES ON CONSER EXP</t>
  </si>
  <si>
    <t xml:space="preserve">    TOTAL O &amp; M</t>
  </si>
  <si>
    <t xml:space="preserve">       ON FRAN REV</t>
  </si>
  <si>
    <t xml:space="preserve">       REV TAXES ON ERC REVENUES</t>
  </si>
  <si>
    <t xml:space="preserve">  DEPRECIATION</t>
  </si>
  <si>
    <t xml:space="preserve"> (5)</t>
  </si>
  <si>
    <t xml:space="preserve">       ON PPCC REVENUES</t>
  </si>
  <si>
    <t xml:space="preserve">  AMORTIZATION</t>
  </si>
  <si>
    <t xml:space="preserve">       PROPERTY TAXES ON ERC/ECCR</t>
  </si>
  <si>
    <t xml:space="preserve">  AMORTIZATION OF ITC</t>
  </si>
  <si>
    <t xml:space="preserve">  OTHER TAXES</t>
  </si>
  <si>
    <t xml:space="preserve"> (6)</t>
  </si>
  <si>
    <t xml:space="preserve">   (7) REVENUE ADJ (net of wholesale clauses)</t>
  </si>
  <si>
    <t>JURIDICTIONAL</t>
  </si>
  <si>
    <t xml:space="preserve">  GROSS RECEIPTS</t>
  </si>
  <si>
    <t xml:space="preserve">       EXPENSE ADJ</t>
  </si>
  <si>
    <t>FACTOR - CCA-1</t>
  </si>
  <si>
    <t>-R1063+X1063</t>
  </si>
  <si>
    <t xml:space="preserve">  INCOME TAXES</t>
  </si>
  <si>
    <t xml:space="preserve"> (7)</t>
  </si>
  <si>
    <t xml:space="preserve">       NON OP FUEL BUYOUT (debt only)</t>
  </si>
  <si>
    <t xml:space="preserve">  INTEREST SYNCH</t>
  </si>
  <si>
    <t>NOI AdjustmentsTie to rrcomb2, I-456</t>
  </si>
  <si>
    <t>&lt;-- CHECK  --&gt;</t>
  </si>
  <si>
    <t>TOTAL OPERATING EXPENSES</t>
  </si>
  <si>
    <t xml:space="preserve">       TAX RATE</t>
  </si>
  <si>
    <t xml:space="preserve">       TAX ADJ</t>
  </si>
  <si>
    <t>TOTAL CO ADJ</t>
  </si>
  <si>
    <t>JUR FACTOR*</t>
  </si>
  <si>
    <t>JUR TAXES</t>
  </si>
  <si>
    <t xml:space="preserve">   (8)  ERC CLAUSE TRANSM EXP</t>
  </si>
  <si>
    <t>K=(RC-T)/I</t>
  </si>
  <si>
    <t>RET/WS K=</t>
  </si>
  <si>
    <t xml:space="preserve">     X .38575 -</t>
  </si>
  <si>
    <t>CURR. PAYABLE</t>
  </si>
  <si>
    <t xml:space="preserve">   (9)  ERC CLAUSE DISTR EXP</t>
  </si>
  <si>
    <t>R-NOI BEF TAX</t>
  </si>
  <si>
    <t xml:space="preserve">   _________________________________________</t>
  </si>
  <si>
    <t>C-.38575</t>
  </si>
  <si>
    <t xml:space="preserve">  (A) INCLUDES ASSOC CAP OF</t>
  </si>
  <si>
    <t>I-RATE BASE</t>
  </si>
  <si>
    <t xml:space="preserve">  (B) INCLUDES ASSC FUEL &amp; OTHER</t>
  </si>
  <si>
    <t>T-INCOME TAXES</t>
  </si>
  <si>
    <t xml:space="preserve">        =</t>
  </si>
  <si>
    <t>6/90</t>
  </si>
  <si>
    <t>RETAIL INCOME TAXES =</t>
  </si>
  <si>
    <t xml:space="preserve">     X</t>
  </si>
  <si>
    <t xml:space="preserve">     =</t>
  </si>
  <si>
    <t xml:space="preserve">              *</t>
  </si>
  <si>
    <t xml:space="preserve"> DIVIDED BY</t>
  </si>
  <si>
    <t>Competetive Prem Transactions</t>
  </si>
  <si>
    <t>INVERSE</t>
  </si>
  <si>
    <t>PERIOD END NET OPERATING INCOME</t>
  </si>
  <si>
    <t>Loc - 990</t>
  </si>
  <si>
    <t>PAGE 5 OF FILE NAME: RRNOI</t>
  </si>
  <si>
    <t xml:space="preserve">       IIC/PP SALES (447)</t>
  </si>
  <si>
    <t>Revenue Side:</t>
  </si>
  <si>
    <t>TOTAL REV</t>
  </si>
  <si>
    <t>456-650</t>
  </si>
  <si>
    <t>456-400</t>
  </si>
  <si>
    <t>447-051</t>
  </si>
  <si>
    <t>456-600</t>
  </si>
  <si>
    <t>447-571</t>
  </si>
  <si>
    <t xml:space="preserve">       COMPETITIVE SALES</t>
  </si>
  <si>
    <t xml:space="preserve">   (3) AREA DEV. IN SALES EXP</t>
  </si>
  <si>
    <t xml:space="preserve">  ECCR &amp; PPCC REVENUES</t>
  </si>
  <si>
    <t xml:space="preserve">   (4) CORP INV/MGM PERK</t>
  </si>
  <si>
    <t xml:space="preserve">       AREA DEVELOP</t>
  </si>
  <si>
    <t>Expense Side</t>
  </si>
  <si>
    <t>TOTAL EXP</t>
  </si>
  <si>
    <t>557-300</t>
  </si>
  <si>
    <t>555-027</t>
  </si>
  <si>
    <t>555-701</t>
  </si>
  <si>
    <t>557-010</t>
  </si>
  <si>
    <t xml:space="preserve">  SCH E &amp; ECON NET OF FUEL</t>
  </si>
  <si>
    <t xml:space="preserve">  UPS NET OF FUEL</t>
  </si>
  <si>
    <t xml:space="preserve">       ERC - AMORTIZATION</t>
  </si>
  <si>
    <t xml:space="preserve"> (1)</t>
  </si>
  <si>
    <t xml:space="preserve">  GSU UNCOLLECTIBLE</t>
  </si>
  <si>
    <t xml:space="preserve">       IN CONSER EXP</t>
  </si>
  <si>
    <t>Net Rev &amp; Expenses (ties to Jarvis' sheet)</t>
  </si>
  <si>
    <t xml:space="preserve">   (7) REVENUE ADJ</t>
  </si>
  <si>
    <t xml:space="preserve">  INCR GROSS RECEIPTS/FPSC</t>
  </si>
  <si>
    <t xml:space="preserve">  JUR TAXES</t>
  </si>
  <si>
    <t xml:space="preserve">  TOTAL CO ADJ</t>
  </si>
  <si>
    <t xml:space="preserve">  JUR FACTOR*</t>
  </si>
  <si>
    <t>R-NOI BEFORE TAXES</t>
  </si>
  <si>
    <t>SCHEDULE B</t>
  </si>
  <si>
    <t>13 MONTH AVERAGE CAPITAL STRUCTURE</t>
  </si>
  <si>
    <t>STRUCTURE</t>
  </si>
  <si>
    <t>CLASS OF CAPITAL</t>
  </si>
  <si>
    <t xml:space="preserve">PER BOOK </t>
  </si>
  <si>
    <t>NON UTILITY</t>
  </si>
  <si>
    <t xml:space="preserve">DIVIDENDS </t>
  </si>
  <si>
    <t>BALANCE SHEET</t>
  </si>
  <si>
    <t>BALANCES</t>
  </si>
  <si>
    <t>ADJUSTMENT</t>
  </si>
  <si>
    <t>DECLARED</t>
  </si>
  <si>
    <t>ITEMS EXCLUDED</t>
  </si>
  <si>
    <t>FACTOR</t>
  </si>
  <si>
    <t>SHORT-TERM DEBT</t>
  </si>
  <si>
    <t>ITC - ZERO COST</t>
  </si>
  <si>
    <t>ITC - WEIGHTED COST</t>
  </si>
  <si>
    <t>FASB 109 DIT</t>
  </si>
  <si>
    <t>SCHEDULE A</t>
  </si>
  <si>
    <t>CALCULATION OF AFUDC RATE</t>
  </si>
  <si>
    <t>STUCTURE</t>
  </si>
  <si>
    <t>AFUDC RATE CURRENTLY AUTHORIZED</t>
  </si>
  <si>
    <t>Customer Deposit  Analysis Calculation</t>
  </si>
  <si>
    <t>RANGE:</t>
  </si>
  <si>
    <t xml:space="preserve">ANNUAL </t>
  </si>
  <si>
    <t>PE INTERST</t>
  </si>
  <si>
    <t>A1261...F1285</t>
  </si>
  <si>
    <t>431-100</t>
  </si>
  <si>
    <t>AVG INT RATE=12MTD AVG ANNUALIZED INTEREST DIVIDED BY 13MTD AVG CUSTOMER DEPOSITS</t>
  </si>
  <si>
    <t xml:space="preserve">     -------------</t>
  </si>
  <si>
    <t xml:space="preserve">            (a)</t>
  </si>
  <si>
    <t xml:space="preserve">             (b)</t>
  </si>
  <si>
    <t xml:space="preserve">     --------------</t>
  </si>
  <si>
    <t>FPSC Jurisdictional Returns</t>
  </si>
  <si>
    <t>2000-to-Date</t>
  </si>
  <si>
    <t>13 Month Average</t>
  </si>
  <si>
    <t>Period End</t>
  </si>
  <si>
    <t xml:space="preserve">     Year</t>
  </si>
  <si>
    <t>AROs</t>
  </si>
  <si>
    <t>Other Investments</t>
  </si>
  <si>
    <t>Property Insurance Reserve</t>
  </si>
  <si>
    <r>
      <t xml:space="preserve">         </t>
    </r>
    <r>
      <rPr>
        <sz val="13"/>
        <rFont val="Arial"/>
        <family val="2"/>
      </rPr>
      <t>Projected Test Year Ended 12/31/12</t>
    </r>
  </si>
  <si>
    <r>
      <t xml:space="preserve">         </t>
    </r>
    <r>
      <rPr>
        <sz val="13"/>
        <rFont val="Arial"/>
        <family val="2"/>
      </rPr>
      <t>Prior Year Ended 12/31/11</t>
    </r>
  </si>
  <si>
    <r>
      <t xml:space="preserve">         </t>
    </r>
    <r>
      <rPr>
        <sz val="14"/>
        <rFont val="Arial"/>
        <family val="2"/>
      </rPr>
      <t>Prior Year Ended 12/31/11</t>
    </r>
  </si>
  <si>
    <t>Schedule 1</t>
  </si>
  <si>
    <t>GULF POWER COMPANY</t>
  </si>
  <si>
    <t>Earnings Surveillance Report Summary</t>
  </si>
  <si>
    <t>March, 2011</t>
  </si>
  <si>
    <t>(1)</t>
  </si>
  <si>
    <t>(2)</t>
  </si>
  <si>
    <t>(3)</t>
  </si>
  <si>
    <t>(4)</t>
  </si>
  <si>
    <t>(5)</t>
  </si>
  <si>
    <t>Actual</t>
  </si>
  <si>
    <t>FPSC</t>
  </si>
  <si>
    <t>Pro Forma</t>
  </si>
  <si>
    <t>Per Books</t>
  </si>
  <si>
    <t>Adjustments</t>
  </si>
  <si>
    <t>Adjusted</t>
  </si>
  <si>
    <t>I.   Average Rate of Return</t>
  </si>
  <si>
    <t xml:space="preserve">        (Jurisdictional)</t>
  </si>
  <si>
    <t>(a)</t>
  </si>
  <si>
    <t>(b)</t>
  </si>
  <si>
    <t xml:space="preserve">     Net Operating Income</t>
  </si>
  <si>
    <t xml:space="preserve">     Average Rate Base</t>
  </si>
  <si>
    <t xml:space="preserve">     Average Rate of Return</t>
  </si>
  <si>
    <t>II.  Year End Rate of Return</t>
  </si>
  <si>
    <t xml:space="preserve">     Year End Rate Base</t>
  </si>
  <si>
    <t xml:space="preserve">     Year End Rate of Return</t>
  </si>
  <si>
    <t>(a) Includes AFUDC Earnings</t>
  </si>
  <si>
    <t>(b) Includes Reversal of AFUDC Earnings</t>
  </si>
  <si>
    <t>III. Required Rates of Return</t>
  </si>
  <si>
    <t xml:space="preserve">     Average Capital Structure</t>
  </si>
  <si>
    <t xml:space="preserve">        (FPSC Adjusted Basis)</t>
  </si>
  <si>
    <t xml:space="preserve">       Low</t>
  </si>
  <si>
    <t xml:space="preserve">       Midpoint</t>
  </si>
  <si>
    <t xml:space="preserve">       High</t>
  </si>
  <si>
    <t>IV.  Financial Integrity Indicators</t>
  </si>
  <si>
    <t xml:space="preserve">    CM CAPITAL</t>
  </si>
  <si>
    <t xml:space="preserve">    PM CAPITAL</t>
  </si>
  <si>
    <t xml:space="preserve">     TOTAL CHANGE </t>
  </si>
  <si>
    <t>LESS:  ROE BASED ON PRIOR MONTH'S CAPITAL STRUCTURE AND CURRENT MONTH'S ROE</t>
  </si>
  <si>
    <t xml:space="preserve">     IN ROE</t>
  </si>
  <si>
    <t>TOTAL BASIS POINT CHANGE</t>
  </si>
  <si>
    <t>FILE NAME: RRCOMB2 (ANLYSS - BUDGET VS ACTUAL) RANGE: A661..M720</t>
  </si>
  <si>
    <t>ANALYSIS OF CHANGE CAPITAL STRUCTURE</t>
  </si>
  <si>
    <t>------------------------------------</t>
  </si>
  <si>
    <t>CHANGE IN ROE</t>
  </si>
  <si>
    <t>MIDYEAR PROJ.</t>
  </si>
  <si>
    <t>BASED ON ACTUAL</t>
  </si>
  <si>
    <t>PREFERED STOCK</t>
  </si>
  <si>
    <t>CUSTOMER ACCT (NET OF GSU)</t>
  </si>
  <si>
    <t>GSU UNCOLLECTABLE</t>
  </si>
  <si>
    <t>A&amp;G EXPENSE</t>
  </si>
  <si>
    <t>TOTAL O&amp;M</t>
  </si>
  <si>
    <t>RATE OF RETURN</t>
  </si>
  <si>
    <t xml:space="preserve">CHANGES DUE TO NOI </t>
  </si>
  <si>
    <t>CHANGES DUE TO RATE BASE</t>
  </si>
  <si>
    <t>CHANGES DUE TO CAPITAL STRUCTURE</t>
  </si>
  <si>
    <t xml:space="preserve">       ========</t>
  </si>
  <si>
    <t>FILE NAME: RRCOMB2  RANGE: A721..M780</t>
  </si>
  <si>
    <t xml:space="preserve">    JURISDICTIONAL REVENUES: AVERAGE INCOME STATEMENT ( RRNOI PG. 2)</t>
  </si>
  <si>
    <t xml:space="preserve">    JURISDICTIONAL EXPENSES: SAME</t>
  </si>
  <si>
    <t>Per BUDRET</t>
  </si>
  <si>
    <t>Per Surv.</t>
  </si>
  <si>
    <r>
      <t xml:space="preserve">         </t>
    </r>
    <r>
      <rPr>
        <sz val="14"/>
        <rFont val="Arial"/>
        <family val="2"/>
      </rPr>
      <t>Projected Test Year Ended 12/31/12</t>
    </r>
  </si>
  <si>
    <r>
      <t xml:space="preserve">    X   </t>
    </r>
    <r>
      <rPr>
        <sz val="14"/>
        <rFont val="Arial"/>
        <family val="2"/>
      </rPr>
      <t>Historical Test Year Ended 3/31/11</t>
    </r>
  </si>
  <si>
    <r>
      <t xml:space="preserve">    X   </t>
    </r>
    <r>
      <rPr>
        <sz val="13"/>
        <rFont val="Arial"/>
        <family val="2"/>
      </rPr>
      <t>Historical Test Year Ended 3/31/11</t>
    </r>
  </si>
  <si>
    <t>Rate of Return</t>
  </si>
  <si>
    <t xml:space="preserve">           %</t>
  </si>
  <si>
    <t xml:space="preserve">     JAN  1992</t>
  </si>
  <si>
    <t xml:space="preserve">     FEB</t>
  </si>
  <si>
    <t xml:space="preserve">     MAR</t>
  </si>
  <si>
    <t xml:space="preserve">     APR</t>
  </si>
  <si>
    <t xml:space="preserve">     MAY</t>
  </si>
  <si>
    <t xml:space="preserve">     JUN</t>
  </si>
  <si>
    <t xml:space="preserve">     JUL</t>
  </si>
  <si>
    <t xml:space="preserve">     AUG</t>
  </si>
  <si>
    <t xml:space="preserve">     SEP</t>
  </si>
  <si>
    <t xml:space="preserve">     OCT</t>
  </si>
  <si>
    <t xml:space="preserve">     NOV</t>
  </si>
  <si>
    <t xml:space="preserve">     DEC</t>
  </si>
  <si>
    <t xml:space="preserve">     JAN  1993</t>
  </si>
  <si>
    <t xml:space="preserve">     JAN  1994</t>
  </si>
  <si>
    <t xml:space="preserve">     JAN  1995</t>
  </si>
  <si>
    <t>SURVEILLANCE REPORT</t>
  </si>
  <si>
    <t>ANALYSIS OF CHANGE IN RETURN</t>
  </si>
  <si>
    <t>|The Jurisdictional Return on Average Common Equity is 11.37% for May, 1993 which compares to</t>
  </si>
  <si>
    <t>|12.12% for April, 1993.  The decrease of 75 basis points is due to a $2,166,000 decrease in</t>
  </si>
  <si>
    <t>|jurisdictional net operating income (resulting in a decrease of 71 basis points), an increase of</t>
  </si>
  <si>
    <t>|$1,810,000 in jurisdictional rate base (resulting in a decrease of 6 basis points), and changes in</t>
  </si>
  <si>
    <t>|jurisdictional capital structure (resulting in an increase of 2 basis points).</t>
  </si>
  <si>
    <t>|The decrease in net operating income is due to a $744,000 decrease in jurisdictional revenues as</t>
  </si>
  <si>
    <t>|well as a $1,422,000 increase in jurisdictional expenses. The increase in rate base is due to</t>
  </si>
  <si>
    <t>|increases in Non-Interest Bearing Construction Work in Progress of $1,233,000, Net</t>
  </si>
  <si>
    <t>|Plant-In-Service of $113,000 and Jurisdictional Working Capital of $464,000.  There was no</t>
  </si>
  <si>
    <t>|change in Plant Held for Future Use.</t>
  </si>
  <si>
    <t>100% as of Jan 2001</t>
  </si>
  <si>
    <t>80%</t>
  </si>
  <si>
    <t>100%</t>
  </si>
  <si>
    <t>20%</t>
  </si>
  <si>
    <t>ECONOMY</t>
  </si>
  <si>
    <t>SALES PROFITS</t>
  </si>
  <si>
    <t>CALCULATION OF RATEBASE ADJUSTMENTS</t>
  </si>
  <si>
    <t>RANGE: A1600..J1650</t>
  </si>
  <si>
    <t>DEMAND</t>
  </si>
  <si>
    <t>NIB</t>
  </si>
  <si>
    <t>WORK</t>
  </si>
  <si>
    <t>RATEBASE</t>
  </si>
  <si>
    <t>SEPARATION</t>
  </si>
  <si>
    <t>PLANT IN SERVICE</t>
  </si>
  <si>
    <t>AND AMORT</t>
  </si>
  <si>
    <t>IN PROGRESS</t>
  </si>
  <si>
    <t>WORKING CAP</t>
  </si>
  <si>
    <t>December 2000 Analysis of Environmental SO2 Allowance</t>
  </si>
  <si>
    <t>Against Energy Working Capital on the Voucher</t>
  </si>
  <si>
    <t>254-097,98,99,100-</t>
  </si>
  <si>
    <t>107, 50</t>
  </si>
  <si>
    <t>13MTD</t>
  </si>
  <si>
    <t>Environmental</t>
  </si>
  <si>
    <t>ENVIRONMENTAL</t>
  </si>
  <si>
    <t>13 MA</t>
  </si>
  <si>
    <t>SO2</t>
  </si>
  <si>
    <t>Difference</t>
  </si>
  <si>
    <t>Total ---&gt;</t>
  </si>
  <si>
    <t>Allowance</t>
  </si>
  <si>
    <t>ALLOWANCE</t>
  </si>
  <si>
    <t>Tie to RRCOMB1A</t>
  </si>
  <si>
    <t>TOTAL RATE BASE ADJUSTMENT</t>
  </si>
  <si>
    <t>PERIOD END</t>
  </si>
  <si>
    <t>VARIANCE TO RATEBASE SCHEDULE</t>
  </si>
  <si>
    <t>CALCULATION OF NOI ADJUSTMENTS</t>
  </si>
  <si>
    <t>RANGE: A1654..S1747</t>
  </si>
  <si>
    <t>(0.079195/12)</t>
  </si>
  <si>
    <t>(0.027671/12)</t>
  </si>
  <si>
    <t>(0.077565/12) Nov99</t>
  </si>
  <si>
    <t>(0.026644/12)Nov99</t>
  </si>
  <si>
    <t>(.07806/12)</t>
  </si>
  <si>
    <t>(0.026952/12)</t>
  </si>
  <si>
    <t>EXP</t>
  </si>
  <si>
    <t>ENVIRON</t>
  </si>
  <si>
    <t>GROSS</t>
  </si>
  <si>
    <t>ALLOC</t>
  </si>
  <si>
    <t>EXP IN</t>
  </si>
  <si>
    <t>JURIS</t>
  </si>
  <si>
    <t>CM 456-951</t>
  </si>
  <si>
    <t>13MA Demand</t>
  </si>
  <si>
    <t>REV</t>
  </si>
  <si>
    <t>501-557</t>
  </si>
  <si>
    <t>560-573</t>
  </si>
  <si>
    <t>580-598</t>
  </si>
  <si>
    <t>920-935</t>
  </si>
  <si>
    <t>CARRYING</t>
  </si>
  <si>
    <t>NOI</t>
  </si>
  <si>
    <t>(O)/U</t>
  </si>
  <si>
    <t>EXCESS OF</t>
  </si>
  <si>
    <t>SEP</t>
  </si>
  <si>
    <t>RELATED</t>
  </si>
  <si>
    <t>PROD</t>
  </si>
  <si>
    <t>TRANS</t>
  </si>
  <si>
    <t>DIST</t>
  </si>
  <si>
    <t>PROP TAX</t>
  </si>
  <si>
    <t>DEPREC</t>
  </si>
  <si>
    <t>AMORT</t>
  </si>
  <si>
    <t>ADJUST</t>
  </si>
  <si>
    <t>Expense Factor</t>
  </si>
  <si>
    <t>456-951 BALANCE</t>
  </si>
  <si>
    <t>PER BOOKS CM</t>
  </si>
  <si>
    <t>Monthly Difference in JV/Booked</t>
  </si>
  <si>
    <t>13MA Energy</t>
  </si>
  <si>
    <t>456-1954</t>
  </si>
  <si>
    <t>456-1956</t>
  </si>
  <si>
    <t>Blounstown Environ</t>
  </si>
  <si>
    <t>FPU Environ</t>
  </si>
  <si>
    <t>O/U Revenues</t>
  </si>
  <si>
    <t>CUMULATIVE</t>
  </si>
  <si>
    <t>COMPARISON</t>
  </si>
  <si>
    <t>BY MONTH</t>
  </si>
  <si>
    <t>JURIS PERIOD END</t>
  </si>
  <si>
    <t>JURIS 12 MTD</t>
  </si>
  <si>
    <t>JURIS CM</t>
  </si>
  <si>
    <t>(O)/U RECOVERY</t>
  </si>
  <si>
    <t>REVENUE TAXES</t>
  </si>
  <si>
    <t>O&amp;M EXPENSES</t>
  </si>
  <si>
    <t>PROPERTY TAXES</t>
  </si>
  <si>
    <t>REV OVER EXP</t>
  </si>
  <si>
    <t>With Line Loss</t>
  </si>
  <si>
    <t>Without Line Loss</t>
  </si>
  <si>
    <t>CONSERVATION RECOVERY CLAUSE</t>
  </si>
  <si>
    <t>(0.07806/12)</t>
  </si>
  <si>
    <t>CONSERV</t>
  </si>
  <si>
    <t>RECOVERABLE</t>
  </si>
  <si>
    <t>456-948</t>
  </si>
  <si>
    <t>908-910</t>
  </si>
  <si>
    <t>PAYROLL</t>
  </si>
  <si>
    <t>CONSERVATION</t>
  </si>
  <si>
    <t>CS&amp;I</t>
  </si>
  <si>
    <t>PERIOD END SUMMARY</t>
  </si>
  <si>
    <t>REMOVE</t>
  </si>
  <si>
    <t>REMOVE PLANT</t>
  </si>
  <si>
    <t>PRO-RATA</t>
  </si>
  <si>
    <t>ITEM</t>
  </si>
  <si>
    <t>COMPANY</t>
  </si>
  <si>
    <t>PEABODY/FUELCO</t>
  </si>
  <si>
    <t>SUB-TOTAL</t>
  </si>
  <si>
    <t>EXCLUSIONS</t>
  </si>
  <si>
    <t>AMOUNTS</t>
  </si>
  <si>
    <t>NET PLANT</t>
  </si>
  <si>
    <t>OPERATING RESERVES</t>
  </si>
  <si>
    <t>OTHER DEFERRED CREDITS</t>
  </si>
  <si>
    <t>INVESTMENT TAX CREDITS</t>
  </si>
  <si>
    <t>INVEST TAX CR - 3%</t>
  </si>
  <si>
    <t>13 MONTH AVERAGE SUMMARY</t>
  </si>
  <si>
    <t>Pro-rata Adjustments</t>
  </si>
  <si>
    <t>PE</t>
  </si>
  <si>
    <t>Property Insurance Reserve Difference</t>
  </si>
  <si>
    <t>Temporary Cash Investments</t>
  </si>
  <si>
    <t>Employee Loans</t>
  </si>
  <si>
    <t>Interest &amp; Dividend Receivables</t>
  </si>
  <si>
    <t>Air Products</t>
  </si>
  <si>
    <t>Unamortized Rate Case</t>
  </si>
  <si>
    <t>Third Floor (186)</t>
  </si>
  <si>
    <t>Fuel &amp; ECCR (over)/under recovery</t>
  </si>
  <si>
    <t>Monsanto Advance (253)</t>
  </si>
  <si>
    <t>Coal Inventory Adjustment</t>
  </si>
  <si>
    <t>Rail Car / Sod Farm (253)</t>
  </si>
  <si>
    <t>GSU Settlement</t>
  </si>
  <si>
    <t>Third Floor Investment - Corp Office</t>
  </si>
  <si>
    <t>Sod Farm - PHFU</t>
  </si>
  <si>
    <t>Daniel Fuelco/Peabody Addback</t>
  </si>
  <si>
    <t>Notes Receivable</t>
  </si>
  <si>
    <t>Horton, Acid Rain, Flame Clothing</t>
  </si>
  <si>
    <t>Light Oil Adjustment</t>
  </si>
  <si>
    <t>A/D - Corporate Investigation</t>
  </si>
  <si>
    <t>Business Development Center - Net Invest</t>
  </si>
  <si>
    <t>Navy House - Net Investment</t>
  </si>
  <si>
    <t>Potential Nuclear Site</t>
  </si>
  <si>
    <t>Total Pro-rata Exclusions</t>
  </si>
  <si>
    <t>DANIEL FUELCO/PEABODY ADDBACK:</t>
  </si>
  <si>
    <t>Peabody Buyout (186-930)</t>
  </si>
  <si>
    <t>Daniel Buyout (186-955)</t>
  </si>
  <si>
    <t>Peabody Prepayment (253-930)</t>
  </si>
  <si>
    <t>Sub-Total</t>
  </si>
  <si>
    <t>Peabody Buyout (RRCOMB1)</t>
  </si>
  <si>
    <t>Peabody Common Equity (RRCOMB2)</t>
  </si>
  <si>
    <t>Daniel Buyout (RRCOMB2)</t>
  </si>
  <si>
    <t>Total Addback</t>
  </si>
  <si>
    <t>CR</t>
  </si>
  <si>
    <t>E71</t>
  </si>
  <si>
    <t>BREAKDOWN OF OTHER REVENUES (12MTD)</t>
  </si>
  <si>
    <t>CROR</t>
  </si>
  <si>
    <t>E72</t>
  </si>
  <si>
    <t>OOREV</t>
  </si>
  <si>
    <t>E82</t>
  </si>
  <si>
    <t>RANGE: A1..H60</t>
  </si>
  <si>
    <t>E84</t>
  </si>
  <si>
    <t>FILE NAME:  RRCOMB4 (NOI)</t>
  </si>
  <si>
    <t>ECCR/PPCC/ERC</t>
  </si>
  <si>
    <t>FUEL CLAUSE</t>
  </si>
  <si>
    <t>WHOLESALE BASE</t>
  </si>
  <si>
    <t>PAGE1</t>
  </si>
  <si>
    <t>A1..I42</t>
  </si>
  <si>
    <t>INTERDEPT.</t>
  </si>
  <si>
    <t>INT DEPT REVENUE</t>
  </si>
  <si>
    <t>REVENUE CALCULATED</t>
  </si>
  <si>
    <t>RATE REVENUE</t>
  </si>
  <si>
    <t>PAGE2</t>
  </si>
  <si>
    <t>A61..L113</t>
  </si>
  <si>
    <t>SALES</t>
  </si>
  <si>
    <t>DIFFERENCE</t>
  </si>
  <si>
    <t>ON INTER. DEPTAL.</t>
  </si>
  <si>
    <t>NET OF FUEL (A)</t>
  </si>
  <si>
    <t>PAGE3</t>
  </si>
  <si>
    <t>A121..L173</t>
  </si>
  <si>
    <t>PAGE4</t>
  </si>
  <si>
    <t>A182..E217</t>
  </si>
  <si>
    <t>PAGE5</t>
  </si>
  <si>
    <t>A241..E277</t>
  </si>
  <si>
    <t>PAGE6</t>
  </si>
  <si>
    <t>A301..G349</t>
  </si>
  <si>
    <t>PERROR</t>
  </si>
  <si>
    <t>G24</t>
  </si>
  <si>
    <t>RBRR</t>
  </si>
  <si>
    <t>E70</t>
  </si>
  <si>
    <t>RFCR</t>
  </si>
  <si>
    <t>E73</t>
  </si>
  <si>
    <t>ROREC</t>
  </si>
  <si>
    <t>E74</t>
  </si>
  <si>
    <t>SEEF</t>
  </si>
  <si>
    <t>E78</t>
  </si>
  <si>
    <t>SEEOE&amp;C</t>
  </si>
  <si>
    <t>E79</t>
  </si>
  <si>
    <t>UPSFUEL</t>
  </si>
  <si>
    <t>E80</t>
  </si>
  <si>
    <t>UPSOE&amp;C</t>
  </si>
  <si>
    <t>E81</t>
  </si>
  <si>
    <t>\0</t>
  </si>
  <si>
    <t>AD1</t>
  </si>
  <si>
    <t>\A</t>
  </si>
  <si>
    <t>AA7</t>
  </si>
  <si>
    <t>\B</t>
  </si>
  <si>
    <t>AA25</t>
  </si>
  <si>
    <t>12MTD TOTAL</t>
  </si>
  <si>
    <t>** TOTAL EXCLUDES COLUMN (5)</t>
  </si>
  <si>
    <t>\M</t>
  </si>
  <si>
    <t>\P</t>
  </si>
  <si>
    <t>AG33</t>
  </si>
  <si>
    <t>PER ROR</t>
  </si>
  <si>
    <t>* DIFFERENCE DUE TO ROUNDING</t>
  </si>
  <si>
    <t>(A) SEE FOOTNOTE TO WHOLESALE BASE RATE REVENUES FOR OTHER REVENUE RECON. FOR</t>
  </si>
  <si>
    <t xml:space="preserve">    DETAILS OF ADJUSTMENTS TO WHOLESALE BASE RATE REVENUES</t>
  </si>
  <si>
    <t>Total Interdept Sales less Clause Interdept sales</t>
  </si>
  <si>
    <t>I-172</t>
  </si>
  <si>
    <t>(1) PER BUDGET DEVIATION REPORT-"BUDGET COMPARISON ANALYSIS OF NET INCOME"</t>
  </si>
  <si>
    <t>(2) COMPARE ECCR/PPCC/ERC REVENUES PER ANALYSIS OF FUEL REPORT TO THE ECCR/PPCC REVENUES FROM RRCOMB2 (RANGE A121..F149)</t>
  </si>
  <si>
    <t>(3) PER ROR WORKPAPERS-FUEL- "FCA REVENUE CALCULATION FROM MATERIALS &amp; FUEL ACCOUNTING"</t>
  </si>
  <si>
    <t xml:space="preserve">     FUEL REVENUES PER THE ROR REPORT INCLUDE THIS AMOUNT, BUT IT IS NOT INCLUDED IN FCR IN THE BUDGET DEVIATION.</t>
  </si>
  <si>
    <t xml:space="preserve">      A.  Tie With AFUDC</t>
  </si>
  <si>
    <t>x (System per Books Basis)</t>
  </si>
  <si>
    <t xml:space="preserve">      B.  Tie Without AFUDC</t>
  </si>
  <si>
    <t xml:space="preserve">      C.  AFUDC To Net Income</t>
  </si>
  <si>
    <t xml:space="preserve">  (System per Books Basis)</t>
  </si>
  <si>
    <t xml:space="preserve">      D.  Internally Generated Funds</t>
  </si>
  <si>
    <t xml:space="preserve">      E.  LTD To Total Investor Funds</t>
  </si>
  <si>
    <t xml:space="preserve">  (FPSC Adjusted Basis)</t>
  </si>
  <si>
    <t xml:space="preserve">      F.  STD To Total Investor Funds</t>
  </si>
  <si>
    <t xml:space="preserve">      G.  Return on Common Equity</t>
  </si>
  <si>
    <t xml:space="preserve">      H.  Return on Common Equity</t>
  </si>
  <si>
    <t xml:space="preserve">  (Proforma Basis)</t>
  </si>
  <si>
    <t>I am aware that Section 837.06, Florida Statutes, provides:</t>
  </si>
  <si>
    <t xml:space="preserve">  Whoever knowingly makes a false statement in writing with the intent to mislead a public servant in</t>
  </si>
  <si>
    <t>the performance of his official duty shall be guilty of a misdemeanor of the second degree, punishable</t>
  </si>
  <si>
    <t>as provided in s. 775.082, s. 775.083, or s. 775.084.</t>
  </si>
  <si>
    <t>Name and Title</t>
  </si>
  <si>
    <t>Signature</t>
  </si>
  <si>
    <t>Date</t>
  </si>
  <si>
    <t>Richard J. McMillan</t>
  </si>
  <si>
    <t>Corporate Planning Manager</t>
  </si>
  <si>
    <t>Schedule 5</t>
  </si>
  <si>
    <t>Financial Integrity Indicators</t>
  </si>
  <si>
    <t xml:space="preserve"> A.   Times Interest Earned with AFUDC</t>
  </si>
  <si>
    <t xml:space="preserve">  E.    Long Term Debt as Percent of Total </t>
  </si>
  <si>
    <t xml:space="preserve">           Investor Capital</t>
  </si>
  <si>
    <t xml:space="preserve">      Earnings Before Interest</t>
  </si>
  <si>
    <t xml:space="preserve">            (See calculation in item F. below)</t>
  </si>
  <si>
    <t xml:space="preserve">      AFUDC - Debt</t>
  </si>
  <si>
    <t xml:space="preserve">      Income Taxes</t>
  </si>
  <si>
    <t xml:space="preserve">  F.    Short Term Debt as Percent of Total Investor Capital </t>
  </si>
  <si>
    <t xml:space="preserve">        Total</t>
  </si>
  <si>
    <t xml:space="preserve">          Reconciled Average Retail Amounts</t>
  </si>
  <si>
    <t xml:space="preserve">      Interest Charges (Before </t>
  </si>
  <si>
    <t xml:space="preserve">       Deducting AFUDC - Debt)</t>
  </si>
  <si>
    <t xml:space="preserve">      T.I.E. With AFUDC</t>
  </si>
  <si>
    <t>x</t>
  </si>
  <si>
    <t xml:space="preserve">      Long Term Debt</t>
  </si>
  <si>
    <t xml:space="preserve">      Short Term Debt</t>
  </si>
  <si>
    <t xml:space="preserve"> B.   Times Interest Earned without AFUDC</t>
  </si>
  <si>
    <t xml:space="preserve">      Preferred Stock</t>
  </si>
  <si>
    <t xml:space="preserve">      Common Equity</t>
  </si>
  <si>
    <t xml:space="preserve">      AFUDC - Other</t>
  </si>
  <si>
    <t xml:space="preserve">      % Long Term Debt To Total</t>
  </si>
  <si>
    <t xml:space="preserve">      % Short Term Debt To Total</t>
  </si>
  <si>
    <t xml:space="preserve">      T.I.E. Without AFUDC</t>
  </si>
  <si>
    <t xml:space="preserve">  G.    FPSC Adjusted Average Jurisdictional Return</t>
  </si>
  <si>
    <t xml:space="preserve">  C.   Percent AFUDC To Net Income Available</t>
  </si>
  <si>
    <t xml:space="preserve">           On Common Equity</t>
  </si>
  <si>
    <t xml:space="preserve">          for Common Stockholders</t>
  </si>
  <si>
    <t>G.</t>
  </si>
  <si>
    <t>H.</t>
  </si>
  <si>
    <t>FPSC ADJ.</t>
  </si>
  <si>
    <t>PROFORMA</t>
  </si>
  <si>
    <t xml:space="preserve">      FPSC Adjusted Average Earned</t>
  </si>
  <si>
    <t xml:space="preserve">       Rate of Return</t>
  </si>
  <si>
    <t xml:space="preserve">      X (1 - Income Tax Rate)</t>
  </si>
  <si>
    <t xml:space="preserve">      Less: Reconciled Average Retail Weighted </t>
  </si>
  <si>
    <t xml:space="preserve">        Subtotal</t>
  </si>
  <si>
    <t xml:space="preserve">              Cost Rates For:</t>
  </si>
  <si>
    <t xml:space="preserve">        Long Term Debt</t>
  </si>
  <si>
    <t/>
  </si>
  <si>
    <t xml:space="preserve">        Short Term Debt</t>
  </si>
  <si>
    <t xml:space="preserve">        Preferred Stock</t>
  </si>
  <si>
    <t xml:space="preserve">      Net Income Available for </t>
  </si>
  <si>
    <t xml:space="preserve">        Customer Deposits</t>
  </si>
  <si>
    <t xml:space="preserve">      Common Stockholders</t>
  </si>
  <si>
    <t xml:space="preserve">        Tax Credits - Weighted Cost</t>
  </si>
  <si>
    <t xml:space="preserve">      Percent AFUDC to Available </t>
  </si>
  <si>
    <t xml:space="preserve">        (Common Equity at Midpoint)</t>
  </si>
  <si>
    <t xml:space="preserve">       Net Income</t>
  </si>
  <si>
    <t xml:space="preserve">          Subtotal</t>
  </si>
  <si>
    <t xml:space="preserve"> D.   Percent Internally Generated Funds</t>
  </si>
  <si>
    <t xml:space="preserve">      Net Income</t>
  </si>
  <si>
    <t xml:space="preserve">      Divided by Common Equity Ratio</t>
  </si>
  <si>
    <t xml:space="preserve">      Preferred Dividends</t>
  </si>
  <si>
    <t xml:space="preserve">      Common Dividends</t>
  </si>
  <si>
    <t xml:space="preserve">      Jurisdictional Return on Common Equity</t>
  </si>
  <si>
    <t xml:space="preserve">      AFUDC (Debt &amp; Other)</t>
  </si>
  <si>
    <t xml:space="preserve">      Depreciation &amp; Amortization</t>
  </si>
  <si>
    <t xml:space="preserve">      Deferred Income Taxes</t>
  </si>
  <si>
    <t xml:space="preserve">      Investment Tax Credits</t>
  </si>
  <si>
    <t xml:space="preserve">      Other</t>
  </si>
  <si>
    <t xml:space="preserve">       Total</t>
  </si>
  <si>
    <t xml:space="preserve">      Construction Expenditures</t>
  </si>
  <si>
    <t xml:space="preserve">       (Excluding AFUDC Other &amp; Debt)</t>
  </si>
  <si>
    <t xml:space="preserve">      Percent Internally Generated Funds</t>
  </si>
  <si>
    <t>SCHEDULE 4</t>
  </si>
  <si>
    <t>CAPITAL STRUCTURE</t>
  </si>
  <si>
    <t>FPSC ADJUSTED BASIS</t>
  </si>
  <si>
    <t>LOW POINT</t>
  </si>
  <si>
    <t>MIDPOINT</t>
  </si>
  <si>
    <t>HIGH POINT</t>
  </si>
  <si>
    <t>ADJUSTMENTS</t>
  </si>
  <si>
    <t>SYSTEM</t>
  </si>
  <si>
    <t>RETAIL</t>
  </si>
  <si>
    <t xml:space="preserve">ADJUSTED </t>
  </si>
  <si>
    <t>RATIO</t>
  </si>
  <si>
    <t>COST RATE</t>
  </si>
  <si>
    <t>WEIGHTED COST</t>
  </si>
  <si>
    <t>AVERAGE</t>
  </si>
  <si>
    <t>PER BOOKS</t>
  </si>
  <si>
    <t>PRO RATA</t>
  </si>
  <si>
    <t>SPECIFIC</t>
  </si>
  <si>
    <t>(%)</t>
  </si>
  <si>
    <t>LONG TERM DEBT</t>
  </si>
  <si>
    <t>SHORT TERM DEBT</t>
  </si>
  <si>
    <t>PREFERRED STOCK</t>
  </si>
  <si>
    <t>CUSTOMER DEPOSITS</t>
  </si>
  <si>
    <t>COMMON EQUITY</t>
  </si>
  <si>
    <t>DEFERRED INCOME TAXES</t>
  </si>
  <si>
    <t>FASB 109 DEFERRED TAXES</t>
  </si>
  <si>
    <t>TAX CREDITS - ZERO COST</t>
  </si>
  <si>
    <t>TAX CREDITS - WEIGHTED COST</t>
  </si>
  <si>
    <t>TOTAL</t>
  </si>
  <si>
    <t>%</t>
  </si>
  <si>
    <t xml:space="preserve"> </t>
  </si>
  <si>
    <t>YEAR-END</t>
  </si>
  <si>
    <t>SCHEDULE 3</t>
  </si>
  <si>
    <t>YEAR END RATE OF RETURN</t>
  </si>
  <si>
    <t>PAGE 3 OF 3</t>
  </si>
  <si>
    <t>SYSTEM ADJUSTMENTS</t>
  </si>
  <si>
    <t>RATE BASE ADJUSTMENTS</t>
  </si>
  <si>
    <t>AMOUNT</t>
  </si>
  <si>
    <t>INCOME STATEMENT ADJUSTMENTS</t>
  </si>
  <si>
    <t>TAX EFFECT</t>
  </si>
  <si>
    <t>PLANT SCHERER</t>
  </si>
  <si>
    <t>FRANCHISE FEE REVENUES</t>
  </si>
  <si>
    <t xml:space="preserve">   INVESTMENT</t>
  </si>
  <si>
    <t>IIC FUEL REVENUES</t>
  </si>
  <si>
    <t xml:space="preserve">   ACCUMULATED DEPRECIATION</t>
  </si>
  <si>
    <t>FUEL REVENUES</t>
  </si>
  <si>
    <t>ENERGY CONSERVATION COST RECOVERY</t>
  </si>
  <si>
    <t>ECONOMY PROFITS</t>
  </si>
  <si>
    <t>ECCR, PPCC, AND ECRC REVENUES</t>
  </si>
  <si>
    <t>GROSS RECEIPTS TAX REVENUES/STORM RECOVERY REV</t>
  </si>
  <si>
    <t>ENVIRONMENTAL RECOVERY CLAUSE</t>
  </si>
  <si>
    <t>COMPETITIVE SALES REV\TRANS REV\G/L ON SALE OF GAS</t>
  </si>
  <si>
    <t>CORP ADVERTISING &amp; WHOLESALE EXPENSES</t>
  </si>
  <si>
    <t>INDUSTRY ASSOCIATION DUES</t>
  </si>
  <si>
    <t>PROPERTY HELD FOR FUTURE USE</t>
  </si>
  <si>
    <t>FUEL AND PPCC EXPENSES</t>
  </si>
  <si>
    <t>INTEREST BEARING CWIP</t>
  </si>
  <si>
    <t>GAIN\LOSS ON DISPOSITION OF PROPERTY</t>
  </si>
  <si>
    <t>SCHERER CWIP</t>
  </si>
  <si>
    <t>ECON DEVELOP EXPENSE- TOTAL</t>
  </si>
  <si>
    <t>ECRC CWIP</t>
  </si>
  <si>
    <t>ECON DEV EXPENSE - ALLOWED</t>
  </si>
  <si>
    <t>ECCR CWIP</t>
  </si>
  <si>
    <t>INTEREST ON TAX ADJUSTMENT</t>
  </si>
  <si>
    <t>FAS 143 NET PLANT</t>
  </si>
  <si>
    <t>CONSERVATION EXPENSES - O &amp; M</t>
  </si>
  <si>
    <t>CONSERVATION EXPENSES - OTHER TAXES</t>
  </si>
  <si>
    <t>TALLAHASSEE OFFICE DEPRECIATION</t>
  </si>
  <si>
    <t>IVAN STORM RECOVERY EXPENSE</t>
  </si>
  <si>
    <t>WORKING CAPITAL:</t>
  </si>
  <si>
    <t>MARKETING SUPPORT ACTIVITIES</t>
  </si>
  <si>
    <t xml:space="preserve">   ECRC WORKING CAPITAL</t>
  </si>
  <si>
    <t>MGMT FINANCIAL PLANNING SERVICES</t>
  </si>
  <si>
    <t xml:space="preserve">   LOANS TO EMPLOYEES AND RETIREES</t>
  </si>
  <si>
    <t>FRANCHISE FEE</t>
  </si>
  <si>
    <t xml:space="preserve">   UNREALIZED LOSS ON FWD CONTRACT</t>
  </si>
  <si>
    <t>GROSS RECEIPTS TAX EXPENSE</t>
  </si>
  <si>
    <t xml:space="preserve">   CONSERVATION/AEM  INVENTORY</t>
  </si>
  <si>
    <t>LIAISON EXPENSE</t>
  </si>
  <si>
    <t xml:space="preserve">   INTEREST &amp; DIVIDENDS RECEIVABLE</t>
  </si>
  <si>
    <t>ECRC/ECCR EXPENSES</t>
  </si>
  <si>
    <t xml:space="preserve">   PLANT SCHERER</t>
  </si>
  <si>
    <t>COMPETITIVE SALES EXPENSES</t>
  </si>
  <si>
    <t xml:space="preserve">   TEMPORARY CASH INVESTMENTS</t>
  </si>
  <si>
    <t>GRT/FPSC FEES ON CLAUSE REV ADJ &amp; FRAN FEES</t>
  </si>
  <si>
    <t xml:space="preserve">   FUNDED PROP RES &amp; OTHER INVESTMENTS</t>
  </si>
  <si>
    <t>INTEREST SYNCHRONIZATION</t>
  </si>
  <si>
    <t xml:space="preserve">   FUEL RELATED DEFERRED DEBITS</t>
  </si>
  <si>
    <t xml:space="preserve">   FLAME RESISTANT CLOTHING</t>
  </si>
  <si>
    <t xml:space="preserve">   SALE OF RAIL CARS</t>
  </si>
  <si>
    <t xml:space="preserve">   IVAN STORM RECOVERY</t>
  </si>
  <si>
    <t xml:space="preserve">   ACCUM. PROV. FOR RATE REFUNDS</t>
  </si>
  <si>
    <t xml:space="preserve">   FAS 143 WORKING CAPITAL</t>
  </si>
  <si>
    <t xml:space="preserve">   FAS 158 REGULATORY ASSETS</t>
  </si>
  <si>
    <t xml:space="preserve">   FAS 158 REGULATORY LIABILITIES</t>
  </si>
  <si>
    <t xml:space="preserve">   PPA REGULATORY ASSETS</t>
  </si>
  <si>
    <t xml:space="preserve">   PPA REGULATORY LIABILITIES</t>
  </si>
  <si>
    <t xml:space="preserve">   FAS 133 REGULATORY ASSETS</t>
  </si>
  <si>
    <t xml:space="preserve">   FAS 133 REGULATORY LIABILITIES</t>
  </si>
  <si>
    <t>PAGE 2 OF 3</t>
  </si>
  <si>
    <t>INCOME STATEMENT</t>
  </si>
  <si>
    <t>O &amp; M</t>
  </si>
  <si>
    <t>DEFERRED</t>
  </si>
  <si>
    <t>INVESTMENT TAX</t>
  </si>
  <si>
    <t>NET</t>
  </si>
  <si>
    <t>OPERATING</t>
  </si>
  <si>
    <t>FUEL &amp; NET</t>
  </si>
  <si>
    <t xml:space="preserve"> O &amp; M</t>
  </si>
  <si>
    <t>DEPRECIATION &amp;</t>
  </si>
  <si>
    <t>TAXES OTHER</t>
  </si>
  <si>
    <t>INCOME TAXES</t>
  </si>
  <si>
    <t>CREDIT</t>
  </si>
  <si>
    <t>GAIN/LOSS</t>
  </si>
  <si>
    <t>REVENUES</t>
  </si>
  <si>
    <t>INTERCHANGE</t>
  </si>
  <si>
    <t>OTHER</t>
  </si>
  <si>
    <t>AMORTIZATION</t>
  </si>
  <si>
    <t>THAN INCOME</t>
  </si>
  <si>
    <t>CURRENT</t>
  </si>
  <si>
    <t>(NET)</t>
  </si>
  <si>
    <t>ON DISPOSITION</t>
  </si>
  <si>
    <t>EXPENSES</t>
  </si>
  <si>
    <t>INCOME</t>
  </si>
  <si>
    <t>SYSTEM PER BOOKS</t>
  </si>
  <si>
    <t>JURISDICTIONAL PER BOOKS</t>
  </si>
  <si>
    <t>LESS FPSC ADJUSTMENTS:</t>
  </si>
  <si>
    <t>GROSS RECEIPTS TAX  REVENUE</t>
  </si>
  <si>
    <t xml:space="preserve">GAIN\LOSS ON DISPOSITION </t>
  </si>
  <si>
    <t>IVAN STORM RECOVERY</t>
  </si>
  <si>
    <t>(4) WHOLESALE BASE RATE REVENUE NET OF FUEL PER "BUDGET COMPARISON ANALYSIS OF NET INCOME"  OF BUDGET DEVIATION REPORT ADJUSTED FOR THE AMOUNT REPORTED ON PAGE 3 COR -</t>
  </si>
  <si>
    <t xml:space="preserve">       "SALES FOR RESALE - TERRITORIAL: OTHER".</t>
  </si>
  <si>
    <t>(5)  INTERCHANGE ANALYSIS - FUEL WORKPAPERS</t>
  </si>
  <si>
    <t>RATE OF RETURN VS BUDGET DEVIATION</t>
  </si>
  <si>
    <t>ANALYSIS OF REVENUES        12MTD</t>
  </si>
  <si>
    <t>RANGE:A61..K120</t>
  </si>
  <si>
    <t>FILE NAME: RRCOMB4 (NOI)</t>
  </si>
  <si>
    <t xml:space="preserve">BUDGET </t>
  </si>
  <si>
    <t xml:space="preserve">RATE OF </t>
  </si>
  <si>
    <t xml:space="preserve">    WHOLESALE FUEL COST RECOVERED</t>
  </si>
  <si>
    <t>DEVIATION</t>
  </si>
  <si>
    <t>RETURN</t>
  </si>
  <si>
    <t>------------------------------</t>
  </si>
  <si>
    <t>THRU FCA</t>
  </si>
  <si>
    <t>IN RATE BASE</t>
  </si>
  <si>
    <t>(1) RETAIL BASE RATE REVENUES</t>
  </si>
  <si>
    <t>(2) CLAUSE REVENUES (EXCL FUEL)</t>
  </si>
  <si>
    <t>(3) CLAUSE OVER/UNDER RECOVERY (EXCL FUEL)</t>
  </si>
  <si>
    <t>(4) RETAIL FUEL CLAUSE REVENUES</t>
  </si>
  <si>
    <t>Feb 07</t>
  </si>
  <si>
    <t>(5) RETAIL OVER RECOVERY</t>
  </si>
  <si>
    <t>(6) WHOLESALE FUEL IN RATES</t>
  </si>
  <si>
    <t>(7) WHOLESALE FUEL CLAUSE REVENUE</t>
  </si>
  <si>
    <t>(8) WHOLESALE BASE RATE REVENUE</t>
  </si>
  <si>
    <t>(9) SCHEDULE E/ECON.-FUEL</t>
  </si>
  <si>
    <t>(10) SCHEDULE E/ECON.-OTHER ENERGY &amp;CAPACITY</t>
  </si>
  <si>
    <t>(11) UPS-FUEL</t>
  </si>
  <si>
    <t>(12) UPS-OTHER ENERGY &amp; CAPACITY</t>
  </si>
  <si>
    <t>(13) OTHER OPERATING REVENUES</t>
  </si>
  <si>
    <t>(14) INTERDEPARTMENTAL SALES</t>
  </si>
  <si>
    <t>(15) OTHER</t>
  </si>
  <si>
    <t>(16) ROUNDING</t>
  </si>
  <si>
    <t xml:space="preserve"> ------------------</t>
  </si>
  <si>
    <t>CAPSTR</t>
  </si>
  <si>
    <t>IV8192..IV8192</t>
  </si>
  <si>
    <t>SOURCE: FUEL WORKSHEET (WHOLESALE)</t>
  </si>
  <si>
    <t xml:space="preserve"> =================</t>
  </si>
  <si>
    <t>SOURCE:</t>
  </si>
  <si>
    <t>* DUE TO ROUNDING</t>
  </si>
  <si>
    <t>RATE OF RETURN:</t>
  </si>
  <si>
    <t>BUDGET DEVIATION:</t>
  </si>
  <si>
    <t xml:space="preserve"> (1) PER" BUDGET COMPARISON ANALYSIS OF NET INCOME" LINE RETAIL BASE RATE REV.</t>
  </si>
  <si>
    <t>(1) 12MTD TOTAL FILE RRNOI COL.1 (P.4 OF FILE)</t>
  </si>
  <si>
    <t xml:space="preserve"> (2)&amp;(3) NET PER "ANALYSIS OF FUEL AND ENERGY &amp; CONSERVATION REV. &amp; EXPENSES"  </t>
  </si>
  <si>
    <t>(2) 12MTD TOTAL FILE RRFUELCO COL. 1 (P.3 OF 3)</t>
  </si>
  <si>
    <t xml:space="preserve">     LINE "TOTAL CONSERVATION REVENUE"</t>
  </si>
  <si>
    <t>(3) 12MTD FILE FUELCO COL.4 (P.3 OF 3)</t>
  </si>
  <si>
    <t xml:space="preserve">(4) PER "ANALYSIS OF FUEL AND ENERGY &amp; CONSERVATION REV. &amp; EXPENSES"  </t>
  </si>
  <si>
    <t>(4) 12MTD TOTAL FILE RRFUELCO COL. 1(P.1 OF 3)</t>
  </si>
  <si>
    <t xml:space="preserve">(5) PER "ANALYSIS OF FUEL AND ENERGY &amp; CONSERVATION REV. &amp; EXPENSES"  </t>
  </si>
  <si>
    <t>(5) 12MTD TOTAL FILE RRFUELCO COL. 3 (P.1 OF 3)</t>
  </si>
  <si>
    <t xml:space="preserve">(6) PER "ANALYSIS OF FUEL AND ENERGY &amp; CONSERVATION REV. &amp; EXPENSES"  </t>
  </si>
  <si>
    <t>(6)&amp;(7) NET 12MTD TOTAL FILE RRFUELCO COL. 13 (P.1 OF 3)</t>
  </si>
  <si>
    <t xml:space="preserve">     LINE "FUEL IN WHOLESALE BASE RATE"</t>
  </si>
  <si>
    <t xml:space="preserve">     12MTD TOTAL CALCULATED ABOVE</t>
  </si>
  <si>
    <t xml:space="preserve">(7) PER "ANALYSIS OF FUEL AND ENERGY &amp; CONSERVATION REV. &amp; EXPENSES"  </t>
  </si>
  <si>
    <t>(8) N/A</t>
  </si>
  <si>
    <t xml:space="preserve">     LINE WHOLESALE FUEL CLAUSE REVENUE</t>
  </si>
  <si>
    <t>(9) 12MTD TOTAL RRFUELCO COL. 34 (P2 OF3)</t>
  </si>
  <si>
    <t>(8) PER " BUDGET COMPARISON ANALYSIS OF NET INCOME" LINE WHOLESALE BASE RATE REVENUE NET OF FUEL"</t>
  </si>
  <si>
    <t>(10) 12MTD TOTAL FILE RRNOI COL 1 (P.4 OF FILE) "SCH. E &amp; ECON. NET OF FUEL</t>
  </si>
  <si>
    <t>(9)&amp;(10) SCHEDULE E CAPACITY PER " BUDGET COMPARISON ANALYSIS OF NET INCOME" PLUS</t>
  </si>
  <si>
    <t>(11) 12MTD TOTAL FILE RRFUELCO COL. 21 (P.2 OF 3)</t>
  </si>
  <si>
    <t xml:space="preserve">     "SCH E ENERGY" AND "ECONOMY &amp; SCH. S&amp;R ENERGY" LESS SCH. R ENERGY PER COR P.5 _x0001_6_PLUS PPOWER CAPACITY (PPOWER W/P)</t>
  </si>
  <si>
    <t>(12) 12MTD TOTAL FILE RRNOI COL. 1 (P.4 OF FILE) "UPS NET OF FUEL"</t>
  </si>
  <si>
    <t xml:space="preserve">      TOTAL LESS SCH. E/ECON. FUEL PER ROR EQUALS OTHER ENERGY &amp; CAPACITY.</t>
  </si>
  <si>
    <t xml:space="preserve">(13) 12 MTD TOTAL FILE RRNOI COL. 1 (P.4 OF FILE) "OTHER OPERATING </t>
  </si>
  <si>
    <t>(11)&amp;(12) UPS CAPACITY PER "BUDGET COMPARISON ANALYSIS OF NET INCOME" PLUS</t>
  </si>
  <si>
    <t xml:space="preserve">     REVENUE (NET OF FUEL CONS. FEE) PLUS FRANCHISE FEE"</t>
  </si>
  <si>
    <t xml:space="preserve">     UPS ENERGY PER "ANALYSIS OF FUEL &amp; ENERGY &amp; CONSERVATION REVENUES &amp; EXPENSES."</t>
  </si>
  <si>
    <t>(14) N/A</t>
  </si>
  <si>
    <t xml:space="preserve">     THEN LESS UPS FUEL PER ROR EQUALS OTHER ENERGY &amp; CAPACITY PLUS SCHEDULE R PER COR P.5 _x0001_6_PLUS PPOWER ENERGY (PPOWER W/P)</t>
  </si>
  <si>
    <t>(15) 12 MTD TOTAL FILE RRNOI COL. 1 (P4 OF FILE) "OTHER"</t>
  </si>
  <si>
    <t>(13) PER "BUDGET COMPARISON ANALYSIS OF NET INCOME" LINE "OTHER OPERATING REV. NET OF FUEL, CONSERVATION."</t>
  </si>
  <si>
    <t>(14) PER "BUDGET COMPARISON ANALYSIS OF NET INCOME"</t>
  </si>
  <si>
    <t>(15) N/A</t>
  </si>
  <si>
    <t>NOTE FOR (10) &amp; (12): REMEMBER TO ADD ASSOCIATED COMPANIES CAPACITY AND ENERGY RESPECTIVELY, PER</t>
  </si>
  <si>
    <t>NOTES (A) &amp; (B) ON RRCOMB3, NOI (RANGE A1021..M1080)</t>
  </si>
  <si>
    <t>12 MONTH TO DATE TOTALS FOR OTHER REVENUE RECONCILIATION</t>
  </si>
  <si>
    <t>FILE NAME: RRCOMB4</t>
  </si>
  <si>
    <t>RANGE: A121..P175</t>
  </si>
  <si>
    <t>CM</t>
  </si>
  <si>
    <t>SCH. E CAPACITY</t>
  </si>
  <si>
    <t xml:space="preserve">CONSERVATION </t>
  </si>
  <si>
    <t xml:space="preserve">FUEL IN </t>
  </si>
  <si>
    <t>WHOLESALE</t>
  </si>
  <si>
    <t>BASE RATE</t>
  </si>
  <si>
    <t xml:space="preserve">FRANCHISE </t>
  </si>
  <si>
    <t xml:space="preserve">ENERGY PLUS </t>
  </si>
  <si>
    <t>NON-TERRITORIAL</t>
  </si>
  <si>
    <t>&amp; PPCC &amp; ERC</t>
  </si>
  <si>
    <t>RETAIL FUEL</t>
  </si>
  <si>
    <t>RETAIL OVER</t>
  </si>
  <si>
    <t xml:space="preserve">WHOLESALE </t>
  </si>
  <si>
    <t xml:space="preserve">Gain/Loss on </t>
  </si>
  <si>
    <t>OTHER OP REV</t>
  </si>
  <si>
    <t>FUEL,CONS,CAP,ECR</t>
  </si>
  <si>
    <t>FEES</t>
  </si>
  <si>
    <t>SCHEDULE  R</t>
  </si>
  <si>
    <t>RATES</t>
  </si>
  <si>
    <t>Sale of Gas</t>
  </si>
  <si>
    <t>FRAN FEE</t>
  </si>
  <si>
    <t>COL 4</t>
  </si>
  <si>
    <t>COL 5</t>
  </si>
  <si>
    <t>COL 6</t>
  </si>
  <si>
    <t>12 MTD CAPACITY "ASSOC Co SALES .XLS"</t>
  </si>
  <si>
    <t>12 MO. TOT</t>
  </si>
  <si>
    <t>=============</t>
  </si>
  <si>
    <t>==============</t>
  </si>
  <si>
    <t>REVENUE *</t>
  </si>
  <si>
    <t xml:space="preserve">  (1) PER "BUDGET COMPARISON ANALYSIS OF NET INCOME" LINE "RETAIL BASE RATE REVENUE" PLUS</t>
  </si>
  <si>
    <t xml:space="preserve">      "INCREMENTAL GROSS RECEIPTS TAX" PLUS PROVISION FOR RATE REFUNDS (COR 3)</t>
  </si>
  <si>
    <t xml:space="preserve">  (2) PER "BUDGET COMPARISON ANALYSIS OF NET INCOME" LINE "OTHER OPERATING REVENUE NET OF FUEL"  </t>
  </si>
  <si>
    <t xml:space="preserve">  (3) PAGE 3A, COR</t>
  </si>
  <si>
    <t xml:space="preserve">  (4) SCHEDULE E CAPACITY PER "BUDGET COMPARISON ANALYSIS OF NET INCOME"  PLUS SCHEDULE E ENERGY PER</t>
  </si>
  <si>
    <t xml:space="preserve">       "ANALYSIS OF FUEL AND CONSERVATION REVENUES &amp; EXPENSES" PLUS ECONOMY &amp; SCHEDULE S ENERGY</t>
  </si>
  <si>
    <t xml:space="preserve">        PER "ANALYSIS OF FUEL AND ENERGY &amp; CONSERVATION REVENUES &amp; EXPENSES" PLUS SCHEDULE R PAGE 5 COR.</t>
  </si>
  <si>
    <t xml:space="preserve">        PLUS SCHEDULE "E" CAPACITY REVENUES IN PPCC (PER CCA-1 REPORT)</t>
  </si>
  <si>
    <t xml:space="preserve">  (5) PER RRCOMB2 (FUELCO), COL. 34</t>
  </si>
  <si>
    <t xml:space="preserve">  (6) ADVANCE INTERCHANGE POWER / UPS INFORMATION</t>
  </si>
  <si>
    <t xml:space="preserve">  (7) PER "ANALYSIS OF FUEL AND ENERGY &amp; CONSERVATION REVENUES &amp; EXPENSES" LINE "TOTAL CONSERVATION REVENUES" PLUS</t>
  </si>
  <si>
    <t xml:space="preserve">       "TOTAL CAPACITY CLAUSE REVENUES"</t>
  </si>
  <si>
    <t xml:space="preserve">  (8) PER "ANALYSIS OF FUEL AND ENERGY &amp; CONSERVATION REVENUES &amp; EXPENSES" LINE "RETAIL FUEL CLAUSE REVENUE"</t>
  </si>
  <si>
    <t xml:space="preserve">  (9) PER "ANALYSIS OF FUEL AND ENERGY &amp; CONSERVATION REVENUES &amp; EXPENSES" LINE "OVER RECOVERY (OTHER REVENUE)"</t>
  </si>
  <si>
    <t xml:space="preserve">  (10) PER "ANALYSIS OF FUEL AND ENERGY &amp; CONSERVATION REVENUES &amp; EXPENSES" LINE "FUEL IN WHOLESALE BASE RATE"</t>
  </si>
  <si>
    <t xml:space="preserve">  (11) PER "ANALYSIS OF FUEL AND ENERGY &amp; CONSERVATION REVENUES &amp; EXPENSES" LINE "WHOLESALE FUEL CLAUSE REVENUE"</t>
  </si>
  <si>
    <t xml:space="preserve">  (12) PER "BUDGET COMPARISON ANALYSIS OF NET INCOME" LINE "WHOLESALE BASE RATE REVENUE NET OF FUEL"  </t>
  </si>
  <si>
    <t xml:space="preserve">          MINUS "SALES FOR RESALE - TERRITORIAL: OTHER" FROM PAGE 3 COR</t>
  </si>
  <si>
    <t xml:space="preserve">  (13) PER "BUDGET COMPARISON ANALYSIS OF NET INCOME"</t>
  </si>
  <si>
    <t>12MTDotherREv</t>
  </si>
  <si>
    <t>FORMULA</t>
  </si>
  <si>
    <t xml:space="preserve">  (14) PER "ANALYSIS OF FUEL AND ENERGY &amp; CONSERVATION REVENUES &amp; EXPENSES" UPS ENERGY LESS SCHEDULE R.</t>
  </si>
  <si>
    <t>NonClauseInterdeptRev</t>
  </si>
  <si>
    <t xml:space="preserve">  (15) PER "BUDGET COMPARISON ANALYSIS OF NET INCOME"</t>
  </si>
  <si>
    <t>Ivan Recovery</t>
  </si>
  <si>
    <t>RANGE: A177..I235</t>
  </si>
  <si>
    <t>Booked</t>
  </si>
  <si>
    <t>Ivan Interest Revenue</t>
  </si>
  <si>
    <t>Ivan Storm Recovery</t>
  </si>
  <si>
    <t>Ivan Interest Exp</t>
  </si>
  <si>
    <t>FPSC Fees</t>
  </si>
  <si>
    <t>Check:</t>
  </si>
  <si>
    <t>Ivan Interest Rev</t>
  </si>
  <si>
    <t>456-299 Apr, 456-952</t>
  </si>
  <si>
    <t>O&amp;M Exp</t>
  </si>
  <si>
    <t>(Prior Mo. (3) * Curr Mo. (5) )</t>
  </si>
  <si>
    <t>Wholesale piece of storm</t>
  </si>
  <si>
    <t>Adj Wholesale piece of storm</t>
  </si>
  <si>
    <t>182-505</t>
  </si>
  <si>
    <t>Interest Rate for Ivan</t>
  </si>
  <si>
    <t>Annualized Interest</t>
  </si>
  <si>
    <t>Associated Bond</t>
  </si>
  <si>
    <t>BOND COST RATES</t>
  </si>
  <si>
    <t>PERIOD ENDING</t>
  </si>
  <si>
    <t xml:space="preserve">  13 MONTH AVG</t>
  </si>
  <si>
    <t>Jurisdictional Ivan Debt</t>
  </si>
  <si>
    <t>PAGE 1 SOURCES         RANGE: A122..F180</t>
  </si>
  <si>
    <t>--------------         ------------------</t>
  </si>
  <si>
    <t xml:space="preserve">NET BONDS: TOTAL LONG-TERM DEBT PRINCIPAL (PER COR P.2) LESS UNDRAWNDOWN PCB'S (PER WORKSHEET) </t>
  </si>
  <si>
    <t xml:space="preserve">    LESS UNAMORTIZED DISCOUNT, PREMIUM &amp; EXPENSE (PER COR, P.2)</t>
  </si>
  <si>
    <t>SHORT-TERM DEBT, PREFERRED STOCK, CUSTOMER DEPOSITS, DEFERRED TAXES, &amp; COMMON EQUITY:</t>
  </si>
  <si>
    <t xml:space="preserve">    PER BALANCE SHEET, COR P. 2</t>
  </si>
  <si>
    <t>3% ITC: ACCOUNTS 255-101,201 ENDING BALANCE</t>
  </si>
  <si>
    <t>DEFERRED TAXES: COR P. 2, ADD ALL DEFERRED TAXES (DR. &amp; CR.)</t>
  </si>
  <si>
    <t>4% &amp; 10% ITC: TOTAL UNAMORTIZED ITC PER BALANCE SHEET, COR P. 2 LESS 3% ITC</t>
  </si>
  <si>
    <t>NET NON-UTILITY PROPERTY: PER BALANCE SHEET, COR P. 2, SHEET 1</t>
  </si>
  <si>
    <t>APPLIANCE WARRANTY RESERVE: ACCOUNT 253-800'S</t>
  </si>
  <si>
    <t>NET INVESTMENT, APPLIANCE S/S: PER RATE BASE COMPONENTS WORKPAPER</t>
  </si>
  <si>
    <t>NET ACCTS. REC. APPLIANCE S/S, ACCTS. PAY. APPLIANCE S/S, MERCHANDISE,</t>
  </si>
  <si>
    <t xml:space="preserve">    AND COMMON DIVIDENDS DECLARED:PER CURRENT ASSETS &amp; CURRENT LIABILITIES WORKPAPER</t>
  </si>
  <si>
    <t>JURISDICTIONAL RATE BASE: PER RRRB P. 3</t>
  </si>
  <si>
    <t>PAGE 2 &amp; 3 SOURCES FOR ITEMS NOT FOUND ON FIRST PAGE OF THIS WORKSHEET</t>
  </si>
  <si>
    <t>----------------------------------------------------------------------</t>
  </si>
  <si>
    <t>RATE BASE ADJUSTMENTS: PER RRRB P. 2 (ALL EXCEPT UPS)</t>
  </si>
  <si>
    <t>BALANCE SHEET ITEMS EXCLUDED: PER 13-MONTH AVERAGE BALANCE SHEET ITEMS WP</t>
  </si>
  <si>
    <t>COST RATES:</t>
  </si>
  <si>
    <t xml:space="preserve">   BONDS - PER CAPITAL STRUCTURE ADJUSTMENTS-BONDS WP</t>
  </si>
  <si>
    <t xml:space="preserve">   PREFERRED - PER CAPITAL STRUCTURE ADJUSTMENTS-PREFERRED WP</t>
  </si>
  <si>
    <t xml:space="preserve">   CUSTOMER DEPOSITS - 7.88% PER LAST RATE ORDER</t>
  </si>
  <si>
    <t xml:space="preserve">   UNAMORTIZED ITC-4 &amp; 10% - OVERALL RATE OF RETURN PER PAGE 1 OF</t>
  </si>
  <si>
    <t xml:space="preserve">      ROR REPORT (COMPONENT MUST BE CALCULATED THREE TIMES USING ACTUAL,</t>
  </si>
  <si>
    <t xml:space="preserve">      FPSC ADJUSTED, AND PRO FORMA ADJUSTED RATES OF RETURN</t>
  </si>
  <si>
    <t>UPS INVESTMENT: PER UPS CAPITAL STRUCTURE WP-RRUPSINV</t>
  </si>
  <si>
    <t>PAGE 4 SOURCES:</t>
  </si>
  <si>
    <t>PRO RATA ADJUSTMENTS: TOTAL PER RRRB P. 3</t>
  </si>
  <si>
    <t>RETAIL PER BOOKS: ADJUSTED RETAIL PLUS PRO RATA ADJUSTMENTS</t>
  </si>
  <si>
    <t>OTHER ITEMS PER PAGES 1 THROUGH 3 OF THIS WORKSHEETS</t>
  </si>
  <si>
    <t>SOURCES</t>
  </si>
  <si>
    <t>-------</t>
  </si>
  <si>
    <t>RATES OF RETURN-SAME AS RR13MACS EXCEPT USING PERIOD END RATE BASE AND NOI</t>
  </si>
  <si>
    <t>COMPONENTS AND COMMON EQUITY RATIO: CALCULATED ON THIS WORKSHEET</t>
  </si>
  <si>
    <t>NET NON-UTILITY PROPERTY: BALANCE SHEET, COR P. 2, SHEET 1</t>
  </si>
  <si>
    <t xml:space="preserve">    AND COMMON DIV. DECLARED: PER CURRENT ASSETS &amp; CURRENT LIABILITIES WORKPAPER</t>
  </si>
  <si>
    <t>NET BONDS: TOTAL LONG-TERM DEBT PRINCIPAL (PER COR P. 2) LESS UNDRAWNDOWN PCB'S (PER WORKSHEET)</t>
  </si>
  <si>
    <t xml:space="preserve">    LESS UNAMORTIZED DISCOUNT, PREMIUM &amp; EXPENSE (PER COR P. 2)</t>
  </si>
  <si>
    <t>SHORT-TERM DEBT, PREFERRED STOCK, CUSTOMER DEPOSITS, DEFERRED TAXES &amp; COMMON</t>
  </si>
  <si>
    <t xml:space="preserve">    EQUITY: PER BALANCE SHEET, COR P. 2</t>
  </si>
  <si>
    <t>3% ITC: ACCOUNTS 253-101, 201</t>
  </si>
  <si>
    <t>(NOTE 12 MTD MUST BE CALCULATED USING YTD DEC, CM THIS YEAR &amp; CM LAST YEAR)</t>
  </si>
  <si>
    <t>RATE BASE ADJUSTMENTS AND BALANCE SHEET ITEMS EXCLUDED-PLUGGED-</t>
  </si>
  <si>
    <t xml:space="preserve">    EQUALS CURRENT MONTH AMOUNT NET OF NON-UTIL, COMMON DIV DECL AND UPS PER PAGE 2 OF THIS WP</t>
  </si>
  <si>
    <t xml:space="preserve">    LESS RETAIL/WHOLESALE RATE BASE</t>
  </si>
  <si>
    <t>RETAIL/WHOLESALE RATE BASE-TOTAL ADJUSTED RATE BASE PER RRRB P. 4</t>
  </si>
  <si>
    <t xml:space="preserve">    BONDS - PER CAPITAL STRUCTURE ADJUSTMENTS-BONDS WP</t>
  </si>
  <si>
    <t xml:space="preserve">    PREFERRED - PER CAPITAL STRUCTURE ADJUSTMENTS-PREFERRED WP</t>
  </si>
  <si>
    <t xml:space="preserve">    CUSTOMER DEPOSITS - 7.88% PER LAST RATE ORDER</t>
  </si>
  <si>
    <t xml:space="preserve">    UNAMORTIZED ITC-4 &amp; 10% - OVERALL RATE OF RETURN PER PAGE 1 OF ROR REPORT</t>
  </si>
  <si>
    <t xml:space="preserve">      (COMPONENT MUST BE CALCULATED THREE TIMES USING ACTUAL, FPSC ADJUSTED,</t>
  </si>
  <si>
    <t xml:space="preserve">      AND PRO FORMA ADJUSTED RATES OF RETURN)</t>
  </si>
  <si>
    <t>JURISDICTIONAL RATE BASE: PER RRRB P. 5</t>
  </si>
  <si>
    <t>PAGE 3:</t>
  </si>
  <si>
    <t>PRO RATA ADJUSTMENTS-TOTAL PER RRRB P. 5</t>
  </si>
  <si>
    <t>RETAIL PER BOOKS-ADJUSTED RETAIL PLUS PRO RATA ADJUSTMENTS</t>
  </si>
  <si>
    <t>OTHER ITEMS PER PAGES 1 &amp; 2 OF THIS WORKSHEET</t>
  </si>
  <si>
    <t xml:space="preserve">SOURCES FOR ITEMS ON PAGE 2 AND 3 OF RRNOI </t>
  </si>
  <si>
    <t>------------------------------------------</t>
  </si>
  <si>
    <t>ALL ITEMS NOT LISTED BELOW ARE FOUND ON PAGE 4 AND 5 OF RRNOI</t>
  </si>
  <si>
    <t>FPSC ADJUSTMENTS-PER PAGE 4 AND 5 OF RRNOI MULTIPLIED BY APPROPRIATE JURIS FACTOR</t>
  </si>
  <si>
    <t>PRO FORMA REVENUE AND ADJUSTMENTS</t>
  </si>
  <si>
    <t xml:space="preserve">  REVENUE-PER WORKSHEET FROM STATISTICS</t>
  </si>
  <si>
    <t xml:space="preserve">  INCREASE IN UNCOLLECTIBLES=REVENUE x .1325%</t>
  </si>
  <si>
    <t xml:space="preserve">  OTHER TAXES=REVENUE x 1.625%</t>
  </si>
  <si>
    <t xml:space="preserve">  INCOME TAXES=(REVENUE-UNCOLL EXP-OTHER TAXES) x .4897</t>
  </si>
  <si>
    <t>JURIS PER BOOKS=FPSC ADJUSTED + TOTAL FPSC ADJUSTED</t>
  </si>
  <si>
    <t>SOURCES FOR PAGE 4 AND 5 OF RRNOI</t>
  </si>
  <si>
    <t>---------------------------------</t>
  </si>
  <si>
    <t>SYSTEM AMOUNTS:</t>
  </si>
  <si>
    <t xml:space="preserve">  BASE RATE REVENUES-PER BUDGET DEVIATION REPORT, P. 1 (RETAIL ONLY) "BUDGET COMPARISON ANALYSIS-OPERATING REVENUES &amp;KWH SALES</t>
  </si>
  <si>
    <t xml:space="preserve">  CONSERVATION REVENUES-RRFUELCO, P. 3 OF 3, COL 1 + COL 4</t>
  </si>
  <si>
    <t xml:space="preserve">  FUEL REVENUES-RRFUELCO, P. 1 OF 3, COL 4, COL 15, &amp; COL 21</t>
  </si>
  <si>
    <t xml:space="preserve">  OTHER OPERATING REVENUES, NET-BUDGET DEVIATION REPORT WP'S (LESS FRANCHISE FEE)"BUDGET COMPARISONANALYSIS OF NET INCOME"</t>
  </si>
  <si>
    <t xml:space="preserve">     OTHER OPERATING REVENUES NET OF FUEL (12MTD) LESS FRANCHISE FEE REVENUES ABOVE.</t>
  </si>
  <si>
    <t xml:space="preserve">  FRANCHISE FEE REVENUES: RRNOIADJ</t>
  </si>
  <si>
    <t xml:space="preserve">  SCH E &amp; ECON NET OF FUEL-TOTAL SCHEDULE E AND ECONOMY PER BUDGET DEVIATION REPORT</t>
  </si>
  <si>
    <t xml:space="preserve">    LESS FUEL PORTION PER RRFUELCO, P. 2 OF 3, COL 34</t>
  </si>
  <si>
    <t xml:space="preserve">  UPS NET OF FUEL-RRFUELCO, P. 1 OF 3, COL 21</t>
  </si>
  <si>
    <t xml:space="preserve">  OTHER-PLUGGED (SEE NOTE FOLLOWING 4/85 WORKPAPERS)</t>
  </si>
  <si>
    <t>EXPENSES-PER COMPANY OPERATING REPORT</t>
  </si>
  <si>
    <t>UPS:PER PAGE 1 OF THIS FILE (RRNOI)</t>
  </si>
  <si>
    <t>REVENUES-SEE SOURCES ABOVE (ALL FUEL, CONS, AND FRAN FEE ARE REMOVED)</t>
  </si>
  <si>
    <t xml:space="preserve">  FUEL-PER RRFUELCO, P. 2 OF 3, COL 29</t>
  </si>
  <si>
    <t xml:space="preserve">  DEFERRED O &amp; M-RRNOIADJ</t>
  </si>
  <si>
    <t xml:space="preserve">  CONSERVATION-PROVIDED BY FUNCTION ON WORKSHEET FROM CORP PERF</t>
  </si>
  <si>
    <t xml:space="preserve">  AREA DEVELOPMENT-RRNOIADJ (ALL OF SALES EXP FUNCTION IS AREA DEV; REMAINDER IS A &amp; G)</t>
  </si>
  <si>
    <t xml:space="preserve">  IND ASSOC DUES-RRNOIADJ</t>
  </si>
  <si>
    <t xml:space="preserve">  LEISURE LAKES DEPREC-RRNOIADJ</t>
  </si>
  <si>
    <t xml:space="preserve">  OTHER TAXES RELATED TO CONSERVATION REV-RRFUELCO, P. 3 OF 3, COL 3</t>
  </si>
  <si>
    <t xml:space="preserve">  OTHER TAXES RELATED TO FUEL REV-RRFUELCO, P. 2 OF 3, COL 30</t>
  </si>
  <si>
    <t xml:space="preserve">  OTHER TAXES RELATED TO FRAN FEE REV=FRAN FEE REV x .01625</t>
  </si>
  <si>
    <t xml:space="preserve">  FRANCHISE FEE EXP-RRNOIADJ</t>
  </si>
  <si>
    <t>INTEREST SYNCH-PER WORKSHEET IN ROR WORKPAPERS</t>
  </si>
  <si>
    <t>JURIS FACTORS-PER LIST IN ROR WORKPAPERS</t>
  </si>
  <si>
    <t xml:space="preserve">      RRCOMB1A</t>
  </si>
  <si>
    <t>FUEL &amp; CONSERVATION REVENUES AND EXPENSES</t>
  </si>
  <si>
    <t>FILE NAME: RRCOMB2 (FUELCO) RANGE: A1..K53</t>
  </si>
  <si>
    <t>12MECODEV</t>
  </si>
  <si>
    <t xml:space="preserve">         1</t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</si>
  <si>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</si>
  <si>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</si>
  <si>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</si>
  <si>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</si>
  <si>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</si>
  <si>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</si>
  <si>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>7A</t>
  </si>
  <si>
    <t xml:space="preserve">         8</t>
  </si>
  <si>
    <t xml:space="preserve">        9</t>
  </si>
  <si>
    <t xml:space="preserve">        10</t>
  </si>
  <si>
    <t xml:space="preserve">       10A</t>
  </si>
  <si>
    <t xml:space="preserve">        11</t>
  </si>
  <si>
    <t xml:space="preserve">        12</t>
  </si>
  <si>
    <t>----</t>
  </si>
  <si>
    <t xml:space="preserve">       ADD:</t>
  </si>
  <si>
    <t xml:space="preserve">   (OVER)UNDER</t>
  </si>
  <si>
    <t xml:space="preserve">   OVER(UNDER)</t>
  </si>
  <si>
    <t xml:space="preserve">       LESS:</t>
  </si>
  <si>
    <t xml:space="preserve">      RETAIL</t>
  </si>
  <si>
    <t xml:space="preserve">      JURIS.</t>
  </si>
  <si>
    <t xml:space="preserve">     RECOVERY</t>
  </si>
  <si>
    <t xml:space="preserve">       NET</t>
  </si>
  <si>
    <t>Supporting Schedules:  G-8, G-11</t>
  </si>
  <si>
    <t>Recap Schedules:  G-8</t>
  </si>
  <si>
    <t>expenses as ordered in Gulf's last rate case.</t>
  </si>
  <si>
    <t xml:space="preserve">To remove association dues as ordered in Gulf's </t>
  </si>
  <si>
    <t>last rate case.</t>
  </si>
  <si>
    <t>(20)</t>
  </si>
  <si>
    <t>To remove the FPSC Assessment fee on fuel revenues.</t>
  </si>
  <si>
    <t>(21)</t>
  </si>
  <si>
    <t>(22)</t>
  </si>
  <si>
    <t>Institutional Advertising</t>
  </si>
  <si>
    <t xml:space="preserve">To remove the effect of expenses related to </t>
  </si>
  <si>
    <t>institutional advertising.</t>
  </si>
  <si>
    <t>(23)</t>
  </si>
  <si>
    <t>Gain on Disposition of Utility Property</t>
  </si>
  <si>
    <t>To adjust NOI for the gain on the disposition</t>
  </si>
  <si>
    <t>of utility property.</t>
  </si>
  <si>
    <t>Tallahassee Liaison Expenses O&amp;M</t>
  </si>
  <si>
    <t>To remove  expenses related to Gulf's liaison</t>
  </si>
  <si>
    <t xml:space="preserve">office located in Tallahassee. </t>
  </si>
  <si>
    <t>(24)</t>
  </si>
  <si>
    <t>Management Financial Planning Services</t>
  </si>
  <si>
    <t>To remove the management financial planning</t>
  </si>
  <si>
    <t>services from net operating income.</t>
  </si>
  <si>
    <t>(25)</t>
  </si>
  <si>
    <t>Marketing Support Activities</t>
  </si>
  <si>
    <t>To remove  expenses that are promotional in</t>
  </si>
  <si>
    <t>nature.</t>
  </si>
  <si>
    <t>Economic Development Expenses</t>
  </si>
  <si>
    <t xml:space="preserve">To remove 5% of the economic development </t>
  </si>
  <si>
    <t>Association Dues</t>
  </si>
  <si>
    <t>(26)</t>
  </si>
  <si>
    <t>Wholesale Sales Expense</t>
  </si>
  <si>
    <t>To remove expense associated with wholesale</t>
  </si>
  <si>
    <t>activities.</t>
  </si>
  <si>
    <t>Income Taxes - Adjustments</t>
  </si>
  <si>
    <t>To reflect the tax effect of all Commission</t>
  </si>
  <si>
    <t>adjustments.</t>
  </si>
  <si>
    <t>(28)</t>
  </si>
  <si>
    <t>Income Taxes - Interest Synchronization</t>
  </si>
  <si>
    <t>To reflect the tax effect of interest</t>
  </si>
  <si>
    <t>synchronization</t>
  </si>
  <si>
    <t>Company Adjustments:</t>
  </si>
  <si>
    <t>None</t>
  </si>
  <si>
    <t xml:space="preserve">EXPLANATION:  Provide a schedule of operating revenue by primary </t>
  </si>
  <si>
    <t>Acct</t>
  </si>
  <si>
    <t>Per</t>
  </si>
  <si>
    <t xml:space="preserve">   Account Title</t>
  </si>
  <si>
    <t>Books</t>
  </si>
  <si>
    <t>Fees &amp;</t>
  </si>
  <si>
    <t>(4)-(5)</t>
  </si>
  <si>
    <t>GRT</t>
  </si>
  <si>
    <t>(7) thru (13)</t>
  </si>
  <si>
    <t>(6)-(14)</t>
  </si>
  <si>
    <t xml:space="preserve">SALES OF ELECTRICITY </t>
  </si>
  <si>
    <t>440</t>
  </si>
  <si>
    <t xml:space="preserve"> Residential Sales</t>
  </si>
  <si>
    <t>442</t>
  </si>
  <si>
    <t xml:space="preserve"> Commercial Sales</t>
  </si>
  <si>
    <t xml:space="preserve"> Industrial Sales</t>
  </si>
  <si>
    <t>444</t>
  </si>
  <si>
    <t xml:space="preserve"> Public Street &amp; Highway Lighting</t>
  </si>
  <si>
    <t>445</t>
  </si>
  <si>
    <t xml:space="preserve"> Other Sales to Public Authorities</t>
  </si>
  <si>
    <t>446</t>
  </si>
  <si>
    <t xml:space="preserve"> Sales to Railroads &amp; Railways</t>
  </si>
  <si>
    <t>448</t>
  </si>
  <si>
    <t xml:space="preserve"> Interdepartmental Sales</t>
  </si>
  <si>
    <t xml:space="preserve">   Total Sales to Ultimate Consumers</t>
  </si>
  <si>
    <t>447</t>
  </si>
  <si>
    <t xml:space="preserve"> Sales for Resale</t>
  </si>
  <si>
    <t>TOTAL SALES OF ELECTRICITY</t>
  </si>
  <si>
    <t>449.1</t>
  </si>
  <si>
    <t xml:space="preserve"> (Less) Provision for Rate Refunds</t>
  </si>
  <si>
    <t>TOTAL REVENUE NET OF REFUND PROVISION</t>
  </si>
  <si>
    <t>OTHER OPERATING REVENUES</t>
  </si>
  <si>
    <t>450</t>
  </si>
  <si>
    <t>13-MONTH AVERAGE BALANCE SHEET ITEMS</t>
  </si>
  <si>
    <t xml:space="preserve">   TOTAL OTHER</t>
  </si>
  <si>
    <t xml:space="preserve">  UNAMORTIZED</t>
  </si>
  <si>
    <t xml:space="preserve">   UNAMORTIZED</t>
  </si>
  <si>
    <t xml:space="preserve">   PEABODY</t>
  </si>
  <si>
    <t xml:space="preserve">    PROPERTY</t>
  </si>
  <si>
    <t xml:space="preserve">    LONG-TERM</t>
  </si>
  <si>
    <t xml:space="preserve">   PROPRIETARY</t>
  </si>
  <si>
    <t xml:space="preserve">    LOSS ON</t>
  </si>
  <si>
    <t xml:space="preserve">   DEBT EXPENSE</t>
  </si>
  <si>
    <t xml:space="preserve">    PREMIUM &amp;</t>
  </si>
  <si>
    <t xml:space="preserve">    OPERATING</t>
  </si>
  <si>
    <t xml:space="preserve">  SHORT TERM</t>
  </si>
  <si>
    <t xml:space="preserve">   COMMON</t>
  </si>
  <si>
    <t xml:space="preserve">    NET PLANT</t>
  </si>
  <si>
    <t xml:space="preserve">  &amp; INVESTMENTS</t>
  </si>
  <si>
    <t xml:space="preserve">     DEBITS</t>
  </si>
  <si>
    <t xml:space="preserve">     CREDITS</t>
  </si>
  <si>
    <t xml:space="preserve">    (CREDIT)</t>
  </si>
  <si>
    <t xml:space="preserve"> REAQUIRED DEBT</t>
  </si>
  <si>
    <t xml:space="preserve">     (DEBIT)</t>
  </si>
  <si>
    <t xml:space="preserve">  DISCOUNT(NET)</t>
  </si>
  <si>
    <t xml:space="preserve">     RESERVES</t>
  </si>
  <si>
    <t xml:space="preserve">     DEBT</t>
  </si>
  <si>
    <t xml:space="preserve">   EQUITY</t>
  </si>
  <si>
    <t>13 MO TOT</t>
  </si>
  <si>
    <t>CALCULATION OF BALANCE SHEET ITEMS EXCLUDED</t>
  </si>
  <si>
    <t>182-300's</t>
  </si>
  <si>
    <t>254-200's</t>
  </si>
  <si>
    <t>186-300's</t>
  </si>
  <si>
    <t>224-914,915,916</t>
  </si>
  <si>
    <t xml:space="preserve">      CAPITAL</t>
  </si>
  <si>
    <t xml:space="preserve">     BALANCE</t>
  </si>
  <si>
    <t xml:space="preserve">    FUELCO &amp;</t>
  </si>
  <si>
    <t xml:space="preserve">    BAL. SHEET</t>
  </si>
  <si>
    <t>LEASE</t>
  </si>
  <si>
    <t xml:space="preserve">     RATE BASE</t>
  </si>
  <si>
    <t xml:space="preserve">     STRUCTURE</t>
  </si>
  <si>
    <t xml:space="preserve">   SHEET ITEMS</t>
  </si>
  <si>
    <t xml:space="preserve">    PEABODY</t>
  </si>
  <si>
    <t xml:space="preserve">    ITEMS EXCL.</t>
  </si>
  <si>
    <t xml:space="preserve">    NONUTILITY</t>
  </si>
  <si>
    <t>HOLD</t>
  </si>
  <si>
    <t>COAL</t>
  </si>
  <si>
    <t xml:space="preserve">      SHEET</t>
  </si>
  <si>
    <t xml:space="preserve">       ITEMS</t>
  </si>
  <si>
    <t xml:space="preserve">     EXCLUDED</t>
  </si>
  <si>
    <t xml:space="preserve">     PRO RATA</t>
  </si>
  <si>
    <t xml:space="preserve">       ITEMS </t>
  </si>
  <si>
    <t>TAX ASSET</t>
  </si>
  <si>
    <t>TAX LIABILITY</t>
  </si>
  <si>
    <t>MERCHANDISING</t>
  </si>
  <si>
    <t>BUYOUT</t>
  </si>
  <si>
    <t>NET PLANT-IN-SERVICE</t>
  </si>
  <si>
    <t>OTHER PROPERTY &amp; INVEST.</t>
  </si>
  <si>
    <t>TOTAL ASSETS</t>
  </si>
  <si>
    <t>PROPRIETARY CAPITAL</t>
  </si>
  <si>
    <t>LONG-TERM DEBT</t>
  </si>
  <si>
    <t>TOTAL LIABILITIES</t>
  </si>
  <si>
    <t>*  FOR INFORMATION ONLY</t>
  </si>
  <si>
    <t>13-MONTH AVERAGES -</t>
  </si>
  <si>
    <t>TOTAL NET PLANT: BALANCE SHEET, COR P. 2, SHEET 1</t>
  </si>
  <si>
    <t xml:space="preserve">TOTAL OTHER PROPERTY &amp; INVESTMENTS: BALANCE SHEET, COR P. 2, SHEET 1 LESS </t>
  </si>
  <si>
    <t xml:space="preserve">    DRAWNDOWN PORTION OF PCB IN OTHER SPECIAL FUNDS</t>
  </si>
  <si>
    <t>TOTAL DEFERRED DEBITS: BALANCE SHEET, COR P. 2, SHEET 1</t>
  </si>
  <si>
    <t>TOTAL LONG-TERM DEBT: BALANCE SHEET, COR P. 2, SHEET 2, LESS UNDRAWNDOWN PORTION OF PCB</t>
  </si>
  <si>
    <t>TOTAL DEFERRED CREDITS: BALANCE SHEET, COR P. 2, SHEET 2</t>
  </si>
  <si>
    <t>DEFERRED INCOME TAXES (CREDIT): BALANCE SHEET, COR P. 2, SHEET 2</t>
  </si>
  <si>
    <t>TOTAL PROPRIETARY CAPITAL: BALANCE SHEET, COR P. 2, SHEET 2</t>
  </si>
  <si>
    <t>UNAMORTIZED DEBT EXPENSE: BALANCE SHEET, COR P. 2, SHEET 1</t>
  </si>
  <si>
    <t>DEFERRED INCOME TAXES (DEBIT): BALANCE SHEET, COR P. 2, SHEET 1</t>
  </si>
  <si>
    <t>UNAMORTIZED PREMIUM AND DISCOUNT (NET): BALANCE SHEET, COR P. 2, SHEET 2</t>
  </si>
  <si>
    <t>TOTAL OPERATING RESERVES: BALANCE SHEET, COR P. 2, SHEET 2</t>
  </si>
  <si>
    <t>CALCULATION OF BALANCE SHEET ITEMS EXCLUDED -</t>
  </si>
  <si>
    <t>TOTAL BALANCE SHEET COLUMN:</t>
  </si>
  <si>
    <t xml:space="preserve">    CURRENT ASSETS AND CURRENT LIABILITIES - PER WORKING CAPITAL ALLOWANCE WORKSHEET</t>
  </si>
  <si>
    <t xml:space="preserve">    ALL OTHER ITEMS - PER CURRENT MONTH AMOUNTS AND 13-MONTH AVERAGES ABOVE</t>
  </si>
  <si>
    <t>RATE BASE ITEMS COLUMN:</t>
  </si>
  <si>
    <t xml:space="preserve">    PER P. 4 &amp; 5 OF ROR REPORT (OR FROM SOURCE WORKSHEETS FOR THOSE PAGES)</t>
  </si>
  <si>
    <t xml:space="preserve">    NOTE THAT WORKING CAPITAL ITEMS ARE 13-MONTH AVERAGES FOR PERIOD END RATE BASE ALSO</t>
  </si>
  <si>
    <t>CAPITAL STRUCTURE ITEMS COLUMN:</t>
  </si>
  <si>
    <t xml:space="preserve">    PER PERIOD-END AND 13-MONTH AVERAGE CAPITAL STRUCTURE WORKSHEETS</t>
  </si>
  <si>
    <t xml:space="preserve">    (BREAKDOWN OF UNAMORTIZED DEBT EXPENSE AND DEFERRED INCOME TAXES-DEBIT</t>
  </si>
  <si>
    <t xml:space="preserve">    FROM ABOVE 13-MONTH AVERAGE COLUMNS)</t>
  </si>
  <si>
    <t>ITEMS TAKEN DIRECTLY FROM EQUITY:</t>
  </si>
  <si>
    <t xml:space="preserve">    (INCLUDE ALL EXCEPT APPLIANCE SALES &amp; SERVICE NET INVESTMENT WHICH</t>
  </si>
  <si>
    <t xml:space="preserve">    IS A RATE BASE ADJUSTMENT)</t>
  </si>
  <si>
    <t>FUNDS STATEMENT</t>
  </si>
  <si>
    <t>FILE NAME: RRCOMB2  RANGE: A361..0419</t>
  </si>
  <si>
    <t xml:space="preserve">     12 MONTH</t>
  </si>
  <si>
    <t>INTERNAL SOURCES:</t>
  </si>
  <si>
    <t xml:space="preserve"> NI BEFORE PREF. STK. DIV.</t>
  </si>
  <si>
    <t xml:space="preserve"> PREFERRED DIV.</t>
  </si>
  <si>
    <t xml:space="preserve"> COMMON DIVIDENDS</t>
  </si>
  <si>
    <t xml:space="preserve"> AFUDC(DEBT &amp; OTHER)</t>
  </si>
  <si>
    <t xml:space="preserve"> DEPR. &amp; AMORTIZATION (A)</t>
  </si>
  <si>
    <t xml:space="preserve"> DEFERRED TAXES-NET</t>
  </si>
  <si>
    <t xml:space="preserve"> ITC</t>
  </si>
  <si>
    <t xml:space="preserve"> OTHER</t>
  </si>
  <si>
    <t xml:space="preserve">     TOTAL INTERNAL SOURCES</t>
  </si>
  <si>
    <t>EXTERNAL SOURCES:</t>
  </si>
  <si>
    <t xml:space="preserve"> PREF. STOCK-RETIREMENTS</t>
  </si>
  <si>
    <t>FERC Sub 134-00-021</t>
  </si>
  <si>
    <t xml:space="preserve"> CAPITAL CONTRIBUTIONS</t>
  </si>
  <si>
    <t>Prior Month</t>
  </si>
  <si>
    <t>Current Month</t>
  </si>
  <si>
    <t xml:space="preserve"> LONG TERM DEBT</t>
  </si>
  <si>
    <t xml:space="preserve"> SHORT-TERM DEBT</t>
  </si>
  <si>
    <t xml:space="preserve">     TOTAL EXTERNAL SOURCES</t>
  </si>
  <si>
    <t>CONSTRUCTION EXPENDITURES</t>
  </si>
  <si>
    <t>(A)DEPR. &amp; AMORTIZATION</t>
  </si>
  <si>
    <t xml:space="preserve"> DEPR. ACCRUAL</t>
  </si>
  <si>
    <t xml:space="preserve"> AMORT. ELEC.</t>
  </si>
  <si>
    <t xml:space="preserve"> MISC. AMORTIZATION</t>
  </si>
  <si>
    <t xml:space="preserve"> AMORTIZATION OF DEBT DISC.</t>
  </si>
  <si>
    <t xml:space="preserve"> EXP &amp; PREM ON DEBT</t>
  </si>
  <si>
    <t>NI BEFORE PREF. STK. DIV.: INCOME STATEMENT, COR</t>
  </si>
  <si>
    <t>PREFERRED DIV.: INCOME STATEMENT, COR</t>
  </si>
  <si>
    <t>COMMON DIVIDENDS: ACCOUNT 238-100, ENTRY IN MONTH DECLARED</t>
  </si>
  <si>
    <t>AFUDC(DEBT &amp; OTHER): INCOME STATEMENT, COR (INTEREST CHARGED TO CONST. +</t>
  </si>
  <si>
    <t xml:space="preserve">    AFUDC BORROWED FUNDS)</t>
  </si>
  <si>
    <t xml:space="preserve">DEPR. &amp; AMORTIZATION: </t>
  </si>
  <si>
    <t xml:space="preserve">    DEPR. ACCRUAL - P. 17, COR</t>
  </si>
  <si>
    <t xml:space="preserve">    AMORT-ELEC - P. 1-B, COR</t>
  </si>
  <si>
    <t xml:space="preserve">    MISC AMORTIZATION-COR P. 14 SCH 36 MISC AMORTIZATION</t>
  </si>
  <si>
    <t xml:space="preserve">    AMORTIZATION OF DEBT DISC &amp; EXP PLUS AMORT OF PREMIUM ON DEBT PLUS AMORT. GAIN-REACQ. DEBT-COR INCOME STATEMENT</t>
  </si>
  <si>
    <t>DEFERRED TAXES-NET: PAGE 1-B, COR; INCOME ACCOUNT SECTION</t>
  </si>
  <si>
    <t>ITC: PAGE 1-B, COR</t>
  </si>
  <si>
    <t>OTHER: TOTAL INTERNAL SOURCES LESS ALL SOURCES ABOVE</t>
  </si>
  <si>
    <t>PLANT SCHERER INVESTMENT &amp; ACCUM DEPR. FROM SCHED 71-B AND 75-B</t>
  </si>
  <si>
    <t>Production</t>
  </si>
  <si>
    <t>BLACKWATER</t>
  </si>
  <si>
    <t>S24</t>
  </si>
  <si>
    <t>RMIT2</t>
  </si>
  <si>
    <t>=IF(P499=1,0,+W3)</t>
  </si>
  <si>
    <t>13MALM</t>
  </si>
  <si>
    <t>N294</t>
  </si>
  <si>
    <t>NETBONDS13MA</t>
  </si>
  <si>
    <t>C430</t>
  </si>
  <si>
    <t>Transmission</t>
  </si>
  <si>
    <t>AIRPRODUCTS</t>
  </si>
  <si>
    <t>S29</t>
  </si>
  <si>
    <t>RMIT3</t>
  </si>
  <si>
    <t>W4</t>
  </si>
  <si>
    <t>PELM</t>
  </si>
  <si>
    <t>N290</t>
  </si>
  <si>
    <t>PETAXADJ</t>
  </si>
  <si>
    <t>M1123</t>
  </si>
  <si>
    <t>Distribution</t>
  </si>
  <si>
    <t>NUKE SITE</t>
  </si>
  <si>
    <t>S30</t>
  </si>
  <si>
    <t>RMITTRAN</t>
  </si>
  <si>
    <t>W5</t>
  </si>
  <si>
    <t>NIBPSTK</t>
  </si>
  <si>
    <t>O367</t>
  </si>
  <si>
    <t>PE3ITC</t>
  </si>
  <si>
    <t>F322</t>
  </si>
  <si>
    <t>F321</t>
  </si>
  <si>
    <t>Customer Accounting</t>
  </si>
  <si>
    <t>DANIELBUY</t>
  </si>
  <si>
    <t>S31</t>
  </si>
  <si>
    <t>TCPECR</t>
  </si>
  <si>
    <t>G759</t>
  </si>
  <si>
    <t>PDIV</t>
  </si>
  <si>
    <t>O368</t>
  </si>
  <si>
    <t>PE4ITC</t>
  </si>
  <si>
    <t>I322</t>
  </si>
  <si>
    <t>Customer Assistance/Sales</t>
  </si>
  <si>
    <t>PEABODY</t>
  </si>
  <si>
    <t>S32</t>
  </si>
  <si>
    <t>TRANSDEFTX</t>
  </si>
  <si>
    <t>K324</t>
  </si>
  <si>
    <t>CDIV</t>
  </si>
  <si>
    <t>O369</t>
  </si>
  <si>
    <t>PECOMEQ</t>
  </si>
  <si>
    <t>H322</t>
  </si>
  <si>
    <t>A&amp;G Expense</t>
  </si>
  <si>
    <t>RATECASE</t>
  </si>
  <si>
    <t>S33*0</t>
  </si>
  <si>
    <t>TRANSRB</t>
  </si>
  <si>
    <t>H204</t>
  </si>
  <si>
    <t>AFUDCT</t>
  </si>
  <si>
    <t>O370</t>
  </si>
  <si>
    <t>PECSBONDS</t>
  </si>
  <si>
    <t>C620</t>
  </si>
  <si>
    <t>CORPINVEST</t>
  </si>
  <si>
    <t>S34</t>
  </si>
  <si>
    <t>TRANSWC</t>
  </si>
  <si>
    <t>N213</t>
  </si>
  <si>
    <t>DEP&amp;A</t>
  </si>
  <si>
    <t>O371</t>
  </si>
  <si>
    <t>PECSCRB</t>
  </si>
  <si>
    <t>C647</t>
  </si>
  <si>
    <t>O&amp;m Other</t>
  </si>
  <si>
    <t>CORPOFC3FL</t>
  </si>
  <si>
    <t>S35</t>
  </si>
  <si>
    <t>UNAMITC</t>
  </si>
  <si>
    <t>E327</t>
  </si>
  <si>
    <t>DEFTAXN</t>
  </si>
  <si>
    <t>O372</t>
  </si>
  <si>
    <t>PECSCRPS</t>
  </si>
  <si>
    <t>E647</t>
  </si>
  <si>
    <t>FUELOVER</t>
  </si>
  <si>
    <t>K36</t>
  </si>
  <si>
    <t>UPS1WC</t>
  </si>
  <si>
    <t>N210</t>
  </si>
  <si>
    <t>ITCF</t>
  </si>
  <si>
    <t>O373</t>
  </si>
  <si>
    <t>PECSCUSDEP</t>
  </si>
  <si>
    <t>F620</t>
  </si>
  <si>
    <t>Depreciation Expense</t>
  </si>
  <si>
    <t>MONSANTO</t>
  </si>
  <si>
    <t>S37</t>
  </si>
  <si>
    <t>UPS2WC</t>
  </si>
  <si>
    <t>N211</t>
  </si>
  <si>
    <t>OTHERFDS</t>
  </si>
  <si>
    <t>O374</t>
  </si>
  <si>
    <t>PECSPRSTK</t>
  </si>
  <si>
    <t>E620</t>
  </si>
  <si>
    <t>WORKSHEET-13 MO AVG RATEBASE</t>
  </si>
  <si>
    <t>PEABODYPRE</t>
  </si>
  <si>
    <t>S38</t>
  </si>
  <si>
    <t>UPS3WC</t>
  </si>
  <si>
    <t>N212</t>
  </si>
  <si>
    <t>CONST</t>
  </si>
  <si>
    <t>O387</t>
  </si>
  <si>
    <t>PECSSTD</t>
  </si>
  <si>
    <t>D620</t>
  </si>
  <si>
    <t>FPSC SCHED.2 PG 1 OF 3</t>
  </si>
  <si>
    <t>Amortization Expense</t>
  </si>
  <si>
    <t>PEJURWC</t>
  </si>
  <si>
    <t>S116</t>
  </si>
  <si>
    <t>UPSBONDS</t>
  </si>
  <si>
    <t>F512</t>
  </si>
  <si>
    <t>PECWIP</t>
  </si>
  <si>
    <t>E25</t>
  </si>
  <si>
    <t>PAGE 2 OF FILE NAME: RRCOMB3(RB)</t>
  </si>
  <si>
    <t>NONUTILADJ</t>
  </si>
  <si>
    <t>SUM(S15:S22)</t>
  </si>
  <si>
    <t>UPSBONDSCS</t>
  </si>
  <si>
    <t>B327</t>
  </si>
  <si>
    <t>12MPPCCREV</t>
  </si>
  <si>
    <t>G147</t>
  </si>
  <si>
    <t>PEDEFTX</t>
  </si>
  <si>
    <t>G322</t>
  </si>
  <si>
    <t>RANGE: A63..L116</t>
  </si>
  <si>
    <t>Amortization of ITC</t>
  </si>
  <si>
    <t>APPLWAR&amp;SCHPL</t>
  </si>
  <si>
    <t>Q22</t>
  </si>
  <si>
    <t>UPSCOMEQ</t>
  </si>
  <si>
    <t>D327</t>
  </si>
  <si>
    <t>12MPPCCO/U</t>
  </si>
  <si>
    <t>J147</t>
  </si>
  <si>
    <t>PEDEP</t>
  </si>
  <si>
    <t>E322</t>
  </si>
  <si>
    <t>LEASEHOLD</t>
  </si>
  <si>
    <t>S19</t>
  </si>
  <si>
    <t>UPSCOMSK</t>
  </si>
  <si>
    <t>H512</t>
  </si>
  <si>
    <t>12MPPCCTX</t>
  </si>
  <si>
    <t>I147</t>
  </si>
  <si>
    <t>PEDEPR</t>
  </si>
  <si>
    <t>D25</t>
  </si>
  <si>
    <t>Other Taxes</t>
  </si>
  <si>
    <t>NESB&amp;SODREV</t>
  </si>
  <si>
    <t>S20</t>
  </si>
  <si>
    <t>UPSCOST</t>
  </si>
  <si>
    <t>I748</t>
  </si>
  <si>
    <t>12MPPCCEXP</t>
  </si>
  <si>
    <t>H147</t>
  </si>
  <si>
    <t>PEEXDCCDEPR</t>
  </si>
  <si>
    <t>K25</t>
  </si>
  <si>
    <t>Real &amp; Personal Property Tax</t>
  </si>
  <si>
    <t>SALE:RC/CP</t>
  </si>
  <si>
    <t>S40</t>
  </si>
  <si>
    <t>UPSDEFTX</t>
  </si>
  <si>
    <t>F327</t>
  </si>
  <si>
    <t>PEEXDCCINV</t>
  </si>
  <si>
    <t>J25</t>
  </si>
  <si>
    <t xml:space="preserve">PROPERTY HELD </t>
  </si>
  <si>
    <t xml:space="preserve">    WORKING</t>
  </si>
  <si>
    <t xml:space="preserve">      TOTAL</t>
  </si>
  <si>
    <t>Payroll Tax</t>
  </si>
  <si>
    <t>-J470</t>
  </si>
  <si>
    <t>UPSDEFTX1</t>
  </si>
  <si>
    <t>H324</t>
  </si>
  <si>
    <t>13MAREGASSET</t>
  </si>
  <si>
    <t>L294</t>
  </si>
  <si>
    <t>PEEXINCWIP</t>
  </si>
  <si>
    <t>G25</t>
  </si>
  <si>
    <t xml:space="preserve">    CAPITAL</t>
  </si>
  <si>
    <t xml:space="preserve">    RATE BASE</t>
  </si>
  <si>
    <t>Revenue Tax</t>
  </si>
  <si>
    <t>RESERVEPREM</t>
  </si>
  <si>
    <t>M325+M351</t>
  </si>
  <si>
    <t>UPSDEFTX2</t>
  </si>
  <si>
    <t>I324</t>
  </si>
  <si>
    <t>13MAREGLIAB</t>
  </si>
  <si>
    <t>M294</t>
  </si>
  <si>
    <t>PENTPIS</t>
  </si>
  <si>
    <t>O25</t>
  </si>
  <si>
    <t>FUNDEDPROPINS</t>
  </si>
  <si>
    <t>N325</t>
  </si>
  <si>
    <t>UPSDEFTX3</t>
  </si>
  <si>
    <t>J324</t>
  </si>
  <si>
    <t>PEREGASSET</t>
  </si>
  <si>
    <t>L290</t>
  </si>
  <si>
    <t>PEEXLLCWIP</t>
  </si>
  <si>
    <t>L25</t>
  </si>
  <si>
    <t>PESCHBUYOUT</t>
  </si>
  <si>
    <t>K108</t>
  </si>
  <si>
    <t>UPSINTEREST</t>
  </si>
  <si>
    <t>W1</t>
  </si>
  <si>
    <t>PEREGLIAB</t>
  </si>
  <si>
    <t>M290</t>
  </si>
  <si>
    <t>PEEXLLDEPR</t>
  </si>
  <si>
    <t>N25</t>
  </si>
  <si>
    <t>LESS ADJUSTMENTS:</t>
  </si>
  <si>
    <t>SCHDEFDR/CR</t>
  </si>
  <si>
    <t>S51</t>
  </si>
  <si>
    <t>UPSINVT1</t>
  </si>
  <si>
    <t>P106</t>
  </si>
  <si>
    <t>PEEXLLPIS</t>
  </si>
  <si>
    <t>M25</t>
  </si>
  <si>
    <t>SCHDEFDEBIT</t>
  </si>
  <si>
    <t>K51</t>
  </si>
  <si>
    <t>UPSINVT2</t>
  </si>
  <si>
    <t>Q106</t>
  </si>
  <si>
    <t>PEEXSSDEPR</t>
  </si>
  <si>
    <t>I25</t>
  </si>
  <si>
    <t>SCHDEFCREDIT</t>
  </si>
  <si>
    <t>Q51</t>
  </si>
  <si>
    <t>UPSINVT3</t>
  </si>
  <si>
    <t>I166</t>
  </si>
  <si>
    <t>PEEXSSINV</t>
  </si>
  <si>
    <t>H25</t>
  </si>
  <si>
    <t>APPLIANCE SALES AND SERVICE</t>
  </si>
  <si>
    <t>RETLOANS</t>
  </si>
  <si>
    <t>J386</t>
  </si>
  <si>
    <t>UPSMOCOST</t>
  </si>
  <si>
    <t>I745</t>
  </si>
  <si>
    <t>PEINTSYNC</t>
  </si>
  <si>
    <t>H829</t>
  </si>
  <si>
    <t>INT BEARING CWIP (NET OF UPS)</t>
  </si>
  <si>
    <t>=-G29-E56</t>
  </si>
  <si>
    <t>GSUSETTLEMENT</t>
  </si>
  <si>
    <t>G43</t>
  </si>
  <si>
    <t>UPSPRESTK</t>
  </si>
  <si>
    <t>C327</t>
  </si>
  <si>
    <t>PEJURBCR</t>
  </si>
  <si>
    <t>C688</t>
  </si>
  <si>
    <t>13MAMONSANTO</t>
  </si>
  <si>
    <t>L411</t>
  </si>
  <si>
    <t>UPSPRFSK</t>
  </si>
  <si>
    <t>G512</t>
  </si>
  <si>
    <t>PEJURPSCR</t>
  </si>
  <si>
    <t>E688</t>
  </si>
  <si>
    <t>UPSUNITC1</t>
  </si>
  <si>
    <t>N324</t>
  </si>
  <si>
    <t>PENETBOND</t>
  </si>
  <si>
    <t>B322</t>
  </si>
  <si>
    <t>NONUTILITY TALLAHASSEE</t>
  </si>
  <si>
    <t>SFAS133 Disalw Cu Assets</t>
  </si>
  <si>
    <t>L149</t>
  </si>
  <si>
    <t>UPSUNITC2</t>
  </si>
  <si>
    <t>O324</t>
  </si>
  <si>
    <t>PEPHFU</t>
  </si>
  <si>
    <t>C25</t>
  </si>
  <si>
    <t>ACCUM DEPR-CORPORATE INVESTIGATION</t>
  </si>
  <si>
    <t>SFAS133 Disalw Cu Liab</t>
  </si>
  <si>
    <t>I175</t>
  </si>
  <si>
    <t>UPSUNITC3</t>
  </si>
  <si>
    <t>P324</t>
  </si>
  <si>
    <t>PEPIS</t>
  </si>
  <si>
    <t>B25</t>
  </si>
  <si>
    <t>BUSINESS DEVELOPMENT CENTER</t>
  </si>
  <si>
    <t>O325</t>
  </si>
  <si>
    <t>PEPREFR</t>
  </si>
  <si>
    <t>D322</t>
  </si>
  <si>
    <t>K22</t>
  </si>
  <si>
    <t>13PBCB</t>
  </si>
  <si>
    <t>F748</t>
  </si>
  <si>
    <t>PESTD</t>
  </si>
  <si>
    <t>C322</t>
  </si>
  <si>
    <t>PEPBCB</t>
  </si>
  <si>
    <t>F745</t>
  </si>
  <si>
    <t>PEUPSFUEL</t>
  </si>
  <si>
    <t>E862</t>
  </si>
  <si>
    <t>THIRD FLOOR-CORPORATE OFFICE</t>
  </si>
  <si>
    <t>FN:C:\DATA\LOTUS\SEPUPS92\RRCOMB3</t>
  </si>
  <si>
    <t>13MAB</t>
  </si>
  <si>
    <t>B748</t>
  </si>
  <si>
    <t>PRECSTRATE</t>
  </si>
  <si>
    <t>E389</t>
  </si>
  <si>
    <t>CURRENT ASSETS</t>
  </si>
  <si>
    <t>Compare the 1990 and 1992 strip files in order to determine</t>
  </si>
  <si>
    <t>PEFUEL</t>
  </si>
  <si>
    <t>PRESTK13MA</t>
  </si>
  <si>
    <t>E430</t>
  </si>
  <si>
    <t>CURRENT LIABILITIES</t>
  </si>
  <si>
    <t>the modifications necessary to current files to properly link</t>
  </si>
  <si>
    <t>PEMS</t>
  </si>
  <si>
    <t>E229</t>
  </si>
  <si>
    <t>RBADJ</t>
  </si>
  <si>
    <t>K76..K92</t>
  </si>
  <si>
    <t>K75..K91</t>
  </si>
  <si>
    <t>OTHER INVESTMENTS</t>
  </si>
  <si>
    <t>the UPS data from file RRCOMB1 with the other files.</t>
  </si>
  <si>
    <t>PEP</t>
  </si>
  <si>
    <t>F229</t>
  </si>
  <si>
    <t>E931</t>
  </si>
  <si>
    <t>DEFERRED DEBITS</t>
  </si>
  <si>
    <t>13MUPST</t>
  </si>
  <si>
    <t>K597</t>
  </si>
  <si>
    <t>UPSADA</t>
  </si>
  <si>
    <t>D73</t>
  </si>
  <si>
    <t>DEFERRED CREDITS</t>
  </si>
  <si>
    <t>STRIP RANGE: IB1..IS148</t>
  </si>
  <si>
    <t>LOBBYING</t>
  </si>
  <si>
    <t>UPSPLIS</t>
  </si>
  <si>
    <t>C73</t>
  </si>
  <si>
    <t>NON CURRENT LIABILITIES</t>
  </si>
  <si>
    <t>12MNUTAL</t>
  </si>
  <si>
    <t>PENTAD</t>
  </si>
  <si>
    <t>O52</t>
  </si>
  <si>
    <t>COAL INVENTORY ADJUSTMENT</t>
  </si>
  <si>
    <t>12MNVHO&amp;M</t>
  </si>
  <si>
    <t>13NUTAD</t>
  </si>
  <si>
    <t>O56</t>
  </si>
  <si>
    <t>HEAVY OIL INVENTORY ADJUSTMENT</t>
  </si>
  <si>
    <t>12MPERKS</t>
  </si>
  <si>
    <t>BASE RATE REV</t>
  </si>
  <si>
    <t>I1030</t>
  </si>
  <si>
    <t>LIGHT OIL INVENTORY ADJUSTMENT</t>
  </si>
  <si>
    <t>HOILINVADJ</t>
  </si>
  <si>
    <t>E445</t>
  </si>
  <si>
    <t>OTHER OPER REV</t>
  </si>
  <si>
    <t>SUM(I1031:I1040)</t>
  </si>
  <si>
    <t>LOILINVADJ</t>
  </si>
  <si>
    <t>K445</t>
  </si>
  <si>
    <t>PRODUCTION</t>
  </si>
  <si>
    <t>I1046</t>
  </si>
  <si>
    <t>TOTAL ADJUSTED</t>
  </si>
  <si>
    <t>12MMGT</t>
  </si>
  <si>
    <t>I1047</t>
  </si>
  <si>
    <t>JURIS. FACTOR</t>
  </si>
  <si>
    <t>O/T_LIAISON</t>
  </si>
  <si>
    <t>O54</t>
  </si>
  <si>
    <t>DISTRIBUTION</t>
  </si>
  <si>
    <t>I1048</t>
  </si>
  <si>
    <t>A&amp;G_LIAISON</t>
  </si>
  <si>
    <t>N54</t>
  </si>
  <si>
    <t>CUSTOMER ACCT. (NET OF GSU)</t>
  </si>
  <si>
    <t>I1049</t>
  </si>
  <si>
    <t>JURIS.- FPSC ADJUSTED</t>
  </si>
  <si>
    <t>13MSCH/UPS PIS</t>
  </si>
  <si>
    <t>B148+C169+B207</t>
  </si>
  <si>
    <t>GSU UNCOLLECTIBLE</t>
  </si>
  <si>
    <t>I1050</t>
  </si>
  <si>
    <t>PESCH/UPS PIS</t>
  </si>
  <si>
    <t>B145+C166+B204</t>
  </si>
  <si>
    <t>CUSTOMER INFO</t>
  </si>
  <si>
    <t>I1051</t>
  </si>
  <si>
    <t>SYSTEM PER BOOKS:</t>
  </si>
  <si>
    <t>CHECK</t>
  </si>
  <si>
    <t>13MSCH/UPSAD</t>
  </si>
  <si>
    <t>D148+C207</t>
  </si>
  <si>
    <t>SALES EXPENSE</t>
  </si>
  <si>
    <t>I1052</t>
  </si>
  <si>
    <t>ALL BUT WORKING CAPITAL: PAGE 1 RRRB (AUTOMATIC)</t>
  </si>
  <si>
    <t>PESCH/UPSAD</t>
  </si>
  <si>
    <t>D145+C204</t>
  </si>
  <si>
    <t>A &amp; G EXPENSE</t>
  </si>
  <si>
    <t>I1053</t>
  </si>
  <si>
    <t>WORKING CAPITAL: FILE NAMES RRCACL: CA-CL+COMMON DIVIDENDS DECLARED+CUSTOMER DEPOSITS+LT+ST DEBT+TOTAL ON RRWCADDL</t>
  </si>
  <si>
    <t>13MSCH/UPSFUEL</t>
  </si>
  <si>
    <t>E148</t>
  </si>
  <si>
    <t>I1057</t>
  </si>
  <si>
    <t>UPS:</t>
  </si>
  <si>
    <t>PESCH/UPSFUEL</t>
  </si>
  <si>
    <t>E145</t>
  </si>
  <si>
    <t>I1058</t>
  </si>
  <si>
    <t>-----</t>
  </si>
  <si>
    <t>13MSCH/UPSMS</t>
  </si>
  <si>
    <t>F148+E207</t>
  </si>
  <si>
    <t>AMORTIZATION OF ITC</t>
  </si>
  <si>
    <t>I1059</t>
  </si>
  <si>
    <t>ALL BUT WORKING CAPITAL: FROM RRUPSRB</t>
  </si>
  <si>
    <t>PESCH/UPSMS</t>
  </si>
  <si>
    <t>F145+E204</t>
  </si>
  <si>
    <t>OTHER TAXES</t>
  </si>
  <si>
    <t>I1060+I1061</t>
  </si>
  <si>
    <t>+I1060+I1061</t>
  </si>
  <si>
    <t>WORKING CAPITAL| RRUPSRB TOTAL UPS: FUEL STOCK  + OTHER M&amp;S + PREPYTS + OTHER WC</t>
  </si>
  <si>
    <t>From RRCOMB2</t>
  </si>
  <si>
    <t>13MSCH/UPSPRE</t>
  </si>
  <si>
    <t>G148</t>
  </si>
  <si>
    <t>I1062</t>
  </si>
  <si>
    <t>PESCH/UPSPRE</t>
  </si>
  <si>
    <t>INTEREST SYNCH</t>
  </si>
  <si>
    <t>I1063</t>
  </si>
  <si>
    <t>------------</t>
  </si>
  <si>
    <t>13MSCH/UPSWC</t>
  </si>
  <si>
    <t>H169+G207</t>
  </si>
  <si>
    <t>NET BONDS</t>
  </si>
  <si>
    <t>C446</t>
  </si>
  <si>
    <t>ALL BUT WORKING CAPITAL: AUTOMATIC FROM PAGE 1 RRRB</t>
  </si>
  <si>
    <t>PESCH/UPSWC</t>
  </si>
  <si>
    <t>H166+G204</t>
  </si>
  <si>
    <t>D446</t>
  </si>
  <si>
    <t>E446</t>
  </si>
  <si>
    <t>CURRENT ASSETS &amp; CURRENT LIABILITIES: FROM RRCACL  LIABILITIES=A/P MERCHANDISE ONLY</t>
  </si>
  <si>
    <t>F446</t>
  </si>
  <si>
    <t>COAL INVENTORY: FROM RRCOALAD</t>
  </si>
  <si>
    <t>UPSOTHWC</t>
  </si>
  <si>
    <t>G232</t>
  </si>
  <si>
    <t>3% ITC</t>
  </si>
  <si>
    <t>G446</t>
  </si>
  <si>
    <t>DEFERRED TAXES</t>
  </si>
  <si>
    <t>H446</t>
  </si>
  <si>
    <t>JURIS. FPSC ADJUSTED:</t>
  </si>
  <si>
    <t>J446</t>
  </si>
  <si>
    <t>I446</t>
  </si>
  <si>
    <t>--------------------</t>
  </si>
  <si>
    <t>4% &amp; 10% ITC</t>
  </si>
  <si>
    <t>K446</t>
  </si>
  <si>
    <t>EVERYTHING AUTOMATIC EXCEPT WORKING CAPITAL</t>
  </si>
  <si>
    <t>13MASCHINV</t>
  </si>
  <si>
    <t>M56</t>
  </si>
  <si>
    <t>WORKING CAPITAL: TOTAL JURISDICTIONAL FROM PG. 2 RRCACL PLUS TOTAL RETAIL FROM RRWCADDL</t>
  </si>
  <si>
    <t>13MASCH_A/D</t>
  </si>
  <si>
    <t>N56</t>
  </si>
  <si>
    <t>13MBUSDVINV</t>
  </si>
  <si>
    <t>H56</t>
  </si>
  <si>
    <t>13MBUSDEVA/D</t>
  </si>
  <si>
    <t>I56</t>
  </si>
  <si>
    <t>FPSC SCHEDULE 2</t>
  </si>
  <si>
    <t>13MNVYHSINV</t>
  </si>
  <si>
    <t>K56</t>
  </si>
  <si>
    <t>13MUPSRB</t>
  </si>
  <si>
    <t>H232</t>
  </si>
  <si>
    <t>13MNVYHSA/D</t>
  </si>
  <si>
    <t>L56</t>
  </si>
  <si>
    <t>13 MONTH AVG. RATE BASE</t>
  </si>
  <si>
    <t>PEUPSRB</t>
  </si>
  <si>
    <t>H229</t>
  </si>
  <si>
    <t>13PHFUSODFM</t>
  </si>
  <si>
    <t>J56</t>
  </si>
  <si>
    <t>PAGE 3 OF FILE NAME: RRCOMB3 (RB)</t>
  </si>
  <si>
    <t>13MATOTSCHRPROD</t>
  </si>
  <si>
    <t>B148</t>
  </si>
  <si>
    <t>PESCHINV</t>
  </si>
  <si>
    <t>M52</t>
  </si>
  <si>
    <t>RANGE: A121..K174</t>
  </si>
  <si>
    <t>Backup for the Jurisdictional Amount of Other Operating Revenues</t>
  </si>
  <si>
    <t>G-7</t>
  </si>
  <si>
    <t>Adjusted Other Operating Revenues</t>
  </si>
  <si>
    <t>Less: Wholesale Component of Other Op Revenues</t>
  </si>
  <si>
    <t>Subtotal</t>
  </si>
  <si>
    <t>Multiplied by the Jurisdictional Factor</t>
  </si>
  <si>
    <t>Per Rich's G-10, Interim Jurisdictional Factors, Page 1</t>
  </si>
  <si>
    <t>Jurisdictional Amount of Other Op Revenues</t>
  </si>
  <si>
    <t>Backup for the Jurisdictional Amount of Sales of Electricity</t>
  </si>
  <si>
    <t>Adjusted Sales for Resale</t>
  </si>
  <si>
    <t>Less: Wholesale Component</t>
  </si>
  <si>
    <t>Jurisdictional Amount of Sales for Resale</t>
  </si>
  <si>
    <t>FERC 440-448</t>
  </si>
  <si>
    <t>Total Jurisdictional Sales to Ultimate Consumers</t>
  </si>
  <si>
    <t>Total Jurisdictional Sales of Electricity</t>
  </si>
  <si>
    <t>To G-7</t>
  </si>
  <si>
    <t>G-10</t>
  </si>
  <si>
    <t>G-11</t>
  </si>
  <si>
    <t>FERCS</t>
  </si>
  <si>
    <t xml:space="preserve">          ADJUSTMENTS</t>
  </si>
  <si>
    <t xml:space="preserve">  AVERAGE</t>
  </si>
  <si>
    <t>Schedule of Rate Base Adjusts</t>
  </si>
  <si>
    <t>C75</t>
  </si>
  <si>
    <t>ERC ACCUM DEP</t>
  </si>
  <si>
    <t>D75</t>
  </si>
  <si>
    <t>(1)  "ECCR Revenue Calculation" worksheet  (Gross before revenue taxes)</t>
  </si>
  <si>
    <t>PE SCHERER CWIP</t>
  </si>
  <si>
    <t>E52</t>
  </si>
  <si>
    <t>(2)  "Conservation Expenses Worksheet" - Subtotal including Overheads</t>
  </si>
  <si>
    <t>PE ERC INVESTMENT</t>
  </si>
  <si>
    <t>C195</t>
  </si>
  <si>
    <t>(3)  "ECCR Revenue Calculation" worksheet - Revenue Taxes</t>
  </si>
  <si>
    <t>PE ERC ACCUM DEP</t>
  </si>
  <si>
    <t>D195</t>
  </si>
  <si>
    <t>(4)  Consolidated Register - Account é_x0001_6b456-948,éÇ current month  (opposite sign)</t>
  </si>
  <si>
    <t>ECCR INVESTMENT</t>
  </si>
  <si>
    <t>C78</t>
  </si>
  <si>
    <t>(5)  Schedule éÇCCA-1éÇ; "PPCC - Calculation of True-up": PPCC Revenues (Line 8)</t>
  </si>
  <si>
    <t>ECCR ACCUM DEP</t>
  </si>
  <si>
    <t>D78</t>
  </si>
  <si>
    <t>(6)  Schedule CCA-1; "PPCC - Calculation of True-up": Total Capacity Payments/(Receipts) (Line 3)</t>
  </si>
  <si>
    <t>PE ECCR INVESTMENT</t>
  </si>
  <si>
    <t>C198</t>
  </si>
  <si>
    <t>(7)  Schedule CCA-1; "PPCC - Calculation of True-up": Revenue Taxes (Line 9)</t>
  </si>
  <si>
    <t>PE ECCR ACCUM DEP</t>
  </si>
  <si>
    <t>D198</t>
  </si>
  <si>
    <t>(8)  Consolidated Register - Account é_x0001_6b456-949,éÇ current month  (opposite sign)</t>
  </si>
  <si>
    <t>ECR WKING CAP</t>
  </si>
  <si>
    <t>J75</t>
  </si>
  <si>
    <t>FUEL  (ALL WORKSHEETS FROM MATERIALS ACCOUNTING)</t>
  </si>
  <si>
    <t>RANGE: A180..H227</t>
  </si>
  <si>
    <t>------------------------------------------------</t>
  </si>
  <si>
    <t>---------------------</t>
  </si>
  <si>
    <t>1)  JAN-JUNE 1984: "CALCULATION OF TRUE-UP &amp; INTEREST PROVISION" WORKSHEET, LINE D.1</t>
  </si>
  <si>
    <t xml:space="preserve">    REMAINING MONTHS: "FCA REVENUE CALCULATION" WORKSHEET, COL D + COL H</t>
  </si>
  <si>
    <t>3)  CURRENT MONTH AMOUNT IN ACCOUNT 456-947 (PER P. 3-A, COR) PLUS</t>
  </si>
  <si>
    <t xml:space="preserve">    ACCOUNT 557-101 (PER J.V. 2013 FROM RON WALKER) PLUS 419-047</t>
  </si>
  <si>
    <t xml:space="preserve">    THESE 2 AMOUNTS CAN ALSO BE FOUND IN BUDGET DEVIATION REPORT</t>
  </si>
  <si>
    <t>5)  "CALCULATION OF TRUE-UP &amp; INTEREST PROVISION" WORKSHEET, LINE D.6</t>
  </si>
  <si>
    <t>7A) FERC ACCOUNT 990 557-010 AND 431-998</t>
  </si>
  <si>
    <t>10) JAN-JUNE 1984: NONE CONSIDERED (IN ERROR)</t>
  </si>
  <si>
    <t xml:space="preserve">    JULY: CURRENT MONTH AMOUNT INCLUDES ADJUSTMENT OF $1,126,024.50 </t>
  </si>
  <si>
    <t xml:space="preserve">    CURRENT MONTH AMOUNT FOR JULY AND REMAINING MONTHS: "FCA REVENUES</t>
  </si>
  <si>
    <t xml:space="preserve">      CALCULATION" WORKSHEET, COL. F</t>
  </si>
  <si>
    <t>11) PRIOR TO DEC. 86 THE AMT. REPRESENTED THE INTEREST TRUE UP COLLECTED WHICH WAS BOOKED TO ACCOUNT 431 (OTHER INTEREST EXPENSE) PER</t>
  </si>
  <si>
    <t xml:space="preserve">    "FUEL CLAUSE ADJ O/U RECOVERY" WP INTEREST COL, AMORT PRIOR BALANCE LINE.</t>
  </si>
  <si>
    <t xml:space="preserve">    BEGINNING IN DEC. 86 THE AMT. REPRESENTS THE CM INTEREST PROVISION WHICH IS BOOKED TO THE OVER/UNDER RECOVERY OF FUEL PER "CALCULATION </t>
  </si>
  <si>
    <t xml:space="preserve">    OF TRUE-UP AND INTEREST PROVISION" LINE D8 OR E10.  THE DEC. 86 AMT. ALSO INCLUDES $548,771 WHICH WAS TRANSFERRED FROM ACCOUNT 431</t>
  </si>
  <si>
    <t xml:space="preserve">    TO ACCOUNT 990-557-010. THE AMOUNT REMAINS A RECONCILING ITEM SINCE THE CM INTEREST PROVISION IS INCLUDED IN THE OVER/UNDER RECOVERY</t>
  </si>
  <si>
    <t xml:space="preserve">    OF FUEL BUT IS NOT INCLUDED IN FUEL REVENUES.</t>
  </si>
  <si>
    <t>12) PER "CALCULATION OF TRUE-UP AND INTEREST PROVISION" WP LINE D.2.b</t>
  </si>
  <si>
    <t>13) PER "UNRECOVERED FUEL COSTS WHOLESALE CUSTOMERS" WP-SUM OF 2 COLUMNS UNDER</t>
  </si>
  <si>
    <t xml:space="preserve">    FUEL COSTS RECOVERED HEADING-BASE RATES AND FCA</t>
  </si>
  <si>
    <t>16) PER "UNRECOVERED FUEL COSTS WHOLESALE CUSTOMERS" WP - COLUMN C</t>
  </si>
  <si>
    <t xml:space="preserve">      " FUEL COSTS "</t>
  </si>
  <si>
    <t>19) FUEL COSTS PER "UNRECOVERED FUEL COSTS WHOLESALE CUSTOMERS" WP LESS COL 16</t>
  </si>
  <si>
    <t>20) PER "UNRECOVERED FUEL COSTS WHOLESALE CUSTOMERS" WP CUR MONTH UNRECOV FUEL COSTS COL</t>
  </si>
  <si>
    <t>21) PER FINANCIAL MODEL UPDATE SHEET - UPS FUEL (BASE &amp; ALT. SUPPL.) PLUS SCHEDULE R FUEL</t>
  </si>
  <si>
    <t>22) PER "INTERCHANGE ANALYSIS" WP-TOTAL PURCHASES LESS TOTAL SALES</t>
  </si>
  <si>
    <t>23) PER FINANCIAL MODEL UPDATE SHEETS - ECONOMY SALES FUEL (E), UPS BASE &amp; ALT. SUPPL. FUEL, SCHEDULE E FUEL,</t>
  </si>
  <si>
    <t xml:space="preserve">        SCHEDULE S SALES, SCHEDULE R SALES AND ECONOMY SALES PROFIT (INT. ANALYSIS)</t>
  </si>
  <si>
    <t>25) PER P. 6 OF COR-SUM OF STEAM AND OTHER</t>
  </si>
  <si>
    <t>34) PER FINANCIAL MODEL UPDATE SHEETS - ECONOMY SALES FUEL (E), SCHEDULE E FUEL, AND SCHEDULE S SALES</t>
  </si>
  <si>
    <t>35) PER "INTERCHANGE ANALYSIS" WP - ECONOMY SALES PROFIT 80%</t>
  </si>
  <si>
    <t>36) PER "CALCULATION OF TRUE-UP AND INTEREST PROVISION" WP LINE SCHEDULE A-2, LINE A.3a OR SCHEDULE A-1, LINE 3b</t>
  </si>
  <si>
    <t>37) PER "CALCULATION OF TRUE-UP AND INTEREST PROVISION" WP LINE D.5</t>
  </si>
  <si>
    <t>TO CHECK :COLUMNS 21+34+35=23</t>
  </si>
  <si>
    <t>CONSERVATION (ALL WORKSHEETS FROM STATISTICS)</t>
  </si>
  <si>
    <t>---------------------------------------------</t>
  </si>
  <si>
    <t>1) "ENERGY CONSERVATION ADJUSTMENT" MONTHLY WORKSHEETS</t>
  </si>
  <si>
    <t xml:space="preserve">   AS SHOWN ON WORKSHEET "CONSERVATION ADJUSTMENT REVENUES"</t>
  </si>
  <si>
    <t>2) SCHEDULE C-3 "ENERGY CONSERVATION ADJUSTMENT", LINE 6</t>
  </si>
  <si>
    <t>3) JAN-SEPT 1984: REVENUE TAXES INCORRECTLY OMITTED</t>
  </si>
  <si>
    <t xml:space="preserve">   OCTOBER: CURRENT MONTH AMOUNT INCLUDES ADJUSTMENT OF $17,906.44</t>
  </si>
  <si>
    <t xml:space="preserve">   CURRENT MONTH AMOUNT FOR OCTOBER AND REMAINING MONTHS: "ENERGY</t>
  </si>
  <si>
    <t xml:space="preserve">      CONSERVATION ADJUSTMENT" MONTHLY WORKSHEETS</t>
  </si>
  <si>
    <t>4) "CURRENT MONTH &amp; YEAR-TO-DATE BALANCES OF ENERGY CONSERVATION</t>
  </si>
  <si>
    <t xml:space="preserve">   ACCOUNTS" WORKSHEET</t>
  </si>
  <si>
    <t>FILE NAME: RRCOMB2 (BALSH)  RANGE: A241..M299</t>
  </si>
  <si>
    <t>STOCKPILE ADJUSTMENTS</t>
  </si>
  <si>
    <t>FUEL</t>
  </si>
  <si>
    <t>NET OF FUEL</t>
  </si>
  <si>
    <t>OF ITC</t>
  </si>
  <si>
    <t>SUPP. MARKUP</t>
  </si>
  <si>
    <t>CARRYING COSTS</t>
  </si>
  <si>
    <t>COSTS</t>
  </si>
  <si>
    <t>DEDUCTIONS</t>
  </si>
  <si>
    <t>COMPOSITE</t>
  </si>
  <si>
    <t>FUEL ONLY</t>
  </si>
  <si>
    <t>MARCH '92</t>
  </si>
  <si>
    <t>APRIL '92</t>
  </si>
  <si>
    <t>MAY '92</t>
  </si>
  <si>
    <t>JUNE '92</t>
  </si>
  <si>
    <t>JULY '92</t>
  </si>
  <si>
    <t>AUGUST '92</t>
  </si>
  <si>
    <t>SEPTEMBER '92</t>
  </si>
  <si>
    <t>OCTOBER '92</t>
  </si>
  <si>
    <t>NOVEMBER '92</t>
  </si>
  <si>
    <t>DECEMBER '92</t>
  </si>
  <si>
    <t>JANUARY '93</t>
  </si>
  <si>
    <t>FEBRUARY '93</t>
  </si>
  <si>
    <t>12 MTD</t>
  </si>
  <si>
    <t>SUPPLEMENTAL</t>
  </si>
  <si>
    <t>RECONCILING</t>
  </si>
  <si>
    <t>12MTD VARIABLE O&amp;M</t>
  </si>
  <si>
    <t>UPS DESLAGGING</t>
  </si>
  <si>
    <t>&amp; ALTERNATE</t>
  </si>
  <si>
    <t>Job Creation</t>
  </si>
  <si>
    <t>CAPACITY</t>
  </si>
  <si>
    <t>UPS REVENUES</t>
  </si>
  <si>
    <t>FUEL IMBALANCE</t>
  </si>
  <si>
    <t>MARKUP</t>
  </si>
  <si>
    <t>ENERGY</t>
  </si>
  <si>
    <t>Tax Deduction</t>
  </si>
  <si>
    <r>
      <t>SOURCE</t>
    </r>
    <r>
      <rPr>
        <sz val="10"/>
        <rFont val="Arial"/>
        <family val="2"/>
      </rPr>
      <t>: ACCOUNTING - UPS INCOME STATEMENT</t>
    </r>
  </si>
  <si>
    <t>EQUALIZATION</t>
  </si>
  <si>
    <t>AND EXPENSES</t>
  </si>
  <si>
    <t>UPS STATION SERVICE VARIABLE O&amp;M</t>
  </si>
  <si>
    <r>
      <t>UPS REVENUES</t>
    </r>
    <r>
      <rPr>
        <sz val="10"/>
        <rFont val="Arial"/>
        <family val="2"/>
      </rPr>
      <t xml:space="preserve"> - UPS INCOME STATEMENT</t>
    </r>
  </si>
  <si>
    <t>ADJUSTMENTS ASSOCIATED WITH VARIABLE O&amp;M</t>
  </si>
  <si>
    <r>
      <t>UPS FUEL</t>
    </r>
    <r>
      <rPr>
        <sz val="10"/>
        <rFont val="Arial"/>
        <family val="2"/>
      </rPr>
      <t>: RRFUELCO PG. 1, COLUMN 21</t>
    </r>
  </si>
  <si>
    <r>
      <t>PRODUCTION O&amp;M:</t>
    </r>
    <r>
      <rPr>
        <sz val="10"/>
        <rFont val="Arial"/>
        <family val="2"/>
      </rPr>
      <t xml:space="preserve"> UPS INCOME STATEMENT</t>
    </r>
  </si>
  <si>
    <r>
      <t>TRANSMISSION O&amp;M:</t>
    </r>
    <r>
      <rPr>
        <sz val="10"/>
        <rFont val="Arial"/>
        <family val="2"/>
      </rPr>
      <t xml:space="preserve"> UPS INCOME STATEMENT</t>
    </r>
  </si>
  <si>
    <t>UPS CAPACITY</t>
  </si>
  <si>
    <r>
      <t>A&amp;G EXPENSES O&amp;M</t>
    </r>
    <r>
      <rPr>
        <sz val="10"/>
        <rFont val="Arial"/>
        <family val="2"/>
      </rPr>
      <t>: UPS INCOME STATEMENT</t>
    </r>
  </si>
  <si>
    <r>
      <t>DEPRECIATION:</t>
    </r>
    <r>
      <rPr>
        <sz val="10"/>
        <rFont val="Arial"/>
        <family val="2"/>
      </rPr>
      <t xml:space="preserve"> UPS INCOME STATEMENT</t>
    </r>
  </si>
  <si>
    <r>
      <t>AMORTIZATION OF ITC:</t>
    </r>
    <r>
      <rPr>
        <sz val="10"/>
        <rFont val="Arial"/>
        <family val="2"/>
      </rPr>
      <t xml:space="preserve"> UPS INCOME STATEMENT</t>
    </r>
  </si>
  <si>
    <r>
      <t>OTHER TAXES:</t>
    </r>
    <r>
      <rPr>
        <sz val="10"/>
        <rFont val="Arial"/>
        <family val="2"/>
      </rPr>
      <t xml:space="preserve"> UPS INCOME STATEMENT</t>
    </r>
  </si>
  <si>
    <r>
      <t>INCOME TAXES:</t>
    </r>
    <r>
      <rPr>
        <sz val="10"/>
        <rFont val="Arial"/>
        <family val="2"/>
      </rPr>
      <t xml:space="preserve"> UPS INCOME STATEMENT</t>
    </r>
  </si>
  <si>
    <r>
      <t>UPS VARIABLE O&amp;M (NET OF ALT. &amp; SUPP. MARKUP):</t>
    </r>
    <r>
      <rPr>
        <sz val="10"/>
        <rFont val="Arial"/>
        <family val="2"/>
      </rPr>
      <t xml:space="preserve"> UPSSALES.xls</t>
    </r>
  </si>
  <si>
    <t>_x0001__x001E_b_x0001__x001E__SOURCE:_x0001__x001F_ RRCOMB4, COL (13) - "BUDGET COMPARISON OF NET INCOME"</t>
  </si>
  <si>
    <r>
      <t>SUPPLEMENTAL &amp; ALTERNATE MARKUP:</t>
    </r>
    <r>
      <rPr>
        <sz val="10"/>
        <rFont val="Arial"/>
        <family val="2"/>
      </rPr>
      <t xml:space="preserve"> ALTMARK SCHEDULE (PRELIMINARY ONLY)</t>
    </r>
  </si>
  <si>
    <t xml:space="preserve">to Net Operating Income for the Interim Test Year.  List </t>
  </si>
  <si>
    <t>EXPLANATION:  Provide the calculation of jurisdictional net operating</t>
  </si>
  <si>
    <t>2002-2003 Rate Case Expenses</t>
  </si>
  <si>
    <t>FPSC Assessment Fee on Fuel Revenues</t>
  </si>
  <si>
    <t xml:space="preserve">    Revenues</t>
  </si>
  <si>
    <t xml:space="preserve">FPSC Assesement Fee on PPCC </t>
  </si>
  <si>
    <t>To remove the FPSC Assessment fee on capacity revenues.</t>
  </si>
  <si>
    <t>`</t>
  </si>
  <si>
    <r>
      <t xml:space="preserve">   (b)        CONSISTS OF TWO ADJ'S: BASE RATE INCREASE OF</t>
    </r>
    <r>
      <rPr>
        <sz val="10"/>
        <rFont val="Courier"/>
        <family val="3"/>
      </rPr>
      <t xml:space="preserve"> </t>
    </r>
    <r>
      <rPr>
        <b/>
        <sz val="10"/>
        <rFont val="Courier"/>
        <family val="3"/>
      </rPr>
      <t>0</t>
    </r>
    <r>
      <rPr>
        <sz val="10"/>
        <rFont val="Arial"/>
        <family val="2"/>
      </rPr>
      <t xml:space="preserve"> AND WEATHER NORMALIZATION OF </t>
    </r>
    <r>
      <rPr>
        <b/>
        <sz val="10"/>
        <rFont val="Courier"/>
        <family val="3"/>
      </rPr>
      <t>(0)</t>
    </r>
  </si>
  <si>
    <t>Rrcomb2 I-456</t>
  </si>
  <si>
    <t xml:space="preserve">  PER ORDER PSC-01-1159-PAA-EI</t>
  </si>
</sst>
</file>

<file path=xl/styles.xml><?xml version="1.0" encoding="utf-8"?>
<styleSheet xmlns="http://schemas.openxmlformats.org/spreadsheetml/2006/main">
  <numFmts count="3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#,##0.0000_);\(#,##0.0000\)"/>
    <numFmt numFmtId="166" formatCode="0.000%"/>
    <numFmt numFmtId="167" formatCode="#,##0.000_);\(#,##0.000\)"/>
    <numFmt numFmtId="168" formatCode="#,##0.00000_);\(#,##0.00000\)"/>
    <numFmt numFmtId="169" formatCode="#,##0.000000_);\(#,##0.000000\)"/>
    <numFmt numFmtId="170" formatCode="_(* #,##0.0_);_(* \(#,##0.0\);_(* &quot;-&quot;??_);_(@_)"/>
    <numFmt numFmtId="171" formatCode="_(* #,##0_);_(* \(#,##0\);_(* &quot;-&quot;??_);_(@_)"/>
    <numFmt numFmtId="172" formatCode="0.00_)"/>
    <numFmt numFmtId="173" formatCode="0.00000000_)"/>
    <numFmt numFmtId="174" formatCode="0.000000_)"/>
    <numFmt numFmtId="175" formatCode="0.0000000_)"/>
    <numFmt numFmtId="176" formatCode="0.00000_)"/>
    <numFmt numFmtId="177" formatCode=";;;"/>
    <numFmt numFmtId="178" formatCode="0_)"/>
    <numFmt numFmtId="179" formatCode="dd\-mmm\-yy_)"/>
    <numFmt numFmtId="180" formatCode="#,##0.00000000_);\(#,##0.00000000\)"/>
    <numFmt numFmtId="181" formatCode="0.0000_)"/>
    <numFmt numFmtId="182" formatCode="_(* #,##0.000_);_(* \(#,##0.000\);_(* &quot;-&quot;??_);_(@_)"/>
    <numFmt numFmtId="183" formatCode="0.000000%"/>
    <numFmt numFmtId="184" formatCode="#,##0.0000000_);\(#,##0.0000000\)"/>
    <numFmt numFmtId="185" formatCode="0.0000000_);\(0.0000000\)"/>
    <numFmt numFmtId="186" formatCode="_(* #,##0.0000000_);_(* \(#,##0.0000000\);_(* &quot;-&quot;??_);_(@_)"/>
    <numFmt numFmtId="187" formatCode="0.0000000"/>
    <numFmt numFmtId="188" formatCode="#,##0.00;[Red]\(#,##0.00\)"/>
    <numFmt numFmtId="189" formatCode="#,##0.0_)\x;\(#,##0.0\)\x"/>
    <numFmt numFmtId="190" formatCode="#,##0.0_)_x;\(#,##0.0\)_x"/>
    <numFmt numFmtId="191" formatCode="0.00000000%"/>
    <numFmt numFmtId="192" formatCode="0.00000%"/>
    <numFmt numFmtId="193" formatCode="0.0000_);\(0.0000\)"/>
    <numFmt numFmtId="194" formatCode="0.000000000000_)"/>
    <numFmt numFmtId="195" formatCode="0.0000%"/>
    <numFmt numFmtId="196" formatCode="[$-409]mmmm\-yy;@"/>
  </numFmts>
  <fonts count="6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12"/>
      <name val="Arial M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sz val="18"/>
      <name val="Times New Roman"/>
      <family val="1"/>
    </font>
    <font>
      <sz val="12"/>
      <color indexed="9"/>
      <name val="Arial MT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3"/>
      <name val="Arial"/>
      <family val="2"/>
    </font>
    <font>
      <u/>
      <sz val="13"/>
      <name val="Arial"/>
      <family val="2"/>
    </font>
    <font>
      <sz val="11"/>
      <name val="Arial"/>
      <family val="2"/>
    </font>
    <font>
      <sz val="13"/>
      <name val="Arial MT"/>
      <family val="2"/>
    </font>
    <font>
      <b/>
      <u/>
      <sz val="13"/>
      <name val="Arial MT"/>
    </font>
    <font>
      <sz val="14"/>
      <name val="Arial"/>
      <family val="2"/>
    </font>
    <font>
      <sz val="14"/>
      <name val="Arial MT"/>
    </font>
    <font>
      <u/>
      <sz val="14"/>
      <name val="Arial"/>
      <family val="2"/>
    </font>
    <font>
      <sz val="13"/>
      <name val="Arial MT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3"/>
      <name val="Arial MT"/>
    </font>
    <font>
      <sz val="10"/>
      <name val="Arial MT"/>
    </font>
    <font>
      <b/>
      <sz val="10"/>
      <name val="Courier"/>
      <family val="3"/>
    </font>
    <font>
      <u/>
      <sz val="10"/>
      <name val="Courier"/>
      <family val="3"/>
    </font>
    <font>
      <b/>
      <u/>
      <sz val="10"/>
      <name val="Courier"/>
      <family val="3"/>
    </font>
    <font>
      <sz val="8"/>
      <name val="Arial"/>
      <family val="2"/>
    </font>
    <font>
      <u/>
      <sz val="12"/>
      <name val="Arial"/>
      <family val="2"/>
    </font>
    <font>
      <sz val="13.5"/>
      <name val="Arial MT"/>
      <family val="2"/>
    </font>
    <font>
      <sz val="13.5"/>
      <name val="Arial"/>
      <family val="2"/>
    </font>
    <font>
      <u/>
      <sz val="13.5"/>
      <name val="Arial"/>
      <family val="2"/>
    </font>
    <font>
      <b/>
      <u/>
      <sz val="10"/>
      <name val="Arial MT"/>
    </font>
    <font>
      <b/>
      <sz val="10"/>
      <name val="Arial MT"/>
    </font>
    <font>
      <sz val="10"/>
      <name val="Arial"/>
      <family val="2"/>
    </font>
    <font>
      <sz val="9"/>
      <name val="Courier"/>
      <family val="3"/>
    </font>
    <font>
      <sz val="10"/>
      <name val="Calibri"/>
      <family val="2"/>
    </font>
    <font>
      <b/>
      <sz val="13"/>
      <name val="Arial MT"/>
    </font>
    <font>
      <b/>
      <i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154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6" fillId="0" borderId="0"/>
    <xf numFmtId="0" fontId="8" fillId="0" borderId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0"/>
    <xf numFmtId="0" fontId="14" fillId="21" borderId="2" applyNumberFormat="0" applyAlignment="0" applyProtection="0"/>
    <xf numFmtId="0" fontId="14" fillId="21" borderId="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8" fillId="0" borderId="0"/>
    <xf numFmtId="0" fontId="9" fillId="0" borderId="0"/>
    <xf numFmtId="0" fontId="23" fillId="0" borderId="0"/>
    <xf numFmtId="0" fontId="9" fillId="0" borderId="0"/>
    <xf numFmtId="37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37" fontId="8" fillId="0" borderId="0"/>
    <xf numFmtId="0" fontId="9" fillId="0" borderId="0"/>
    <xf numFmtId="0" fontId="3" fillId="0" borderId="0"/>
    <xf numFmtId="0" fontId="24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188" fontId="6" fillId="24" borderId="0">
      <alignment horizontal="right"/>
    </xf>
    <xf numFmtId="0" fontId="26" fillId="25" borderId="9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horizontal="left" wrapText="1"/>
    </xf>
    <xf numFmtId="0" fontId="2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525">
    <xf numFmtId="0" fontId="0" fillId="0" borderId="0" xfId="0"/>
    <xf numFmtId="37" fontId="32" fillId="0" borderId="13" xfId="0" applyNumberFormat="1" applyFont="1" applyFill="1" applyBorder="1" applyProtection="1"/>
    <xf numFmtId="37" fontId="32" fillId="0" borderId="0" xfId="0" applyNumberFormat="1" applyFont="1" applyFill="1" applyProtection="1"/>
    <xf numFmtId="37" fontId="33" fillId="0" borderId="0" xfId="0" applyNumberFormat="1" applyFont="1" applyFill="1" applyProtection="1"/>
    <xf numFmtId="0" fontId="35" fillId="0" borderId="14" xfId="0" applyFont="1" applyFill="1" applyBorder="1" applyProtection="1"/>
    <xf numFmtId="0" fontId="35" fillId="0" borderId="0" xfId="0" applyFont="1" applyFill="1" applyProtection="1"/>
    <xf numFmtId="0" fontId="35" fillId="0" borderId="15" xfId="0" applyFont="1" applyFill="1" applyBorder="1" applyProtection="1"/>
    <xf numFmtId="0" fontId="35" fillId="0" borderId="0" xfId="0" applyFont="1" applyFill="1" applyAlignment="1" applyProtection="1">
      <alignment horizontal="centerContinuous"/>
    </xf>
    <xf numFmtId="0" fontId="35" fillId="0" borderId="0" xfId="0" applyFont="1" applyFill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/>
    </xf>
    <xf numFmtId="175" fontId="35" fillId="0" borderId="0" xfId="0" applyNumberFormat="1" applyFont="1" applyFill="1" applyProtection="1"/>
    <xf numFmtId="0" fontId="36" fillId="0" borderId="0" xfId="0" applyFont="1" applyFill="1" applyAlignment="1" applyProtection="1">
      <alignment horizontal="left"/>
    </xf>
    <xf numFmtId="171" fontId="35" fillId="0" borderId="0" xfId="87" applyNumberFormat="1" applyFont="1" applyFill="1" applyProtection="1"/>
    <xf numFmtId="171" fontId="35" fillId="0" borderId="15" xfId="87" applyNumberFormat="1" applyFont="1" applyFill="1" applyBorder="1" applyProtection="1"/>
    <xf numFmtId="171" fontId="35" fillId="0" borderId="14" xfId="87" applyNumberFormat="1" applyFont="1" applyFill="1" applyBorder="1" applyProtection="1"/>
    <xf numFmtId="171" fontId="35" fillId="0" borderId="13" xfId="87" applyNumberFormat="1" applyFont="1" applyFill="1" applyBorder="1" applyProtection="1"/>
    <xf numFmtId="171" fontId="35" fillId="0" borderId="0" xfId="87" applyNumberFormat="1" applyFont="1" applyFill="1" applyBorder="1" applyProtection="1"/>
    <xf numFmtId="171" fontId="35" fillId="0" borderId="16" xfId="87" applyNumberFormat="1" applyFont="1" applyFill="1" applyBorder="1" applyProtection="1"/>
    <xf numFmtId="171" fontId="35" fillId="0" borderId="0" xfId="0" applyNumberFormat="1" applyFont="1" applyFill="1" applyProtection="1"/>
    <xf numFmtId="171" fontId="35" fillId="0" borderId="13" xfId="0" applyNumberFormat="1" applyFont="1" applyFill="1" applyBorder="1" applyProtection="1"/>
    <xf numFmtId="0" fontId="38" fillId="0" borderId="14" xfId="0" applyFont="1" applyFill="1" applyBorder="1" applyProtection="1"/>
    <xf numFmtId="0" fontId="38" fillId="0" borderId="13" xfId="0" applyFont="1" applyFill="1" applyBorder="1" applyProtection="1"/>
    <xf numFmtId="0" fontId="38" fillId="0" borderId="13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38" fillId="0" borderId="0" xfId="0" applyFont="1" applyFill="1" applyProtection="1"/>
    <xf numFmtId="37" fontId="37" fillId="0" borderId="0" xfId="0" applyNumberFormat="1" applyFont="1" applyFill="1" applyProtection="1"/>
    <xf numFmtId="0" fontId="38" fillId="0" borderId="0" xfId="0" applyFont="1" applyFill="1" applyBorder="1" applyProtection="1"/>
    <xf numFmtId="37" fontId="39" fillId="0" borderId="0" xfId="0" applyNumberFormat="1" applyFont="1" applyFill="1" applyProtection="1"/>
    <xf numFmtId="0" fontId="38" fillId="0" borderId="13" xfId="0" applyFont="1" applyFill="1" applyBorder="1" applyAlignment="1" applyProtection="1">
      <alignment horizontal="center"/>
    </xf>
    <xf numFmtId="37" fontId="37" fillId="0" borderId="0" xfId="0" applyNumberFormat="1" applyFont="1" applyFill="1" applyBorder="1" applyProtection="1"/>
    <xf numFmtId="0" fontId="40" fillId="0" borderId="15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/>
    <xf numFmtId="0" fontId="40" fillId="0" borderId="0" xfId="0" quotePrefix="1" applyFont="1" applyFill="1" applyAlignment="1" applyProtection="1">
      <alignment horizontal="center"/>
    </xf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center"/>
    </xf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Alignment="1" applyProtection="1">
      <alignment horizontal="centerContinuous"/>
    </xf>
    <xf numFmtId="0" fontId="40" fillId="0" borderId="0" xfId="0" applyFont="1" applyFill="1" applyAlignment="1" applyProtection="1">
      <alignment horizontal="center"/>
    </xf>
    <xf numFmtId="0" fontId="40" fillId="0" borderId="14" xfId="0" applyFont="1" applyFill="1" applyBorder="1" applyAlignment="1" applyProtection="1">
      <alignment horizontal="center"/>
    </xf>
    <xf numFmtId="0" fontId="40" fillId="0" borderId="14" xfId="0" applyFont="1" applyFill="1" applyBorder="1" applyProtection="1"/>
    <xf numFmtId="0" fontId="40" fillId="0" borderId="14" xfId="0" applyFont="1" applyFill="1" applyBorder="1" applyAlignment="1" applyProtection="1">
      <alignment horizontal="left"/>
    </xf>
    <xf numFmtId="0" fontId="40" fillId="0" borderId="13" xfId="0" applyFont="1" applyFill="1" applyBorder="1"/>
    <xf numFmtId="0" fontId="40" fillId="0" borderId="14" xfId="0" applyFont="1" applyFill="1" applyBorder="1" applyAlignment="1" applyProtection="1">
      <alignment horizontal="centerContinuous"/>
    </xf>
    <xf numFmtId="0" fontId="40" fillId="0" borderId="13" xfId="0" applyFont="1" applyFill="1" applyBorder="1" applyAlignment="1" applyProtection="1">
      <alignment horizontal="center"/>
    </xf>
    <xf numFmtId="0" fontId="36" fillId="0" borderId="0" xfId="0" applyFont="1" applyFill="1"/>
    <xf numFmtId="175" fontId="40" fillId="0" borderId="0" xfId="0" applyNumberFormat="1" applyFont="1" applyFill="1" applyProtection="1"/>
    <xf numFmtId="171" fontId="40" fillId="0" borderId="0" xfId="87" applyNumberFormat="1" applyFont="1" applyFill="1" applyBorder="1" applyProtection="1"/>
    <xf numFmtId="0" fontId="40" fillId="0" borderId="0" xfId="0" applyFont="1" applyFill="1" applyBorder="1"/>
    <xf numFmtId="0" fontId="34" fillId="0" borderId="13" xfId="0" applyFont="1" applyFill="1" applyBorder="1"/>
    <xf numFmtId="0" fontId="44" fillId="0" borderId="0" xfId="0" applyFont="1" applyFill="1"/>
    <xf numFmtId="22" fontId="40" fillId="0" borderId="0" xfId="0" applyNumberFormat="1" applyFont="1" applyFill="1" applyProtection="1"/>
    <xf numFmtId="171" fontId="34" fillId="0" borderId="0" xfId="87" applyNumberFormat="1" applyFont="1" applyFill="1"/>
    <xf numFmtId="171" fontId="1" fillId="0" borderId="0" xfId="0" applyNumberFormat="1" applyFont="1" applyFill="1"/>
    <xf numFmtId="171" fontId="1" fillId="0" borderId="13" xfId="87" applyNumberFormat="1" applyFont="1" applyFill="1" applyBorder="1"/>
    <xf numFmtId="22" fontId="40" fillId="0" borderId="0" xfId="0" applyNumberFormat="1" applyFont="1" applyFill="1" applyBorder="1" applyProtection="1"/>
    <xf numFmtId="0" fontId="45" fillId="0" borderId="0" xfId="0" quotePrefix="1" applyFont="1" applyFill="1" applyProtection="1"/>
    <xf numFmtId="0" fontId="45" fillId="0" borderId="0" xfId="0" applyFont="1" applyFill="1" applyProtection="1"/>
    <xf numFmtId="0" fontId="40" fillId="0" borderId="13" xfId="0" applyFont="1" applyFill="1" applyBorder="1" applyProtection="1"/>
    <xf numFmtId="171" fontId="45" fillId="0" borderId="0" xfId="87" applyNumberFormat="1" applyFont="1" applyFill="1" applyProtection="1"/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centerContinuous"/>
    </xf>
    <xf numFmtId="22" fontId="40" fillId="0" borderId="13" xfId="0" applyNumberFormat="1" applyFont="1" applyFill="1" applyBorder="1" applyProtection="1"/>
    <xf numFmtId="0" fontId="40" fillId="0" borderId="0" xfId="0" applyFont="1" applyFill="1" applyAlignment="1">
      <alignment horizontal="center"/>
    </xf>
    <xf numFmtId="0" fontId="40" fillId="0" borderId="13" xfId="0" applyFont="1" applyFill="1" applyBorder="1" applyAlignment="1" applyProtection="1"/>
    <xf numFmtId="171" fontId="40" fillId="0" borderId="13" xfId="87" applyNumberFormat="1" applyFont="1" applyFill="1" applyBorder="1" applyProtection="1"/>
    <xf numFmtId="175" fontId="40" fillId="0" borderId="13" xfId="0" applyNumberFormat="1" applyFont="1" applyFill="1" applyBorder="1" applyProtection="1"/>
    <xf numFmtId="171" fontId="40" fillId="0" borderId="18" xfId="87" applyNumberFormat="1" applyFont="1" applyFill="1" applyBorder="1" applyProtection="1"/>
    <xf numFmtId="37" fontId="40" fillId="0" borderId="0" xfId="0" applyNumberFormat="1" applyFont="1" applyFill="1"/>
    <xf numFmtId="37" fontId="13" fillId="0" borderId="0" xfId="116" applyFont="1" applyFill="1" applyProtection="1">
      <protection locked="0"/>
    </xf>
    <xf numFmtId="37" fontId="13" fillId="0" borderId="0" xfId="116" applyFont="1" applyFill="1" applyProtection="1"/>
    <xf numFmtId="37" fontId="13" fillId="0" borderId="0" xfId="116" applyFont="1" applyFill="1" applyAlignment="1" applyProtection="1">
      <alignment horizontal="left"/>
    </xf>
    <xf numFmtId="37" fontId="13" fillId="0" borderId="0" xfId="116" applyFont="1" applyFill="1"/>
    <xf numFmtId="174" fontId="13" fillId="0" borderId="0" xfId="116" applyNumberFormat="1" applyFont="1" applyFill="1" applyProtection="1"/>
    <xf numFmtId="37" fontId="13" fillId="0" borderId="0" xfId="116" applyNumberFormat="1" applyFont="1" applyFill="1" applyProtection="1">
      <protection locked="0"/>
    </xf>
    <xf numFmtId="37" fontId="13" fillId="0" borderId="0" xfId="116" applyFont="1" applyFill="1" applyBorder="1" applyProtection="1"/>
    <xf numFmtId="37" fontId="13" fillId="0" borderId="0" xfId="116" applyFont="1" applyFill="1" applyBorder="1" applyProtection="1">
      <protection locked="0"/>
    </xf>
    <xf numFmtId="37" fontId="13" fillId="0" borderId="0" xfId="116" applyFont="1" applyFill="1" applyBorder="1"/>
    <xf numFmtId="195" fontId="13" fillId="0" borderId="0" xfId="135" applyNumberFormat="1" applyFont="1" applyFill="1" applyProtection="1">
      <protection locked="0"/>
    </xf>
    <xf numFmtId="174" fontId="13" fillId="0" borderId="0" xfId="116" applyNumberFormat="1" applyFont="1" applyFill="1" applyProtection="1">
      <protection locked="0"/>
    </xf>
    <xf numFmtId="37" fontId="13" fillId="0" borderId="0" xfId="116" applyFont="1" applyFill="1" applyAlignment="1" applyProtection="1">
      <protection locked="0"/>
    </xf>
    <xf numFmtId="37" fontId="40" fillId="0" borderId="0" xfId="0" applyNumberFormat="1" applyFont="1" applyFill="1" applyBorder="1"/>
    <xf numFmtId="0" fontId="35" fillId="0" borderId="0" xfId="0" quotePrefix="1" applyFont="1" applyFill="1" applyAlignment="1" applyProtection="1">
      <alignment horizontal="center"/>
    </xf>
    <xf numFmtId="37" fontId="13" fillId="0" borderId="0" xfId="0" applyNumberFormat="1" applyFont="1" applyFill="1" applyProtection="1">
      <protection locked="0"/>
    </xf>
    <xf numFmtId="37" fontId="13" fillId="0" borderId="0" xfId="0" applyNumberFormat="1" applyFont="1" applyFill="1"/>
    <xf numFmtId="37" fontId="13" fillId="0" borderId="0" xfId="0" applyNumberFormat="1" applyFont="1" applyFill="1" applyProtection="1"/>
    <xf numFmtId="37" fontId="13" fillId="0" borderId="0" xfId="0" applyNumberFormat="1" applyFont="1" applyFill="1" applyBorder="1" applyProtection="1"/>
    <xf numFmtId="37" fontId="46" fillId="0" borderId="0" xfId="0" applyNumberFormat="1" applyFont="1" applyFill="1" applyAlignment="1">
      <alignment horizontal="center"/>
    </xf>
    <xf numFmtId="175" fontId="13" fillId="0" borderId="0" xfId="0" applyNumberFormat="1" applyFont="1" applyFill="1" applyProtection="1"/>
    <xf numFmtId="184" fontId="13" fillId="0" borderId="0" xfId="0" applyNumberFormat="1" applyFont="1" applyFill="1"/>
    <xf numFmtId="5" fontId="13" fillId="0" borderId="0" xfId="0" applyNumberFormat="1" applyFont="1" applyFill="1" applyAlignment="1">
      <alignment horizontal="center"/>
    </xf>
    <xf numFmtId="5" fontId="13" fillId="0" borderId="0" xfId="0" applyNumberFormat="1" applyFont="1" applyFill="1" applyAlignment="1" applyProtection="1">
      <alignment horizontal="center"/>
    </xf>
    <xf numFmtId="37" fontId="46" fillId="0" borderId="0" xfId="0" applyNumberFormat="1" applyFont="1" applyFill="1"/>
    <xf numFmtId="172" fontId="13" fillId="0" borderId="0" xfId="0" applyNumberFormat="1" applyFont="1" applyFill="1" applyProtection="1"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35" fillId="0" borderId="0" xfId="0" applyFont="1" applyFill="1" applyBorder="1" applyProtection="1"/>
    <xf numFmtId="171" fontId="35" fillId="0" borderId="18" xfId="87" applyNumberFormat="1" applyFont="1" applyFill="1" applyBorder="1" applyProtection="1"/>
    <xf numFmtId="0" fontId="23" fillId="0" borderId="13" xfId="0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/>
    <xf numFmtId="0" fontId="23" fillId="0" borderId="13" xfId="0" applyFont="1" applyFill="1" applyBorder="1" applyProtection="1"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37" fontId="23" fillId="0" borderId="0" xfId="0" applyNumberFormat="1" applyFont="1" applyFill="1" applyProtection="1"/>
    <xf numFmtId="37" fontId="50" fillId="0" borderId="0" xfId="0" applyNumberFormat="1" applyFont="1" applyFill="1" applyProtection="1"/>
    <xf numFmtId="37" fontId="23" fillId="0" borderId="0" xfId="0" applyNumberFormat="1" applyFont="1" applyFill="1" applyBorder="1" applyProtection="1"/>
    <xf numFmtId="0" fontId="23" fillId="0" borderId="13" xfId="0" quotePrefix="1" applyFont="1" applyFill="1" applyBorder="1" applyAlignment="1" applyProtection="1">
      <alignment horizontal="center"/>
      <protection locked="0"/>
    </xf>
    <xf numFmtId="0" fontId="51" fillId="0" borderId="13" xfId="0" applyFont="1" applyFill="1" applyBorder="1" applyProtection="1"/>
    <xf numFmtId="0" fontId="52" fillId="0" borderId="13" xfId="0" applyFont="1" applyFill="1" applyBorder="1"/>
    <xf numFmtId="0" fontId="51" fillId="0" borderId="14" xfId="0" applyFont="1" applyFill="1" applyBorder="1" applyProtection="1"/>
    <xf numFmtId="0" fontId="52" fillId="0" borderId="0" xfId="0" applyFont="1" applyFill="1"/>
    <xf numFmtId="0" fontId="51" fillId="0" borderId="0" xfId="0" applyFont="1" applyFill="1" applyProtection="1"/>
    <xf numFmtId="37" fontId="53" fillId="0" borderId="0" xfId="0" applyNumberFormat="1" applyFont="1" applyFill="1" applyProtection="1"/>
    <xf numFmtId="187" fontId="40" fillId="0" borderId="0" xfId="0" applyNumberFormat="1" applyFont="1" applyFill="1"/>
    <xf numFmtId="171" fontId="4" fillId="0" borderId="0" xfId="0" applyNumberFormat="1" applyFont="1" applyFill="1" applyBorder="1"/>
    <xf numFmtId="0" fontId="40" fillId="0" borderId="0" xfId="0" quotePrefix="1" applyFont="1" applyFill="1"/>
    <xf numFmtId="178" fontId="40" fillId="0" borderId="0" xfId="0" applyNumberFormat="1" applyFont="1" applyFill="1" applyProtection="1"/>
    <xf numFmtId="178" fontId="40" fillId="0" borderId="0" xfId="0" applyNumberFormat="1" applyFont="1" applyFill="1"/>
    <xf numFmtId="175" fontId="40" fillId="0" borderId="0" xfId="0" applyNumberFormat="1" applyFont="1" applyFill="1" applyBorder="1" applyProtection="1"/>
    <xf numFmtId="0" fontId="45" fillId="0" borderId="28" xfId="0" applyFont="1" applyFill="1" applyBorder="1" applyAlignment="1" applyProtection="1">
      <alignment horizontal="center"/>
    </xf>
    <xf numFmtId="0" fontId="54" fillId="0" borderId="0" xfId="0" applyFont="1" applyFill="1" applyAlignment="1" applyProtection="1">
      <alignment horizontal="left"/>
    </xf>
    <xf numFmtId="0" fontId="45" fillId="0" borderId="0" xfId="0" applyFont="1" applyFill="1" applyAlignment="1" applyProtection="1">
      <alignment horizontal="centerContinuous"/>
    </xf>
    <xf numFmtId="10" fontId="45" fillId="0" borderId="0" xfId="134" applyNumberFormat="1" applyFont="1" applyFill="1" applyProtection="1"/>
    <xf numFmtId="10" fontId="45" fillId="0" borderId="0" xfId="0" applyNumberFormat="1" applyFont="1" applyFill="1" applyProtection="1"/>
    <xf numFmtId="171" fontId="45" fillId="0" borderId="13" xfId="87" applyNumberFormat="1" applyFont="1" applyFill="1" applyBorder="1" applyProtection="1"/>
    <xf numFmtId="171" fontId="45" fillId="0" borderId="14" xfId="87" applyNumberFormat="1" applyFont="1" applyFill="1" applyBorder="1" applyProtection="1"/>
    <xf numFmtId="171" fontId="45" fillId="0" borderId="16" xfId="87" applyNumberFormat="1" applyFont="1" applyFill="1" applyBorder="1" applyProtection="1"/>
    <xf numFmtId="171" fontId="45" fillId="0" borderId="0" xfId="87" applyNumberFormat="1" applyFont="1" applyFill="1" applyBorder="1" applyProtection="1"/>
    <xf numFmtId="0" fontId="40" fillId="0" borderId="0" xfId="123" applyFont="1" applyFill="1" applyAlignment="1">
      <alignment horizontal="center"/>
    </xf>
    <xf numFmtId="171" fontId="40" fillId="0" borderId="0" xfId="87" applyNumberFormat="1" applyFont="1" applyFill="1" applyProtection="1"/>
    <xf numFmtId="171" fontId="35" fillId="26" borderId="0" xfId="87" applyNumberFormat="1" applyFont="1" applyFill="1" applyProtection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2" fillId="0" borderId="0" xfId="0" applyFont="1" applyFill="1"/>
    <xf numFmtId="0" fontId="54" fillId="0" borderId="0" xfId="0" applyFont="1" applyFill="1" applyAlignment="1" applyProtection="1">
      <alignment horizontal="centerContinuous"/>
    </xf>
    <xf numFmtId="0" fontId="55" fillId="0" borderId="0" xfId="0" applyFont="1" applyFill="1" applyAlignment="1" applyProtection="1">
      <alignment horizontal="centerContinuous"/>
    </xf>
    <xf numFmtId="0" fontId="55" fillId="0" borderId="0" xfId="0" applyFont="1" applyFill="1" applyAlignment="1" applyProtection="1">
      <alignment horizontal="center" wrapText="1"/>
    </xf>
    <xf numFmtId="0" fontId="7" fillId="0" borderId="0" xfId="0" applyFont="1" applyFill="1" applyAlignment="1">
      <alignment horizontal="center"/>
    </xf>
    <xf numFmtId="37" fontId="7" fillId="0" borderId="0" xfId="0" applyNumberFormat="1" applyFont="1" applyFill="1"/>
    <xf numFmtId="37" fontId="7" fillId="0" borderId="0" xfId="0" quotePrefix="1" applyNumberFormat="1" applyFont="1" applyFill="1" applyAlignment="1">
      <alignment horizontal="center"/>
    </xf>
    <xf numFmtId="37" fontId="46" fillId="0" borderId="0" xfId="0" quotePrefix="1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left"/>
    </xf>
    <xf numFmtId="37" fontId="5" fillId="0" borderId="0" xfId="0" applyNumberFormat="1" applyFont="1" applyFill="1" applyAlignment="1">
      <alignment horizontal="center"/>
    </xf>
    <xf numFmtId="37" fontId="41" fillId="0" borderId="0" xfId="0" applyNumberFormat="1" applyFont="1" applyFill="1" applyAlignment="1">
      <alignment horizontal="center"/>
    </xf>
    <xf numFmtId="37" fontId="7" fillId="0" borderId="9" xfId="0" applyNumberFormat="1" applyFont="1" applyFill="1" applyBorder="1"/>
    <xf numFmtId="37" fontId="13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/>
    <xf numFmtId="37" fontId="13" fillId="0" borderId="0" xfId="0" applyNumberFormat="1" applyFont="1" applyFill="1" applyAlignment="1" applyProtection="1">
      <alignment horizontal="left"/>
    </xf>
    <xf numFmtId="37" fontId="46" fillId="0" borderId="0" xfId="0" quotePrefix="1" applyNumberFormat="1" applyFont="1" applyFill="1" applyAlignment="1" applyProtection="1">
      <alignment horizontal="left"/>
    </xf>
    <xf numFmtId="1" fontId="13" fillId="0" borderId="0" xfId="0" quotePrefix="1" applyNumberFormat="1" applyFont="1" applyFill="1" applyAlignment="1" applyProtection="1">
      <alignment horizontal="left"/>
    </xf>
    <xf numFmtId="37" fontId="13" fillId="0" borderId="0" xfId="0" applyNumberFormat="1" applyFont="1" applyFill="1" applyAlignment="1">
      <alignment horizontal="right"/>
    </xf>
    <xf numFmtId="37" fontId="13" fillId="0" borderId="0" xfId="0" applyNumberFormat="1" applyFont="1" applyFill="1" applyBorder="1"/>
    <xf numFmtId="1" fontId="13" fillId="0" borderId="0" xfId="0" applyNumberFormat="1" applyFont="1" applyFill="1" applyAlignment="1" applyProtection="1">
      <alignment horizontal="left"/>
    </xf>
    <xf numFmtId="37" fontId="46" fillId="0" borderId="0" xfId="0" applyNumberFormat="1" applyFont="1" applyFill="1" applyAlignment="1" applyProtection="1">
      <alignment horizontal="left"/>
    </xf>
    <xf numFmtId="1" fontId="46" fillId="0" borderId="0" xfId="0" quotePrefix="1" applyNumberFormat="1" applyFont="1" applyFill="1" applyAlignment="1" applyProtection="1">
      <alignment horizontal="left"/>
    </xf>
    <xf numFmtId="37" fontId="46" fillId="0" borderId="13" xfId="0" applyNumberFormat="1" applyFont="1" applyFill="1" applyBorder="1" applyProtection="1"/>
    <xf numFmtId="37" fontId="46" fillId="0" borderId="13" xfId="0" applyNumberFormat="1" applyFont="1" applyFill="1" applyBorder="1"/>
    <xf numFmtId="37" fontId="13" fillId="0" borderId="13" xfId="0" quotePrefix="1" applyNumberFormat="1" applyFont="1" applyFill="1" applyBorder="1" applyAlignment="1">
      <alignment horizontal="center"/>
    </xf>
    <xf numFmtId="37" fontId="13" fillId="0" borderId="18" xfId="0" applyNumberFormat="1" applyFont="1" applyFill="1" applyBorder="1" applyProtection="1"/>
    <xf numFmtId="37" fontId="46" fillId="0" borderId="0" xfId="0" quotePrefix="1" applyNumberFormat="1" applyFont="1" applyFill="1" applyAlignment="1">
      <alignment horizontal="left"/>
    </xf>
    <xf numFmtId="37" fontId="48" fillId="0" borderId="0" xfId="0" applyNumberFormat="1" applyFont="1" applyFill="1"/>
    <xf numFmtId="37" fontId="47" fillId="0" borderId="0" xfId="0" quotePrefix="1" applyNumberFormat="1" applyFont="1" applyFill="1" applyAlignment="1">
      <alignment horizontal="center"/>
    </xf>
    <xf numFmtId="37" fontId="47" fillId="0" borderId="0" xfId="0" quotePrefix="1" applyNumberFormat="1" applyFont="1" applyFill="1" applyBorder="1" applyAlignment="1">
      <alignment horizontal="center"/>
    </xf>
    <xf numFmtId="37" fontId="47" fillId="0" borderId="0" xfId="0" applyNumberFormat="1" applyFont="1" applyFill="1" applyBorder="1" applyAlignment="1">
      <alignment horizontal="center"/>
    </xf>
    <xf numFmtId="37" fontId="47" fillId="0" borderId="0" xfId="0" applyNumberFormat="1" applyFont="1" applyFill="1" applyAlignment="1">
      <alignment horizontal="center"/>
    </xf>
    <xf numFmtId="37" fontId="48" fillId="0" borderId="0" xfId="0" quotePrefix="1" applyNumberFormat="1" applyFont="1" applyFill="1" applyAlignment="1">
      <alignment horizontal="left"/>
    </xf>
    <xf numFmtId="37" fontId="47" fillId="0" borderId="0" xfId="0" quotePrefix="1" applyNumberFormat="1" applyFont="1" applyFill="1" applyAlignment="1">
      <alignment horizontal="left"/>
    </xf>
    <xf numFmtId="37" fontId="46" fillId="0" borderId="0" xfId="116" applyFont="1" applyFill="1" applyAlignment="1">
      <alignment horizontal="center"/>
    </xf>
    <xf numFmtId="37" fontId="13" fillId="0" borderId="0" xfId="116" applyFont="1" applyFill="1" applyAlignment="1" applyProtection="1">
      <alignment horizontal="center"/>
      <protection locked="0"/>
    </xf>
    <xf numFmtId="37" fontId="13" fillId="0" borderId="0" xfId="116" quotePrefix="1" applyFont="1" applyFill="1" applyAlignment="1" applyProtection="1">
      <alignment horizontal="center"/>
      <protection locked="0"/>
    </xf>
    <xf numFmtId="171" fontId="13" fillId="0" borderId="0" xfId="88" applyNumberFormat="1" applyFont="1" applyFill="1" applyProtection="1">
      <protection locked="0"/>
    </xf>
    <xf numFmtId="181" fontId="13" fillId="0" borderId="0" xfId="116" applyNumberFormat="1" applyFont="1" applyFill="1" applyProtection="1"/>
    <xf numFmtId="37" fontId="13" fillId="0" borderId="0" xfId="116" quotePrefix="1" applyFont="1" applyFill="1" applyAlignment="1">
      <alignment horizontal="left"/>
    </xf>
    <xf numFmtId="9" fontId="13" fillId="0" borderId="0" xfId="135" applyFont="1" applyFill="1" applyAlignment="1">
      <alignment horizontal="center"/>
    </xf>
    <xf numFmtId="37" fontId="46" fillId="0" borderId="0" xfId="116" applyFont="1" applyFill="1" applyBorder="1"/>
    <xf numFmtId="37" fontId="13" fillId="0" borderId="0" xfId="116" applyFont="1" applyFill="1" applyAlignment="1" applyProtection="1">
      <alignment horizontal="left"/>
      <protection locked="0"/>
    </xf>
    <xf numFmtId="10" fontId="13" fillId="0" borderId="0" xfId="116" applyNumberFormat="1" applyFont="1" applyFill="1" applyProtection="1"/>
    <xf numFmtId="37" fontId="13" fillId="0" borderId="0" xfId="116" applyNumberFormat="1" applyFont="1" applyFill="1" applyProtection="1"/>
    <xf numFmtId="177" fontId="13" fillId="0" borderId="0" xfId="116" applyNumberFormat="1" applyFont="1" applyFill="1" applyAlignment="1" applyProtection="1">
      <alignment horizontal="left"/>
      <protection locked="0"/>
    </xf>
    <xf numFmtId="177" fontId="13" fillId="0" borderId="0" xfId="116" applyNumberFormat="1" applyFont="1" applyFill="1" applyProtection="1">
      <protection locked="0"/>
    </xf>
    <xf numFmtId="37" fontId="13" fillId="0" borderId="0" xfId="116" applyFont="1" applyFill="1" applyAlignment="1" applyProtection="1">
      <alignment horizontal="center"/>
    </xf>
    <xf numFmtId="37" fontId="46" fillId="0" borderId="0" xfId="116" quotePrefix="1" applyFont="1" applyFill="1" applyAlignment="1">
      <alignment horizontal="center"/>
    </xf>
    <xf numFmtId="37" fontId="48" fillId="0" borderId="0" xfId="116" applyFont="1" applyFill="1"/>
    <xf numFmtId="37" fontId="47" fillId="0" borderId="0" xfId="116" applyFont="1" applyFill="1" applyAlignment="1">
      <alignment horizontal="center"/>
    </xf>
    <xf numFmtId="37" fontId="47" fillId="0" borderId="0" xfId="116" applyFont="1" applyFill="1" applyAlignment="1" applyProtection="1">
      <alignment horizontal="left"/>
    </xf>
    <xf numFmtId="37" fontId="47" fillId="0" borderId="0" xfId="116" applyFont="1" applyFill="1" applyAlignment="1" applyProtection="1">
      <alignment horizontal="center"/>
    </xf>
    <xf numFmtId="0" fontId="35" fillId="0" borderId="13" xfId="0" applyFont="1" applyFill="1" applyBorder="1" applyProtection="1"/>
    <xf numFmtId="37" fontId="23" fillId="0" borderId="13" xfId="0" applyNumberFormat="1" applyFont="1" applyFill="1" applyBorder="1" applyProtection="1"/>
    <xf numFmtId="175" fontId="35" fillId="0" borderId="0" xfId="0" applyNumberFormat="1" applyFont="1" applyFill="1" applyAlignment="1" applyProtection="1">
      <alignment horizontal="centerContinuous"/>
    </xf>
    <xf numFmtId="37" fontId="23" fillId="0" borderId="13" xfId="0" applyNumberFormat="1" applyFont="1" applyFill="1" applyBorder="1" applyAlignment="1" applyProtection="1">
      <alignment horizontal="centerContinuous"/>
    </xf>
    <xf numFmtId="0" fontId="35" fillId="0" borderId="14" xfId="0" applyFont="1" applyFill="1" applyBorder="1" applyAlignment="1" applyProtection="1">
      <alignment horizontal="centerContinuous"/>
    </xf>
    <xf numFmtId="175" fontId="35" fillId="0" borderId="14" xfId="0" applyNumberFormat="1" applyFont="1" applyFill="1" applyBorder="1" applyAlignment="1" applyProtection="1">
      <alignment horizontal="centerContinuous"/>
    </xf>
    <xf numFmtId="0" fontId="35" fillId="0" borderId="13" xfId="0" applyFont="1" applyFill="1" applyBorder="1" applyAlignment="1" applyProtection="1">
      <alignment horizontal="centerContinuous"/>
    </xf>
    <xf numFmtId="0" fontId="35" fillId="0" borderId="13" xfId="0" applyFont="1" applyFill="1" applyBorder="1" applyAlignment="1" applyProtection="1">
      <alignment horizontal="center"/>
    </xf>
    <xf numFmtId="0" fontId="35" fillId="0" borderId="0" xfId="0" quotePrefix="1" applyFont="1" applyFill="1" applyProtection="1"/>
    <xf numFmtId="0" fontId="41" fillId="0" borderId="0" xfId="0" applyFont="1" applyFill="1"/>
    <xf numFmtId="0" fontId="40" fillId="0" borderId="0" xfId="123" applyFont="1" applyFill="1"/>
    <xf numFmtId="0" fontId="42" fillId="0" borderId="0" xfId="0" applyFont="1" applyFill="1" applyAlignment="1">
      <alignment horizontal="left"/>
    </xf>
    <xf numFmtId="0" fontId="34" fillId="0" borderId="0" xfId="0" applyFont="1" applyFill="1"/>
    <xf numFmtId="0" fontId="4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171" fontId="34" fillId="0" borderId="0" xfId="0" applyNumberFormat="1" applyFont="1" applyFill="1"/>
    <xf numFmtId="0" fontId="34" fillId="0" borderId="0" xfId="0" applyFont="1" applyFill="1" applyAlignment="1">
      <alignment horizontal="right"/>
    </xf>
    <xf numFmtId="171" fontId="34" fillId="0" borderId="17" xfId="87" applyNumberFormat="1" applyFont="1" applyFill="1" applyBorder="1"/>
    <xf numFmtId="171" fontId="34" fillId="0" borderId="17" xfId="0" applyNumberFormat="1" applyFont="1" applyFill="1" applyBorder="1"/>
    <xf numFmtId="0" fontId="34" fillId="0" borderId="0" xfId="0" quotePrefix="1" applyFont="1" applyFill="1" applyAlignment="1">
      <alignment horizontal="right"/>
    </xf>
    <xf numFmtId="0" fontId="7" fillId="0" borderId="0" xfId="0" applyFont="1" applyFill="1"/>
    <xf numFmtId="0" fontId="7" fillId="0" borderId="18" xfId="0" applyFont="1" applyFill="1" applyBorder="1"/>
    <xf numFmtId="0" fontId="4" fillId="0" borderId="0" xfId="0" applyFont="1" applyFill="1"/>
    <xf numFmtId="0" fontId="1" fillId="0" borderId="0" xfId="0" applyFont="1" applyFill="1"/>
    <xf numFmtId="37" fontId="1" fillId="0" borderId="0" xfId="0" applyNumberFormat="1" applyFont="1" applyFill="1"/>
    <xf numFmtId="37" fontId="1" fillId="0" borderId="0" xfId="0" applyNumberFormat="1" applyFont="1" applyFill="1" applyAlignment="1" applyProtection="1">
      <alignment horizontal="left"/>
    </xf>
    <xf numFmtId="37" fontId="1" fillId="0" borderId="0" xfId="0" applyNumberFormat="1" applyFont="1" applyFill="1" applyAlignment="1">
      <alignment horizontal="right"/>
    </xf>
    <xf numFmtId="37" fontId="1" fillId="0" borderId="0" xfId="0" applyNumberFormat="1" applyFont="1" applyFill="1" applyProtection="1"/>
    <xf numFmtId="37" fontId="1" fillId="0" borderId="0" xfId="0" applyNumberFormat="1" applyFont="1" applyFill="1" applyAlignment="1" applyProtection="1">
      <alignment horizontal="fill"/>
    </xf>
    <xf numFmtId="0" fontId="1" fillId="0" borderId="0" xfId="0" applyNumberFormat="1" applyFont="1" applyFill="1"/>
    <xf numFmtId="49" fontId="1" fillId="0" borderId="0" xfId="0" applyNumberFormat="1" applyFont="1" applyFill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37" fontId="1" fillId="0" borderId="0" xfId="0" quotePrefix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9" xfId="0" applyNumberFormat="1" applyFont="1" applyFill="1" applyBorder="1"/>
    <xf numFmtId="37" fontId="1" fillId="0" borderId="11" xfId="0" applyNumberFormat="1" applyFont="1" applyFill="1" applyBorder="1" applyAlignment="1">
      <alignment horizontal="center"/>
    </xf>
    <xf numFmtId="37" fontId="1" fillId="0" borderId="24" xfId="0" applyNumberFormat="1" applyFont="1" applyFill="1" applyBorder="1"/>
    <xf numFmtId="37" fontId="1" fillId="0" borderId="25" xfId="0" applyNumberFormat="1" applyFont="1" applyFill="1" applyBorder="1"/>
    <xf numFmtId="37" fontId="1" fillId="0" borderId="13" xfId="0" applyNumberFormat="1" applyFont="1" applyFill="1" applyBorder="1"/>
    <xf numFmtId="184" fontId="1" fillId="0" borderId="0" xfId="0" applyNumberFormat="1" applyFont="1" applyFill="1"/>
    <xf numFmtId="185" fontId="1" fillId="0" borderId="0" xfId="0" applyNumberFormat="1" applyFont="1" applyFill="1"/>
    <xf numFmtId="37" fontId="1" fillId="0" borderId="0" xfId="0" quotePrefix="1" applyNumberFormat="1" applyFont="1" applyFill="1" applyAlignment="1">
      <alignment horizontal="left"/>
    </xf>
    <xf numFmtId="37" fontId="1" fillId="0" borderId="0" xfId="0" quotePrefix="1" applyNumberFormat="1" applyFont="1" applyFill="1" applyAlignment="1">
      <alignment horizontal="right"/>
    </xf>
    <xf numFmtId="37" fontId="1" fillId="0" borderId="0" xfId="0" quotePrefix="1" applyNumberFormat="1" applyFont="1" applyFill="1" applyAlignment="1" applyProtection="1">
      <alignment horizontal="left"/>
    </xf>
    <xf numFmtId="37" fontId="13" fillId="0" borderId="24" xfId="0" applyNumberFormat="1" applyFont="1" applyFill="1" applyBorder="1"/>
    <xf numFmtId="0" fontId="13" fillId="0" borderId="0" xfId="0" applyNumberFormat="1" applyFont="1" applyFill="1"/>
    <xf numFmtId="49" fontId="13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Protection="1"/>
    <xf numFmtId="37" fontId="13" fillId="0" borderId="0" xfId="0" quotePrefix="1" applyNumberFormat="1" applyFont="1" applyFill="1" applyAlignment="1">
      <alignment horizontal="left"/>
    </xf>
    <xf numFmtId="37" fontId="13" fillId="0" borderId="0" xfId="0" applyNumberFormat="1" applyFont="1" applyFill="1" applyAlignment="1" applyProtection="1">
      <alignment horizontal="left"/>
      <protection locked="0"/>
    </xf>
    <xf numFmtId="39" fontId="1" fillId="0" borderId="0" xfId="0" applyNumberFormat="1" applyFont="1" applyFill="1"/>
    <xf numFmtId="39" fontId="13" fillId="0" borderId="0" xfId="0" applyNumberFormat="1" applyFont="1" applyFill="1"/>
    <xf numFmtId="37" fontId="13" fillId="0" borderId="24" xfId="0" quotePrefix="1" applyNumberFormat="1" applyFont="1" applyFill="1" applyBorder="1" applyAlignment="1">
      <alignment horizontal="left"/>
    </xf>
    <xf numFmtId="37" fontId="13" fillId="0" borderId="0" xfId="0" quotePrefix="1" applyNumberFormat="1" applyFont="1" applyFill="1" applyAlignment="1" applyProtection="1">
      <alignment horizontal="left"/>
    </xf>
    <xf numFmtId="49" fontId="1" fillId="0" borderId="0" xfId="0" applyNumberFormat="1" applyFont="1" applyFill="1"/>
    <xf numFmtId="37" fontId="1" fillId="0" borderId="0" xfId="0" quotePrefix="1" applyNumberFormat="1" applyFont="1" applyFill="1" applyAlignment="1" applyProtection="1">
      <alignment horizontal="right"/>
    </xf>
    <xf numFmtId="37" fontId="1" fillId="0" borderId="0" xfId="0" quotePrefix="1" applyNumberFormat="1" applyFont="1" applyFill="1" applyProtection="1"/>
    <xf numFmtId="187" fontId="1" fillId="0" borderId="0" xfId="0" applyNumberFormat="1" applyFont="1" applyFill="1" applyProtection="1"/>
    <xf numFmtId="175" fontId="1" fillId="0" borderId="0" xfId="0" applyNumberFormat="1" applyFont="1" applyFill="1" applyProtection="1"/>
    <xf numFmtId="174" fontId="1" fillId="0" borderId="0" xfId="0" applyNumberFormat="1" applyFont="1" applyFill="1" applyProtection="1"/>
    <xf numFmtId="37" fontId="46" fillId="0" borderId="0" xfId="0" applyNumberFormat="1" applyFont="1" applyFill="1" applyProtection="1"/>
    <xf numFmtId="37" fontId="1" fillId="0" borderId="0" xfId="0" quotePrefix="1" applyNumberFormat="1" applyFont="1" applyFill="1" applyAlignment="1" applyProtection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57" fillId="0" borderId="0" xfId="0" applyNumberFormat="1" applyFont="1" applyFill="1" applyAlignment="1">
      <alignment horizontal="center"/>
    </xf>
    <xf numFmtId="37" fontId="1" fillId="0" borderId="13" xfId="0" applyNumberFormat="1" applyFont="1" applyFill="1" applyBorder="1" applyAlignment="1">
      <alignment horizontal="center"/>
    </xf>
    <xf numFmtId="10" fontId="13" fillId="0" borderId="0" xfId="0" applyNumberFormat="1" applyFont="1" applyFill="1"/>
    <xf numFmtId="37" fontId="46" fillId="0" borderId="0" xfId="0" applyNumberFormat="1" applyFont="1" applyFill="1" applyProtection="1">
      <protection locked="0"/>
    </xf>
    <xf numFmtId="10" fontId="1" fillId="0" borderId="0" xfId="0" applyNumberFormat="1" applyFont="1" applyFill="1"/>
    <xf numFmtId="10" fontId="1" fillId="0" borderId="0" xfId="0" applyNumberFormat="1" applyFont="1" applyFill="1" applyProtection="1"/>
    <xf numFmtId="191" fontId="1" fillId="0" borderId="0" xfId="0" applyNumberFormat="1" applyFont="1" applyFill="1" applyProtection="1"/>
    <xf numFmtId="10" fontId="1" fillId="0" borderId="0" xfId="0" applyNumberFormat="1" applyFont="1" applyFill="1" applyAlignment="1" applyProtection="1">
      <alignment horizontal="left"/>
    </xf>
    <xf numFmtId="181" fontId="1" fillId="0" borderId="0" xfId="0" applyNumberFormat="1" applyFont="1" applyFill="1" applyProtection="1"/>
    <xf numFmtId="10" fontId="13" fillId="0" borderId="0" xfId="0" applyNumberFormat="1" applyFont="1" applyFill="1" applyProtection="1">
      <protection locked="0"/>
    </xf>
    <xf numFmtId="10" fontId="1" fillId="0" borderId="0" xfId="0" quotePrefix="1" applyNumberFormat="1" applyFont="1" applyFill="1" applyAlignment="1" applyProtection="1">
      <alignment horizontal="right"/>
    </xf>
    <xf numFmtId="192" fontId="1" fillId="0" borderId="0" xfId="0" applyNumberFormat="1" applyFont="1" applyFill="1" applyProtection="1"/>
    <xf numFmtId="176" fontId="1" fillId="0" borderId="0" xfId="0" applyNumberFormat="1" applyFont="1" applyFill="1" applyProtection="1"/>
    <xf numFmtId="172" fontId="1" fillId="0" borderId="0" xfId="0" applyNumberFormat="1" applyFont="1" applyFill="1" applyProtection="1"/>
    <xf numFmtId="172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Protection="1"/>
    <xf numFmtId="37" fontId="1" fillId="0" borderId="11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/>
    <xf numFmtId="37" fontId="1" fillId="0" borderId="12" xfId="0" applyNumberFormat="1" applyFont="1" applyFill="1" applyBorder="1"/>
    <xf numFmtId="37" fontId="46" fillId="0" borderId="27" xfId="0" applyNumberFormat="1" applyFont="1" applyFill="1" applyBorder="1" applyAlignment="1">
      <alignment horizontal="center"/>
    </xf>
    <xf numFmtId="37" fontId="47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172" fontId="1" fillId="0" borderId="0" xfId="0" quotePrefix="1" applyNumberFormat="1" applyFont="1" applyFill="1" applyProtection="1"/>
    <xf numFmtId="37" fontId="1" fillId="0" borderId="19" xfId="0" applyNumberFormat="1" applyFont="1" applyFill="1" applyBorder="1"/>
    <xf numFmtId="164" fontId="1" fillId="0" borderId="12" xfId="0" applyNumberFormat="1" applyFont="1" applyFill="1" applyBorder="1"/>
    <xf numFmtId="165" fontId="1" fillId="0" borderId="19" xfId="0" applyNumberFormat="1" applyFont="1" applyFill="1" applyBorder="1"/>
    <xf numFmtId="37" fontId="47" fillId="0" borderId="0" xfId="0" applyNumberFormat="1" applyFont="1" applyFill="1" applyAlignment="1" applyProtection="1">
      <alignment horizontal="center"/>
    </xf>
    <xf numFmtId="37" fontId="47" fillId="0" borderId="0" xfId="0" applyNumberFormat="1" applyFont="1" applyFill="1" applyAlignment="1" applyProtection="1">
      <alignment horizontal="left"/>
    </xf>
    <xf numFmtId="173" fontId="1" fillId="0" borderId="0" xfId="0" applyNumberFormat="1" applyFont="1" applyFill="1" applyProtection="1"/>
    <xf numFmtId="193" fontId="1" fillId="0" borderId="0" xfId="0" applyNumberFormat="1" applyFont="1" applyFill="1"/>
    <xf numFmtId="168" fontId="1" fillId="0" borderId="0" xfId="0" applyNumberFormat="1" applyFont="1" applyFill="1"/>
    <xf numFmtId="166" fontId="13" fillId="0" borderId="0" xfId="134" applyNumberFormat="1" applyFont="1" applyFill="1"/>
    <xf numFmtId="10" fontId="1" fillId="0" borderId="0" xfId="0" applyNumberFormat="1" applyFont="1" applyFill="1" applyAlignment="1" applyProtection="1">
      <alignment horizontal="fill"/>
    </xf>
    <xf numFmtId="174" fontId="13" fillId="0" borderId="0" xfId="0" applyNumberFormat="1" applyFont="1" applyFill="1" applyProtection="1"/>
    <xf numFmtId="7" fontId="1" fillId="0" borderId="0" xfId="0" applyNumberFormat="1" applyFont="1" applyFill="1" applyProtection="1"/>
    <xf numFmtId="37" fontId="1" fillId="0" borderId="0" xfId="0" applyNumberFormat="1" applyFont="1" applyFill="1" applyAlignment="1" applyProtection="1">
      <alignment horizontal="right"/>
    </xf>
    <xf numFmtId="37" fontId="1" fillId="0" borderId="13" xfId="0" applyNumberFormat="1" applyFont="1" applyFill="1" applyBorder="1" applyAlignment="1" applyProtection="1">
      <alignment horizontal="center"/>
    </xf>
    <xf numFmtId="37" fontId="1" fillId="0" borderId="18" xfId="0" applyNumberFormat="1" applyFont="1" applyFill="1" applyBorder="1" applyProtection="1"/>
    <xf numFmtId="37" fontId="13" fillId="0" borderId="18" xfId="0" applyNumberFormat="1" applyFont="1" applyFill="1" applyBorder="1" applyProtection="1">
      <protection locked="0"/>
    </xf>
    <xf numFmtId="37" fontId="1" fillId="0" borderId="13" xfId="0" applyNumberFormat="1" applyFont="1" applyFill="1" applyBorder="1" applyProtection="1"/>
    <xf numFmtId="37" fontId="13" fillId="0" borderId="0" xfId="0" quotePrefix="1" applyNumberFormat="1" applyFont="1" applyFill="1" applyAlignment="1" applyProtection="1">
      <alignment horizontal="left"/>
      <protection locked="0"/>
    </xf>
    <xf numFmtId="37" fontId="13" fillId="0" borderId="0" xfId="0" applyNumberFormat="1" applyFont="1" applyFill="1" applyAlignment="1" applyProtection="1">
      <alignment horizontal="center"/>
      <protection locked="0"/>
    </xf>
    <xf numFmtId="37" fontId="1" fillId="0" borderId="0" xfId="0" quotePrefix="1" applyNumberFormat="1" applyFont="1" applyFill="1"/>
    <xf numFmtId="37" fontId="13" fillId="0" borderId="0" xfId="0" quotePrefix="1" applyNumberFormat="1" applyFont="1" applyFill="1" applyAlignment="1" applyProtection="1">
      <alignment horizontal="right"/>
      <protection locked="0"/>
    </xf>
    <xf numFmtId="17" fontId="1" fillId="0" borderId="0" xfId="0" applyNumberFormat="1" applyFont="1" applyFill="1"/>
    <xf numFmtId="37" fontId="13" fillId="0" borderId="13" xfId="0" applyNumberFormat="1" applyFont="1" applyFill="1" applyBorder="1" applyProtection="1">
      <protection locked="0"/>
    </xf>
    <xf numFmtId="37" fontId="1" fillId="0" borderId="18" xfId="0" applyNumberFormat="1" applyFont="1" applyFill="1" applyBorder="1"/>
    <xf numFmtId="169" fontId="1" fillId="0" borderId="0" xfId="0" applyNumberFormat="1" applyFont="1" applyFill="1"/>
    <xf numFmtId="37" fontId="1" fillId="0" borderId="17" xfId="0" applyNumberFormat="1" applyFont="1" applyFill="1" applyBorder="1"/>
    <xf numFmtId="37" fontId="1" fillId="0" borderId="13" xfId="0" applyNumberFormat="1" applyFont="1" applyFill="1" applyBorder="1" applyAlignment="1" applyProtection="1">
      <alignment horizontal="left"/>
    </xf>
    <xf numFmtId="37" fontId="1" fillId="0" borderId="13" xfId="0" applyNumberFormat="1" applyFont="1" applyFill="1" applyBorder="1" applyAlignment="1" applyProtection="1">
      <alignment horizontal="right"/>
    </xf>
    <xf numFmtId="37" fontId="1" fillId="0" borderId="20" xfId="0" applyNumberFormat="1" applyFont="1" applyFill="1" applyBorder="1" applyProtection="1"/>
    <xf numFmtId="5" fontId="13" fillId="0" borderId="0" xfId="0" applyNumberFormat="1" applyFont="1" applyFill="1" applyProtection="1"/>
    <xf numFmtId="37" fontId="1" fillId="0" borderId="0" xfId="0" applyNumberFormat="1" applyFont="1" applyFill="1" applyAlignment="1">
      <alignment horizontal="left"/>
    </xf>
    <xf numFmtId="37" fontId="1" fillId="0" borderId="17" xfId="0" applyNumberFormat="1" applyFont="1" applyFill="1" applyBorder="1" applyProtection="1"/>
    <xf numFmtId="5" fontId="1" fillId="0" borderId="0" xfId="0" applyNumberFormat="1" applyFont="1" applyFill="1" applyProtection="1"/>
    <xf numFmtId="37" fontId="1" fillId="0" borderId="0" xfId="0" quotePrefix="1" applyNumberFormat="1" applyFont="1" applyFill="1" applyBorder="1" applyAlignment="1">
      <alignment horizontal="left"/>
    </xf>
    <xf numFmtId="37" fontId="13" fillId="0" borderId="11" xfId="0" applyNumberFormat="1" applyFont="1" applyFill="1" applyBorder="1"/>
    <xf numFmtId="37" fontId="1" fillId="0" borderId="11" xfId="0" applyNumberFormat="1" applyFont="1" applyFill="1" applyBorder="1"/>
    <xf numFmtId="1" fontId="13" fillId="0" borderId="0" xfId="0" applyNumberFormat="1" applyFont="1" applyFill="1" applyAlignment="1" applyProtection="1">
      <alignment horizontal="left"/>
      <protection locked="0"/>
    </xf>
    <xf numFmtId="37" fontId="13" fillId="0" borderId="13" xfId="0" applyNumberFormat="1" applyFont="1" applyFill="1" applyBorder="1" applyProtection="1"/>
    <xf numFmtId="37" fontId="13" fillId="0" borderId="0" xfId="0" applyNumberFormat="1" applyFont="1" applyFill="1" applyProtection="1">
      <protection locked="0" hidden="1"/>
    </xf>
    <xf numFmtId="37" fontId="13" fillId="0" borderId="20" xfId="0" applyNumberFormat="1" applyFont="1" applyFill="1" applyBorder="1" applyProtection="1">
      <protection locked="0"/>
    </xf>
    <xf numFmtId="37" fontId="1" fillId="0" borderId="13" xfId="0" quotePrefix="1" applyNumberFormat="1" applyFont="1" applyFill="1" applyBorder="1" applyAlignment="1" applyProtection="1">
      <alignment horizontal="center"/>
    </xf>
    <xf numFmtId="37" fontId="13" fillId="0" borderId="0" xfId="0" quotePrefix="1" applyNumberFormat="1" applyFont="1" applyFill="1" applyBorder="1" applyAlignment="1" applyProtection="1">
      <alignment horizontal="right"/>
      <protection locked="0"/>
    </xf>
    <xf numFmtId="37" fontId="13" fillId="0" borderId="0" xfId="0" applyNumberFormat="1" applyFont="1" applyFill="1" applyBorder="1" applyProtection="1">
      <protection locked="0"/>
    </xf>
    <xf numFmtId="37" fontId="13" fillId="0" borderId="19" xfId="0" applyNumberFormat="1" applyFont="1" applyFill="1" applyBorder="1" applyProtection="1">
      <protection locked="0"/>
    </xf>
    <xf numFmtId="194" fontId="1" fillId="0" borderId="0" xfId="0" applyNumberFormat="1" applyFont="1" applyFill="1" applyProtection="1"/>
    <xf numFmtId="37" fontId="1" fillId="0" borderId="20" xfId="0" applyNumberFormat="1" applyFont="1" applyFill="1" applyBorder="1"/>
    <xf numFmtId="176" fontId="1" fillId="0" borderId="13" xfId="0" applyNumberFormat="1" applyFont="1" applyFill="1" applyBorder="1" applyProtection="1"/>
    <xf numFmtId="37" fontId="1" fillId="0" borderId="0" xfId="0" applyNumberFormat="1" applyFont="1" applyFill="1" applyAlignment="1" applyProtection="1"/>
    <xf numFmtId="172" fontId="13" fillId="0" borderId="0" xfId="0" applyNumberFormat="1" applyFont="1" applyFill="1" applyAlignment="1" applyProtection="1">
      <alignment horizontal="left"/>
      <protection locked="0"/>
    </xf>
    <xf numFmtId="10" fontId="1" fillId="0" borderId="13" xfId="0" applyNumberFormat="1" applyFont="1" applyFill="1" applyBorder="1" applyProtection="1"/>
    <xf numFmtId="172" fontId="13" fillId="0" borderId="13" xfId="0" applyNumberFormat="1" applyFont="1" applyFill="1" applyBorder="1" applyProtection="1">
      <protection locked="0"/>
    </xf>
    <xf numFmtId="10" fontId="1" fillId="0" borderId="18" xfId="0" applyNumberFormat="1" applyFont="1" applyFill="1" applyBorder="1" applyProtection="1"/>
    <xf numFmtId="172" fontId="1" fillId="0" borderId="18" xfId="0" applyNumberFormat="1" applyFont="1" applyFill="1" applyBorder="1" applyProtection="1"/>
    <xf numFmtId="2" fontId="13" fillId="0" borderId="18" xfId="0" applyNumberFormat="1" applyFont="1" applyFill="1" applyBorder="1" applyProtection="1">
      <protection locked="0"/>
    </xf>
    <xf numFmtId="181" fontId="13" fillId="0" borderId="0" xfId="0" applyNumberFormat="1" applyFont="1" applyFill="1" applyProtection="1">
      <protection locked="0"/>
    </xf>
    <xf numFmtId="181" fontId="1" fillId="0" borderId="19" xfId="0" applyNumberFormat="1" applyFont="1" applyFill="1" applyBorder="1" applyProtection="1"/>
    <xf numFmtId="178" fontId="13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</xf>
    <xf numFmtId="37" fontId="1" fillId="0" borderId="0" xfId="0" applyNumberFormat="1" applyFont="1" applyFill="1" applyAlignment="1"/>
    <xf numFmtId="10" fontId="1" fillId="0" borderId="13" xfId="0" applyNumberFormat="1" applyFont="1" applyFill="1" applyBorder="1"/>
    <xf numFmtId="181" fontId="1" fillId="0" borderId="13" xfId="0" applyNumberFormat="1" applyFont="1" applyFill="1" applyBorder="1" applyProtection="1"/>
    <xf numFmtId="39" fontId="1" fillId="0" borderId="13" xfId="0" applyNumberFormat="1" applyFont="1" applyFill="1" applyBorder="1" applyProtection="1"/>
    <xf numFmtId="37" fontId="1" fillId="0" borderId="13" xfId="0" applyNumberFormat="1" applyFont="1" applyFill="1" applyBorder="1" applyAlignment="1" applyProtection="1">
      <alignment horizontal="fill"/>
    </xf>
    <xf numFmtId="37" fontId="13" fillId="0" borderId="17" xfId="0" applyNumberFormat="1" applyFont="1" applyFill="1" applyBorder="1" applyProtection="1">
      <protection locked="0"/>
    </xf>
    <xf numFmtId="39" fontId="13" fillId="0" borderId="0" xfId="0" applyNumberFormat="1" applyFont="1" applyFill="1" applyProtection="1">
      <protection locked="0"/>
    </xf>
    <xf numFmtId="39" fontId="13" fillId="0" borderId="0" xfId="0" applyNumberFormat="1" applyFont="1" applyFill="1" applyProtection="1"/>
    <xf numFmtId="175" fontId="1" fillId="0" borderId="13" xfId="0" applyNumberFormat="1" applyFont="1" applyFill="1" applyBorder="1" applyProtection="1"/>
    <xf numFmtId="175" fontId="1" fillId="0" borderId="18" xfId="0" applyNumberFormat="1" applyFont="1" applyFill="1" applyBorder="1" applyProtection="1"/>
    <xf numFmtId="180" fontId="13" fillId="0" borderId="0" xfId="0" applyNumberFormat="1" applyFont="1" applyFill="1" applyProtection="1">
      <protection locked="0"/>
    </xf>
    <xf numFmtId="180" fontId="13" fillId="0" borderId="0" xfId="0" applyNumberFormat="1" applyFont="1" applyFill="1"/>
    <xf numFmtId="175" fontId="13" fillId="0" borderId="0" xfId="0" applyNumberFormat="1" applyFont="1" applyFill="1" applyProtection="1">
      <protection locked="0"/>
    </xf>
    <xf numFmtId="180" fontId="1" fillId="0" borderId="0" xfId="0" applyNumberFormat="1" applyFont="1" applyFill="1" applyProtection="1"/>
    <xf numFmtId="37" fontId="13" fillId="0" borderId="13" xfId="0" applyNumberFormat="1" applyFont="1" applyFill="1" applyBorder="1" applyAlignment="1" applyProtection="1">
      <alignment horizontal="center"/>
      <protection locked="0"/>
    </xf>
    <xf numFmtId="184" fontId="1" fillId="0" borderId="0" xfId="0" applyNumberFormat="1" applyFont="1" applyFill="1" applyProtection="1"/>
    <xf numFmtId="184" fontId="1" fillId="0" borderId="17" xfId="0" applyNumberFormat="1" applyFont="1" applyFill="1" applyBorder="1" applyProtection="1"/>
    <xf numFmtId="180" fontId="1" fillId="0" borderId="0" xfId="0" applyNumberFormat="1" applyFont="1" applyFill="1"/>
    <xf numFmtId="184" fontId="1" fillId="0" borderId="0" xfId="0" applyNumberFormat="1" applyFont="1" applyFill="1" applyAlignment="1" applyProtection="1">
      <alignment horizontal="center"/>
    </xf>
    <xf numFmtId="37" fontId="1" fillId="0" borderId="0" xfId="0" applyNumberFormat="1" applyFont="1" applyFill="1" applyBorder="1" applyAlignment="1" applyProtection="1">
      <alignment horizontal="center"/>
    </xf>
    <xf numFmtId="184" fontId="1" fillId="0" borderId="13" xfId="0" applyNumberFormat="1" applyFont="1" applyFill="1" applyBorder="1" applyAlignment="1" applyProtection="1">
      <alignment horizontal="center"/>
    </xf>
    <xf numFmtId="37" fontId="13" fillId="0" borderId="0" xfId="0" quotePrefix="1" applyNumberFormat="1" applyFont="1" applyFill="1" applyAlignment="1" applyProtection="1">
      <alignment horizontal="right"/>
    </xf>
    <xf numFmtId="168" fontId="1" fillId="0" borderId="0" xfId="0" applyNumberFormat="1" applyFont="1" applyFill="1" applyAlignment="1">
      <alignment horizontal="center"/>
    </xf>
    <xf numFmtId="174" fontId="13" fillId="0" borderId="0" xfId="0" applyNumberFormat="1" applyFont="1" applyFill="1" applyProtection="1">
      <protection locked="0"/>
    </xf>
    <xf numFmtId="37" fontId="13" fillId="0" borderId="0" xfId="0" quotePrefix="1" applyNumberFormat="1" applyFont="1" applyFill="1" applyProtection="1">
      <protection locked="0"/>
    </xf>
    <xf numFmtId="39" fontId="1" fillId="0" borderId="17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11" xfId="0" applyNumberFormat="1" applyFont="1" applyFill="1" applyBorder="1"/>
    <xf numFmtId="10" fontId="1" fillId="0" borderId="11" xfId="0" applyNumberFormat="1" applyFont="1" applyFill="1" applyBorder="1"/>
    <xf numFmtId="166" fontId="1" fillId="0" borderId="0" xfId="0" applyNumberFormat="1" applyFont="1" applyFill="1"/>
    <xf numFmtId="167" fontId="1" fillId="0" borderId="0" xfId="0" applyNumberFormat="1" applyFont="1" applyFill="1"/>
    <xf numFmtId="10" fontId="1" fillId="0" borderId="0" xfId="0" applyNumberFormat="1" applyFont="1" applyFill="1" applyBorder="1"/>
    <xf numFmtId="10" fontId="1" fillId="0" borderId="12" xfId="0" applyNumberFormat="1" applyFont="1" applyFill="1" applyBorder="1"/>
    <xf numFmtId="0" fontId="1" fillId="0" borderId="0" xfId="0" applyFont="1" applyFill="1" applyAlignment="1">
      <alignment horizontal="centerContinuous"/>
    </xf>
    <xf numFmtId="37" fontId="1" fillId="0" borderId="0" xfId="0" applyNumberFormat="1" applyFont="1" applyFill="1" applyAlignment="1">
      <alignment horizontal="centerContinuous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70" fontId="1" fillId="0" borderId="0" xfId="0" applyNumberFormat="1" applyFont="1" applyFill="1"/>
    <xf numFmtId="37" fontId="1" fillId="0" borderId="11" xfId="0" applyNumberFormat="1" applyFont="1" applyFill="1" applyBorder="1" applyAlignment="1"/>
    <xf numFmtId="0" fontId="1" fillId="0" borderId="11" xfId="0" applyFont="1" applyFill="1" applyBorder="1"/>
    <xf numFmtId="0" fontId="2" fillId="0" borderId="0" xfId="0" applyFont="1" applyFill="1"/>
    <xf numFmtId="0" fontId="2" fillId="0" borderId="11" xfId="0" applyFont="1" applyFill="1" applyBorder="1"/>
    <xf numFmtId="0" fontId="2" fillId="0" borderId="0" xfId="0" applyFont="1" applyFill="1" applyBorder="1"/>
    <xf numFmtId="0" fontId="1" fillId="0" borderId="11" xfId="0" applyFont="1" applyFill="1" applyBorder="1" applyAlignment="1">
      <alignment horizontal="centerContinuous"/>
    </xf>
    <xf numFmtId="39" fontId="1" fillId="0" borderId="11" xfId="0" applyNumberFormat="1" applyFont="1" applyFill="1" applyBorder="1"/>
    <xf numFmtId="171" fontId="1" fillId="0" borderId="0" xfId="87" applyNumberFormat="1" applyFont="1" applyFill="1"/>
    <xf numFmtId="0" fontId="1" fillId="0" borderId="18" xfId="0" applyFont="1" applyFill="1" applyBorder="1"/>
    <xf numFmtId="171" fontId="1" fillId="0" borderId="0" xfId="87" applyNumberFormat="1" applyFont="1" applyFill="1" applyAlignment="1">
      <alignment horizontal="center"/>
    </xf>
    <xf numFmtId="171" fontId="1" fillId="0" borderId="13" xfId="87" applyNumberFormat="1" applyFont="1" applyFill="1" applyBorder="1" applyAlignment="1">
      <alignment horizontal="center"/>
    </xf>
    <xf numFmtId="186" fontId="1" fillId="0" borderId="13" xfId="87" applyNumberFormat="1" applyFont="1" applyFill="1" applyBorder="1"/>
    <xf numFmtId="0" fontId="1" fillId="0" borderId="0" xfId="0" applyFont="1" applyFill="1" applyAlignment="1" applyProtection="1">
      <alignment horizontal="left"/>
      <protection locked="0"/>
    </xf>
    <xf numFmtId="171" fontId="1" fillId="0" borderId="0" xfId="87" applyNumberFormat="1" applyFont="1" applyFill="1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3" xfId="0" quotePrefix="1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horizontal="center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left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/>
    <xf numFmtId="0" fontId="1" fillId="0" borderId="0" xfId="0" applyFont="1" applyFill="1" applyAlignment="1">
      <alignment horizontal="left"/>
    </xf>
    <xf numFmtId="43" fontId="1" fillId="0" borderId="0" xfId="87" applyFont="1" applyFill="1"/>
    <xf numFmtId="171" fontId="1" fillId="0" borderId="0" xfId="87" applyNumberFormat="1" applyFont="1" applyFill="1" applyProtection="1">
      <protection locked="0"/>
    </xf>
    <xf numFmtId="0" fontId="58" fillId="0" borderId="0" xfId="122" applyFont="1" applyFill="1" applyAlignment="1">
      <alignment horizontal="left"/>
    </xf>
    <xf numFmtId="0" fontId="1" fillId="0" borderId="0" xfId="0" applyFont="1" applyFill="1" applyAlignment="1" applyProtection="1">
      <alignment horizontal="left"/>
    </xf>
    <xf numFmtId="171" fontId="1" fillId="0" borderId="19" xfId="87" applyNumberFormat="1" applyFont="1" applyFill="1" applyBorder="1" applyProtection="1">
      <protection locked="0"/>
    </xf>
    <xf numFmtId="171" fontId="1" fillId="0" borderId="19" xfId="87" applyNumberFormat="1" applyFont="1" applyFill="1" applyBorder="1"/>
    <xf numFmtId="171" fontId="7" fillId="0" borderId="0" xfId="0" applyNumberFormat="1" applyFont="1" applyFill="1"/>
    <xf numFmtId="171" fontId="1" fillId="26" borderId="0" xfId="87" applyNumberFormat="1" applyFont="1" applyFill="1" applyProtection="1">
      <protection locked="0"/>
    </xf>
    <xf numFmtId="171" fontId="1" fillId="0" borderId="20" xfId="87" applyNumberFormat="1" applyFont="1" applyFill="1" applyBorder="1" applyProtection="1">
      <protection locked="0"/>
    </xf>
    <xf numFmtId="171" fontId="1" fillId="0" borderId="20" xfId="87" applyNumberFormat="1" applyFont="1" applyFill="1" applyBorder="1"/>
    <xf numFmtId="171" fontId="1" fillId="0" borderId="0" xfId="87" applyNumberFormat="1" applyFont="1" applyFill="1" applyBorder="1" applyProtection="1">
      <protection locked="0"/>
    </xf>
    <xf numFmtId="171" fontId="1" fillId="0" borderId="21" xfId="87" applyNumberFormat="1" applyFont="1" applyFill="1" applyBorder="1"/>
    <xf numFmtId="14" fontId="1" fillId="0" borderId="0" xfId="0" applyNumberFormat="1" applyFont="1" applyFill="1"/>
    <xf numFmtId="171" fontId="4" fillId="0" borderId="0" xfId="87" applyNumberFormat="1" applyFont="1" applyFill="1" applyBorder="1"/>
    <xf numFmtId="171" fontId="1" fillId="0" borderId="0" xfId="0" applyNumberFormat="1" applyFont="1" applyFill="1" applyBorder="1"/>
    <xf numFmtId="171" fontId="1" fillId="0" borderId="0" xfId="87" applyNumberFormat="1" applyFont="1" applyFill="1" applyAlignment="1">
      <alignment horizontal="right"/>
    </xf>
    <xf numFmtId="171" fontId="34" fillId="0" borderId="0" xfId="87" applyNumberFormat="1" applyFont="1" applyFill="1" applyAlignment="1">
      <alignment horizontal="right"/>
    </xf>
    <xf numFmtId="171" fontId="34" fillId="0" borderId="13" xfId="87" applyNumberFormat="1" applyFont="1" applyFill="1" applyBorder="1" applyAlignment="1">
      <alignment horizontal="right"/>
    </xf>
    <xf numFmtId="43" fontId="1" fillId="0" borderId="0" xfId="0" applyNumberFormat="1" applyFont="1" applyFill="1"/>
    <xf numFmtId="0" fontId="34" fillId="0" borderId="0" xfId="0" quotePrefix="1" applyFont="1" applyFill="1"/>
    <xf numFmtId="0" fontId="5" fillId="0" borderId="0" xfId="0" quotePrefix="1" applyFont="1" applyFill="1" applyAlignment="1">
      <alignment horizontal="center"/>
    </xf>
    <xf numFmtId="182" fontId="1" fillId="0" borderId="0" xfId="87" applyNumberFormat="1" applyFont="1" applyFill="1"/>
    <xf numFmtId="37" fontId="59" fillId="0" borderId="0" xfId="0" applyNumberFormat="1" applyFont="1" applyFill="1" applyBorder="1"/>
    <xf numFmtId="0" fontId="59" fillId="0" borderId="0" xfId="0" applyFont="1" applyFill="1"/>
    <xf numFmtId="172" fontId="40" fillId="0" borderId="0" xfId="0" applyNumberFormat="1" applyFont="1" applyFill="1" applyProtection="1"/>
    <xf numFmtId="172" fontId="40" fillId="0" borderId="13" xfId="0" applyNumberFormat="1" applyFont="1" applyFill="1" applyBorder="1" applyProtection="1"/>
    <xf numFmtId="171" fontId="23" fillId="0" borderId="0" xfId="0" applyNumberFormat="1" applyFont="1" applyFill="1"/>
    <xf numFmtId="171" fontId="23" fillId="0" borderId="0" xfId="87" applyNumberFormat="1" applyFont="1" applyFill="1"/>
    <xf numFmtId="171" fontId="23" fillId="0" borderId="0" xfId="0" applyNumberFormat="1" applyFont="1" applyFill="1" applyBorder="1"/>
    <xf numFmtId="0" fontId="23" fillId="0" borderId="0" xfId="0" applyFont="1" applyFill="1" applyBorder="1"/>
    <xf numFmtId="171" fontId="23" fillId="0" borderId="0" xfId="87" applyNumberFormat="1" applyFont="1" applyFill="1" applyBorder="1"/>
    <xf numFmtId="37" fontId="7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22" fontId="1" fillId="0" borderId="0" xfId="0" applyNumberFormat="1" applyFont="1" applyFill="1"/>
    <xf numFmtId="37" fontId="13" fillId="0" borderId="0" xfId="116" applyFont="1" applyFill="1" applyAlignment="1" applyProtection="1">
      <alignment horizontal="fill"/>
    </xf>
    <xf numFmtId="37" fontId="13" fillId="0" borderId="13" xfId="116" applyFont="1" applyFill="1" applyBorder="1" applyAlignment="1" applyProtection="1">
      <alignment horizontal="left"/>
    </xf>
    <xf numFmtId="37" fontId="13" fillId="0" borderId="13" xfId="116" applyFont="1" applyFill="1" applyBorder="1" applyProtection="1"/>
    <xf numFmtId="37" fontId="13" fillId="0" borderId="0" xfId="116" applyNumberFormat="1" applyFont="1" applyFill="1" applyBorder="1" applyProtection="1"/>
    <xf numFmtId="37" fontId="13" fillId="0" borderId="19" xfId="116" applyFont="1" applyFill="1" applyBorder="1" applyAlignment="1" applyProtection="1">
      <alignment horizontal="left"/>
    </xf>
    <xf numFmtId="37" fontId="13" fillId="0" borderId="18" xfId="116" applyFont="1" applyFill="1" applyBorder="1" applyProtection="1"/>
    <xf numFmtId="37" fontId="13" fillId="0" borderId="0" xfId="116" applyFont="1" applyFill="1" applyAlignment="1">
      <alignment horizontal="center"/>
    </xf>
    <xf numFmtId="37" fontId="13" fillId="0" borderId="0" xfId="116" quotePrefix="1" applyFont="1" applyFill="1" applyAlignment="1" applyProtection="1">
      <alignment horizontal="center"/>
    </xf>
    <xf numFmtId="37" fontId="13" fillId="0" borderId="13" xfId="116" quotePrefix="1" applyFont="1" applyFill="1" applyBorder="1" applyAlignment="1" applyProtection="1">
      <alignment horizontal="center"/>
    </xf>
    <xf numFmtId="37" fontId="13" fillId="0" borderId="13" xfId="116" applyFont="1" applyFill="1" applyBorder="1" applyAlignment="1" applyProtection="1">
      <alignment horizontal="center"/>
    </xf>
    <xf numFmtId="37" fontId="13" fillId="0" borderId="13" xfId="116" applyFont="1" applyFill="1" applyBorder="1" applyAlignment="1">
      <alignment horizontal="center"/>
    </xf>
    <xf numFmtId="37" fontId="13" fillId="0" borderId="13" xfId="116" applyFont="1" applyFill="1" applyBorder="1" applyProtection="1">
      <protection locked="0"/>
    </xf>
    <xf numFmtId="37" fontId="13" fillId="0" borderId="19" xfId="116" applyFont="1" applyFill="1" applyBorder="1"/>
    <xf numFmtId="37" fontId="13" fillId="0" borderId="0" xfId="116" quotePrefix="1" applyFont="1" applyFill="1" applyAlignment="1" applyProtection="1">
      <alignment horizontal="left"/>
      <protection locked="0"/>
    </xf>
    <xf numFmtId="37" fontId="13" fillId="0" borderId="13" xfId="116" quotePrefix="1" applyFont="1" applyFill="1" applyBorder="1" applyAlignment="1" applyProtection="1">
      <alignment horizontal="left"/>
    </xf>
    <xf numFmtId="37" fontId="13" fillId="0" borderId="13" xfId="116" applyFont="1" applyFill="1" applyBorder="1"/>
    <xf numFmtId="37" fontId="13" fillId="0" borderId="0" xfId="116" quotePrefix="1" applyFont="1" applyFill="1" applyProtection="1"/>
    <xf numFmtId="3" fontId="13" fillId="0" borderId="0" xfId="116" applyNumberFormat="1" applyFont="1" applyFill="1" applyProtection="1"/>
    <xf numFmtId="39" fontId="13" fillId="0" borderId="18" xfId="116" applyNumberFormat="1" applyFont="1" applyFill="1" applyBorder="1" applyProtection="1"/>
    <xf numFmtId="39" fontId="13" fillId="0" borderId="0" xfId="116" applyNumberFormat="1" applyFont="1" applyFill="1" applyProtection="1"/>
    <xf numFmtId="174" fontId="13" fillId="0" borderId="0" xfId="116" applyNumberFormat="1" applyFont="1" applyFill="1" applyAlignment="1" applyProtection="1">
      <alignment horizontal="right"/>
    </xf>
    <xf numFmtId="37" fontId="13" fillId="0" borderId="19" xfId="116" quotePrefix="1" applyFont="1" applyFill="1" applyBorder="1" applyAlignment="1" applyProtection="1">
      <alignment horizontal="left"/>
    </xf>
    <xf numFmtId="37" fontId="13" fillId="0" borderId="19" xfId="116" applyNumberFormat="1" applyFont="1" applyFill="1" applyBorder="1" applyAlignment="1" applyProtection="1">
      <alignment horizontal="fill"/>
    </xf>
    <xf numFmtId="37" fontId="13" fillId="0" borderId="0" xfId="116" applyFont="1" applyFill="1" applyBorder="1" applyAlignment="1" applyProtection="1">
      <alignment horizontal="left"/>
    </xf>
    <xf numFmtId="37" fontId="13" fillId="0" borderId="0" xfId="116" applyNumberFormat="1" applyFont="1" applyFill="1" applyAlignment="1" applyProtection="1">
      <alignment horizontal="fill"/>
    </xf>
    <xf numFmtId="177" fontId="13" fillId="0" borderId="0" xfId="116" applyNumberFormat="1" applyFont="1" applyFill="1" applyProtection="1"/>
    <xf numFmtId="177" fontId="13" fillId="0" borderId="0" xfId="116" applyNumberFormat="1" applyFont="1" applyFill="1" applyAlignment="1" applyProtection="1">
      <alignment horizontal="left"/>
    </xf>
    <xf numFmtId="174" fontId="13" fillId="0" borderId="0" xfId="116" applyNumberFormat="1" applyFont="1" applyFill="1" applyAlignment="1" applyProtection="1">
      <alignment horizontal="left"/>
    </xf>
    <xf numFmtId="10" fontId="13" fillId="0" borderId="0" xfId="116" applyNumberFormat="1" applyFont="1" applyFill="1"/>
    <xf numFmtId="10" fontId="13" fillId="0" borderId="0" xfId="116" applyNumberFormat="1" applyFont="1" applyFill="1" applyProtection="1">
      <protection locked="0"/>
    </xf>
    <xf numFmtId="37" fontId="13" fillId="0" borderId="0" xfId="116" quotePrefix="1" applyFont="1" applyFill="1" applyAlignment="1" applyProtection="1">
      <alignment horizontal="left"/>
    </xf>
    <xf numFmtId="37" fontId="1" fillId="0" borderId="0" xfId="116" applyFont="1" applyFill="1"/>
    <xf numFmtId="37" fontId="46" fillId="0" borderId="0" xfId="116" applyFont="1" applyFill="1"/>
    <xf numFmtId="37" fontId="13" fillId="0" borderId="0" xfId="116" applyFont="1" applyFill="1" applyAlignment="1" applyProtection="1">
      <alignment horizontal="right"/>
    </xf>
    <xf numFmtId="10" fontId="13" fillId="0" borderId="0" xfId="116" applyNumberFormat="1" applyFont="1" applyFill="1" applyAlignment="1" applyProtection="1">
      <alignment horizontal="left"/>
    </xf>
    <xf numFmtId="195" fontId="13" fillId="0" borderId="0" xfId="116" applyNumberFormat="1" applyFont="1" applyFill="1" applyProtection="1">
      <protection locked="0"/>
    </xf>
    <xf numFmtId="37" fontId="13" fillId="0" borderId="0" xfId="116" applyNumberFormat="1" applyFont="1" applyFill="1" applyAlignment="1" applyProtection="1">
      <alignment horizontal="left"/>
    </xf>
    <xf numFmtId="191" fontId="13" fillId="0" borderId="0" xfId="116" applyNumberFormat="1" applyFont="1" applyFill="1" applyProtection="1"/>
    <xf numFmtId="191" fontId="13" fillId="0" borderId="0" xfId="116" applyNumberFormat="1" applyFont="1" applyFill="1" applyAlignment="1" applyProtection="1">
      <alignment horizontal="left"/>
    </xf>
    <xf numFmtId="195" fontId="13" fillId="0" borderId="0" xfId="116" applyNumberFormat="1" applyFont="1" applyFill="1" applyProtection="1"/>
    <xf numFmtId="183" fontId="13" fillId="0" borderId="0" xfId="116" applyNumberFormat="1" applyFont="1" applyFill="1" applyProtection="1"/>
    <xf numFmtId="183" fontId="13" fillId="0" borderId="0" xfId="116" applyNumberFormat="1" applyFont="1" applyFill="1" applyAlignment="1" applyProtection="1">
      <alignment horizontal="left"/>
    </xf>
    <xf numFmtId="5" fontId="13" fillId="0" borderId="0" xfId="116" applyNumberFormat="1" applyFont="1" applyFill="1" applyProtection="1"/>
    <xf numFmtId="7" fontId="13" fillId="0" borderId="0" xfId="116" applyNumberFormat="1" applyFont="1" applyFill="1" applyProtection="1"/>
    <xf numFmtId="172" fontId="13" fillId="0" borderId="0" xfId="116" applyNumberFormat="1" applyFont="1" applyFill="1" applyProtection="1"/>
    <xf numFmtId="172" fontId="13" fillId="0" borderId="0" xfId="116" applyNumberFormat="1" applyFont="1" applyFill="1" applyAlignment="1" applyProtection="1">
      <alignment horizontal="left"/>
    </xf>
    <xf numFmtId="37" fontId="13" fillId="0" borderId="0" xfId="116" applyNumberFormat="1" applyFont="1" applyFill="1"/>
    <xf numFmtId="37" fontId="13" fillId="0" borderId="22" xfId="116" quotePrefix="1" applyFont="1" applyFill="1" applyBorder="1" applyAlignment="1">
      <alignment horizontal="left"/>
    </xf>
    <xf numFmtId="37" fontId="13" fillId="0" borderId="23" xfId="116" applyFont="1" applyFill="1" applyBorder="1"/>
    <xf numFmtId="37" fontId="13" fillId="0" borderId="24" xfId="116" applyFont="1" applyFill="1" applyBorder="1"/>
    <xf numFmtId="37" fontId="13" fillId="0" borderId="0" xfId="116" applyFont="1" applyFill="1" applyBorder="1" applyAlignment="1">
      <alignment horizontal="right"/>
    </xf>
    <xf numFmtId="37" fontId="13" fillId="0" borderId="9" xfId="116" applyFont="1" applyFill="1" applyBorder="1"/>
    <xf numFmtId="37" fontId="13" fillId="0" borderId="25" xfId="116" applyFont="1" applyFill="1" applyBorder="1"/>
    <xf numFmtId="37" fontId="13" fillId="0" borderId="26" xfId="116" applyFont="1" applyFill="1" applyBorder="1"/>
    <xf numFmtId="194" fontId="13" fillId="0" borderId="0" xfId="116" applyNumberFormat="1" applyFont="1" applyFill="1" applyProtection="1"/>
    <xf numFmtId="5" fontId="13" fillId="0" borderId="0" xfId="116" applyNumberFormat="1" applyFont="1" applyFill="1" applyProtection="1">
      <protection locked="0"/>
    </xf>
    <xf numFmtId="178" fontId="13" fillId="0" borderId="0" xfId="116" applyNumberFormat="1" applyFont="1" applyFill="1" applyProtection="1"/>
    <xf numFmtId="0" fontId="13" fillId="0" borderId="0" xfId="116" quotePrefix="1" applyNumberFormat="1" applyFont="1" applyFill="1" applyProtection="1">
      <protection locked="0"/>
    </xf>
    <xf numFmtId="166" fontId="1" fillId="0" borderId="0" xfId="135" applyNumberFormat="1" applyFont="1" applyFill="1"/>
    <xf numFmtId="10" fontId="13" fillId="0" borderId="0" xfId="116" applyNumberFormat="1" applyFont="1" applyFill="1" applyAlignment="1" applyProtection="1">
      <alignment horizontal="center"/>
    </xf>
    <xf numFmtId="37" fontId="13" fillId="0" borderId="17" xfId="116" applyFont="1" applyFill="1" applyBorder="1" applyProtection="1"/>
    <xf numFmtId="39" fontId="13" fillId="0" borderId="0" xfId="116" applyNumberFormat="1" applyFont="1" applyFill="1" applyProtection="1">
      <protection locked="0"/>
    </xf>
    <xf numFmtId="37" fontId="13" fillId="0" borderId="0" xfId="116" quotePrefix="1" applyFont="1" applyFill="1" applyAlignment="1">
      <alignment horizontal="center"/>
    </xf>
    <xf numFmtId="10" fontId="46" fillId="0" borderId="0" xfId="116" applyNumberFormat="1" applyFont="1" applyFill="1" applyAlignment="1" applyProtection="1">
      <alignment horizontal="center"/>
    </xf>
    <xf numFmtId="10" fontId="46" fillId="0" borderId="0" xfId="116" applyNumberFormat="1" applyFont="1" applyFill="1" applyAlignment="1" applyProtection="1">
      <alignment horizontal="right"/>
    </xf>
    <xf numFmtId="37" fontId="13" fillId="0" borderId="0" xfId="116" quotePrefix="1" applyFont="1" applyFill="1"/>
    <xf numFmtId="37" fontId="13" fillId="0" borderId="0" xfId="116" applyFont="1" applyFill="1" applyAlignment="1" applyProtection="1">
      <alignment horizontal="centerContinuous"/>
    </xf>
    <xf numFmtId="37" fontId="13" fillId="0" borderId="0" xfId="116" applyFont="1" applyFill="1" applyAlignment="1">
      <alignment horizontal="centerContinuous"/>
    </xf>
    <xf numFmtId="175" fontId="13" fillId="0" borderId="0" xfId="116" applyNumberFormat="1" applyFont="1" applyFill="1" applyProtection="1"/>
    <xf numFmtId="179" fontId="13" fillId="0" borderId="0" xfId="116" applyNumberFormat="1" applyFont="1" applyFill="1" applyProtection="1"/>
    <xf numFmtId="196" fontId="55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Alignment="1">
      <alignment wrapText="1"/>
    </xf>
    <xf numFmtId="0" fontId="60" fillId="0" borderId="0" xfId="0" applyFont="1" applyFill="1" applyAlignment="1">
      <alignment horizontal="center"/>
    </xf>
    <xf numFmtId="43" fontId="60" fillId="0" borderId="0" xfId="0" applyNumberFormat="1" applyFont="1" applyFill="1" applyAlignment="1">
      <alignment horizontal="center"/>
    </xf>
    <xf numFmtId="0" fontId="45" fillId="0" borderId="0" xfId="0" applyFont="1" applyFill="1" applyAlignment="1" applyProtection="1">
      <alignment horizontal="right"/>
    </xf>
    <xf numFmtId="175" fontId="55" fillId="0" borderId="14" xfId="0" applyNumberFormat="1" applyFont="1" applyFill="1" applyBorder="1" applyProtection="1"/>
    <xf numFmtId="37" fontId="52" fillId="0" borderId="0" xfId="0" applyNumberFormat="1" applyFont="1" applyFill="1" applyProtection="1"/>
    <xf numFmtId="37" fontId="52" fillId="0" borderId="13" xfId="0" applyNumberFormat="1" applyFont="1" applyFill="1" applyBorder="1" applyProtection="1"/>
    <xf numFmtId="184" fontId="52" fillId="0" borderId="0" xfId="121" applyNumberFormat="1" applyFont="1" applyFill="1" applyAlignment="1" applyProtection="1">
      <alignment horizontal="right"/>
    </xf>
    <xf numFmtId="0" fontId="50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179" fontId="1" fillId="0" borderId="0" xfId="0" applyNumberFormat="1" applyFont="1" applyFill="1" applyProtection="1"/>
  </cellXfs>
  <cellStyles count="154">
    <cellStyle name="_x0013_" xfId="1"/>
    <cellStyle name="_x0013_ 2" xfId="2"/>
    <cellStyle name="_x0013__Exp Adj's" xfId="3"/>
    <cellStyle name="_x0013__Exp Adj's_MFR G-9 TY" xfId="4"/>
    <cellStyle name="_x0013__MFR C-5 HY" xfId="5"/>
    <cellStyle name="_x0013__MFR C-5 HY_MFR G-9 TY" xfId="6"/>
    <cellStyle name="_x0013__MFR C-5 PY" xfId="7"/>
    <cellStyle name="_x0013__MFR C-5 PY_MFR G-9 TY" xfId="8"/>
    <cellStyle name="_x0013__MFR C-5 TY" xfId="9"/>
    <cellStyle name="_x0013__MFR C-5 TY_MFR G-9 TY" xfId="10"/>
    <cellStyle name="_x0013__MFR G-9 TY" xfId="11"/>
    <cellStyle name="_x0013__MONTHLY DATA" xfId="12"/>
    <cellStyle name="_Multiple" xfId="13"/>
    <cellStyle name="_MultipleSpace" xfId="14"/>
    <cellStyle name="_x0013__Ratebase" xfId="15"/>
    <cellStyle name="_x0013__Ratebase_MFR G-9 TY" xfId="16"/>
    <cellStyle name="_x0013__RC-Ex. 14" xfId="17"/>
    <cellStyle name="_x0013__RC-Exh. 4,5,6,7" xfId="18"/>
    <cellStyle name="_x0013__RC-Exh. 5,6,7,8" xfId="19"/>
    <cellStyle name="20% - Accent1" xfId="20" builtinId="30" customBuiltin="1"/>
    <cellStyle name="20% - Accent1 2" xfId="21"/>
    <cellStyle name="20% - Accent1 3" xfId="22"/>
    <cellStyle name="20% - Accent2" xfId="23" builtinId="34" customBuiltin="1"/>
    <cellStyle name="20% - Accent2 2" xfId="24"/>
    <cellStyle name="20% - Accent2 3" xfId="25"/>
    <cellStyle name="20% - Accent3" xfId="26" builtinId="38" customBuiltin="1"/>
    <cellStyle name="20% - Accent3 2" xfId="27"/>
    <cellStyle name="20% - Accent3 3" xfId="28"/>
    <cellStyle name="20% - Accent4" xfId="29" builtinId="42" customBuiltin="1"/>
    <cellStyle name="20% - Accent4 2" xfId="30"/>
    <cellStyle name="20% - Accent4 3" xfId="31"/>
    <cellStyle name="20% - Accent5" xfId="32" builtinId="46" customBuiltin="1"/>
    <cellStyle name="20% - Accent5 2" xfId="33"/>
    <cellStyle name="20% - Accent5 3" xfId="34"/>
    <cellStyle name="20% - Accent6" xfId="35" builtinId="50" customBuiltin="1"/>
    <cellStyle name="20% - Accent6 2" xfId="36"/>
    <cellStyle name="20% - Accent6 3" xfId="37"/>
    <cellStyle name="40% - Accent1" xfId="38" builtinId="31" customBuiltin="1"/>
    <cellStyle name="40% - Accent1 2" xfId="39"/>
    <cellStyle name="40% - Accent1 3" xfId="40"/>
    <cellStyle name="40% - Accent2" xfId="41" builtinId="35" customBuiltin="1"/>
    <cellStyle name="40% - Accent2 2" xfId="42"/>
    <cellStyle name="40% - Accent2 3" xfId="43"/>
    <cellStyle name="40% - Accent3" xfId="44" builtinId="39" customBuiltin="1"/>
    <cellStyle name="40% - Accent3 2" xfId="45"/>
    <cellStyle name="40% - Accent3 3" xfId="46"/>
    <cellStyle name="40% - Accent4" xfId="47" builtinId="43" customBuiltin="1"/>
    <cellStyle name="40% - Accent4 2" xfId="48"/>
    <cellStyle name="40% - Accent4 3" xfId="49"/>
    <cellStyle name="40% - Accent5" xfId="50" builtinId="47" customBuiltin="1"/>
    <cellStyle name="40% - Accent5 2" xfId="51"/>
    <cellStyle name="40% - Accent5 3" xfId="52"/>
    <cellStyle name="40% - Accent6" xfId="53" builtinId="51" customBuiltin="1"/>
    <cellStyle name="40% - Accent6 2" xfId="54"/>
    <cellStyle name="40% - Accent6 3" xfId="55"/>
    <cellStyle name="60% - Accent1" xfId="56" builtinId="32" customBuiltin="1"/>
    <cellStyle name="60% - Accent1 2" xfId="57"/>
    <cellStyle name="60% - Accent2" xfId="58" builtinId="36" customBuiltin="1"/>
    <cellStyle name="60% - Accent2 2" xfId="59"/>
    <cellStyle name="60% - Accent3" xfId="60" builtinId="40" customBuiltin="1"/>
    <cellStyle name="60% - Accent3 2" xfId="61"/>
    <cellStyle name="60% - Accent4" xfId="62" builtinId="44" customBuiltin="1"/>
    <cellStyle name="60% - Accent4 2" xfId="63"/>
    <cellStyle name="60% - Accent5" xfId="64" builtinId="48" customBuiltin="1"/>
    <cellStyle name="60% - Accent5 2" xfId="65"/>
    <cellStyle name="60% - Accent6" xfId="66" builtinId="52" customBuiltin="1"/>
    <cellStyle name="60% - Accent6 2" xfId="67"/>
    <cellStyle name="Accent1" xfId="68" builtinId="29" customBuiltin="1"/>
    <cellStyle name="Accent1 2" xfId="69"/>
    <cellStyle name="Accent2" xfId="70" builtinId="33" customBuiltin="1"/>
    <cellStyle name="Accent2 2" xfId="71"/>
    <cellStyle name="Accent3" xfId="72" builtinId="37" customBuiltin="1"/>
    <cellStyle name="Accent3 2" xfId="73"/>
    <cellStyle name="Accent4" xfId="74" builtinId="41" customBuiltin="1"/>
    <cellStyle name="Accent4 2" xfId="75"/>
    <cellStyle name="Accent5" xfId="76" builtinId="45" customBuiltin="1"/>
    <cellStyle name="Accent5 2" xfId="77"/>
    <cellStyle name="Accent6" xfId="78" builtinId="49" customBuiltin="1"/>
    <cellStyle name="Accent6 2" xfId="79"/>
    <cellStyle name="Bad" xfId="80" builtinId="27" customBuiltin="1"/>
    <cellStyle name="Bad 2" xfId="81"/>
    <cellStyle name="Calculation" xfId="82" builtinId="22" customBuiltin="1"/>
    <cellStyle name="Calculation 2" xfId="83"/>
    <cellStyle name="CENTER" xfId="84"/>
    <cellStyle name="Check Cell" xfId="85" builtinId="23" customBuiltin="1"/>
    <cellStyle name="Check Cell 2" xfId="86"/>
    <cellStyle name="Comma" xfId="87" builtinId="3"/>
    <cellStyle name="Comma 2" xfId="88"/>
    <cellStyle name="Comma 2 2" xfId="89"/>
    <cellStyle name="Comma 3" xfId="90"/>
    <cellStyle name="Currency [2]" xfId="91"/>
    <cellStyle name="Currency 2" xfId="92"/>
    <cellStyle name="Explanatory Text" xfId="93" builtinId="53" customBuiltin="1"/>
    <cellStyle name="Explanatory Text 2" xfId="94"/>
    <cellStyle name="Good" xfId="95" builtinId="26" customBuiltin="1"/>
    <cellStyle name="Good 2" xfId="96"/>
    <cellStyle name="Heading 1" xfId="97" builtinId="16" customBuiltin="1"/>
    <cellStyle name="Heading 1 2" xfId="98"/>
    <cellStyle name="Heading 2" xfId="99" builtinId="17" customBuiltin="1"/>
    <cellStyle name="Heading 2 2" xfId="100"/>
    <cellStyle name="Heading 3" xfId="101" builtinId="18" customBuiltin="1"/>
    <cellStyle name="Heading 3 2" xfId="102"/>
    <cellStyle name="Heading 4" xfId="103" builtinId="19" customBuiltin="1"/>
    <cellStyle name="Heading 4 2" xfId="104"/>
    <cellStyle name="Input" xfId="105" builtinId="20" customBuiltin="1"/>
    <cellStyle name="Input 2" xfId="106"/>
    <cellStyle name="Linked Cell" xfId="107" builtinId="24" customBuiltin="1"/>
    <cellStyle name="Linked Cell 2" xfId="108"/>
    <cellStyle name="Neutral" xfId="109" builtinId="28" customBuiltin="1"/>
    <cellStyle name="Neutral 2" xfId="110"/>
    <cellStyle name="Normal" xfId="0" builtinId="0"/>
    <cellStyle name="Normal 2" xfId="111"/>
    <cellStyle name="Normal 2 2" xfId="112"/>
    <cellStyle name="Normal 2 3" xfId="113"/>
    <cellStyle name="Normal 2_MFR C-5 HY" xfId="114"/>
    <cellStyle name="Normal 3" xfId="115"/>
    <cellStyle name="Normal 4" xfId="116"/>
    <cellStyle name="Normal 4 2" xfId="117"/>
    <cellStyle name="Normal 4_RC-Ex. 14" xfId="118"/>
    <cellStyle name="Normal 5" xfId="119"/>
    <cellStyle name="Normal 6" xfId="120"/>
    <cellStyle name="Normal_MFR C-1 TY" xfId="121"/>
    <cellStyle name="Normal_MFR C-5 TY" xfId="122"/>
    <cellStyle name="Normal_MFR G-9 TY" xfId="123"/>
    <cellStyle name="Note" xfId="124" builtinId="10" customBuiltin="1"/>
    <cellStyle name="Note 2" xfId="125"/>
    <cellStyle name="Note 2 2" xfId="126"/>
    <cellStyle name="Note 2_RC-Ex. 14" xfId="127"/>
    <cellStyle name="Note 3" xfId="128"/>
    <cellStyle name="Note 4" xfId="129"/>
    <cellStyle name="Output" xfId="130" builtinId="21" customBuiltin="1"/>
    <cellStyle name="Output 2" xfId="131"/>
    <cellStyle name="OUTPUT AMOUNTS" xfId="132"/>
    <cellStyle name="OUTPUT LINE ITEMS" xfId="133"/>
    <cellStyle name="Percent" xfId="134" builtinId="5"/>
    <cellStyle name="Percent 2" xfId="135"/>
    <cellStyle name="Percent 2 2" xfId="136"/>
    <cellStyle name="Percent 3" xfId="137"/>
    <cellStyle name="STYL0 - Style1" xfId="138"/>
    <cellStyle name="STYL1 - Style2" xfId="139"/>
    <cellStyle name="STYL2 - Style3" xfId="140"/>
    <cellStyle name="STYL3 - Style4" xfId="141"/>
    <cellStyle name="STYL4 - Style5" xfId="142"/>
    <cellStyle name="STYL5 - Style6" xfId="143"/>
    <cellStyle name="STYL6 - Style7" xfId="144"/>
    <cellStyle name="STYL7 - Style8" xfId="145"/>
    <cellStyle name="Style 1" xfId="146"/>
    <cellStyle name="Tim" xfId="147"/>
    <cellStyle name="Title" xfId="148" builtinId="15" customBuiltin="1"/>
    <cellStyle name="Title 2" xfId="149"/>
    <cellStyle name="Total" xfId="150" builtinId="25" customBuiltin="1"/>
    <cellStyle name="Total 2" xfId="151"/>
    <cellStyle name="Warning Text" xfId="152" builtinId="11" customBuiltin="1"/>
    <cellStyle name="Warning Text 2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666750</xdr:colOff>
      <xdr:row>68</xdr:row>
      <xdr:rowOff>9525</xdr:rowOff>
    </xdr:from>
    <xdr:to>
      <xdr:col>20</xdr:col>
      <xdr:colOff>228600</xdr:colOff>
      <xdr:row>73</xdr:row>
      <xdr:rowOff>0</xdr:rowOff>
    </xdr:to>
    <xdr:sp macro="" textlink="">
      <xdr:nvSpPr>
        <xdr:cNvPr id="2112" name="AutoShape 1"/>
        <xdr:cNvSpPr>
          <a:spLocks/>
        </xdr:cNvSpPr>
      </xdr:nvSpPr>
      <xdr:spPr bwMode="auto">
        <a:xfrm>
          <a:off x="20831175" y="14582775"/>
          <a:ext cx="314325" cy="1038225"/>
        </a:xfrm>
        <a:prstGeom prst="rightBrace">
          <a:avLst>
            <a:gd name="adj1" fmla="val 275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676275</xdr:colOff>
      <xdr:row>73</xdr:row>
      <xdr:rowOff>28575</xdr:rowOff>
    </xdr:from>
    <xdr:to>
      <xdr:col>20</xdr:col>
      <xdr:colOff>238125</xdr:colOff>
      <xdr:row>74</xdr:row>
      <xdr:rowOff>152400</xdr:rowOff>
    </xdr:to>
    <xdr:sp macro="" textlink="">
      <xdr:nvSpPr>
        <xdr:cNvPr id="2113" name="AutoShape 2"/>
        <xdr:cNvSpPr>
          <a:spLocks/>
        </xdr:cNvSpPr>
      </xdr:nvSpPr>
      <xdr:spPr bwMode="auto">
        <a:xfrm>
          <a:off x="20840700" y="15649575"/>
          <a:ext cx="314325" cy="333375"/>
        </a:xfrm>
        <a:prstGeom prst="rightBrace">
          <a:avLst>
            <a:gd name="adj1" fmla="val 88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E/ROE/2011/03%20-%20March/Surveillance%2003_2011%20v3%20-%20A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ls/2010/01-January/ACTUALS%20INTERFACE%202010%20January%20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Planning%20-%202011/Budret%20-%20Rate%20Case/BUDRET%20REPORTS%202010.12%20RC%20v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FT/Critical/Financial%20Planning/Rate%20Case%20Planning%20-%202011/Budret%20-%20Rate%20Case/BUDRET%20REPORTS%202010.12%20RC%20v4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%20C-2%20TY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%20C-5%20TY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%20C-1%20T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ed%20Return/2011/03%20-%20March/BUDRET%20REPORTS%202011.03%20v2%20-%20G%20MFRs%20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put"/>
      <sheetName val="From Actuals"/>
      <sheetName val="From Budget Deviation"/>
      <sheetName val="Checks"/>
      <sheetName val="RRCOMB1A"/>
      <sheetName val="RRCOMB1"/>
      <sheetName val="RRCOMB2"/>
      <sheetName val="RRCOMB3"/>
      <sheetName val="RRCOMB4"/>
      <sheetName val="Wholesale 12MTD"/>
      <sheetName val="NOI RECON"/>
      <sheetName val="Cover Sheet"/>
      <sheetName val="Schedule 1"/>
      <sheetName val="Schedule 2, 1 of 3"/>
      <sheetName val="Schedule 2, 2 of 3"/>
      <sheetName val="Schedule 2, 3 of 3"/>
      <sheetName val="Schedule 3, 1 of 3"/>
      <sheetName val="Schedule 3, 2 of 3"/>
      <sheetName val="Schedule 3, 3 of 3"/>
      <sheetName val="Schedule 4"/>
      <sheetName val="Schedule 5"/>
      <sheetName val="Storm Accrual"/>
      <sheetName val="Analysis"/>
      <sheetName val="Schedule A"/>
      <sheetName val="Schedule B"/>
      <sheetName val="Graph"/>
      <sheetName val="RETURNS"/>
      <sheetName val="Schedule 4a"/>
      <sheetName val="Schedule C"/>
      <sheetName val="CM Juris per books"/>
      <sheetName val="RWSettings"/>
      <sheetName val="ModelData"/>
      <sheetName val="Labels"/>
      <sheetName val="ListboxStore"/>
    </sheetNames>
    <sheetDataSet>
      <sheetData sheetId="0"/>
      <sheetData sheetId="1"/>
      <sheetData sheetId="2"/>
      <sheetData sheetId="3"/>
      <sheetData sheetId="4"/>
      <sheetData sheetId="5">
        <row r="55">
          <cell r="K55">
            <v>14769612</v>
          </cell>
        </row>
        <row r="156">
          <cell r="H156">
            <v>15086375</v>
          </cell>
        </row>
        <row r="179">
          <cell r="C179">
            <v>0</v>
          </cell>
        </row>
        <row r="182">
          <cell r="C182">
            <v>16265385</v>
          </cell>
        </row>
        <row r="477">
          <cell r="K477">
            <v>938279</v>
          </cell>
        </row>
        <row r="516">
          <cell r="K516">
            <v>0</v>
          </cell>
        </row>
      </sheetData>
      <sheetData sheetId="6">
        <row r="29">
          <cell r="B29">
            <v>40354804.57</v>
          </cell>
          <cell r="N29">
            <v>0</v>
          </cell>
        </row>
        <row r="166">
          <cell r="I166">
            <v>268663560.84766263</v>
          </cell>
        </row>
        <row r="685">
          <cell r="D685">
            <v>97998345.260000005</v>
          </cell>
        </row>
        <row r="700">
          <cell r="H700">
            <v>6.3291885000000006E-2</v>
          </cell>
        </row>
        <row r="745">
          <cell r="G745">
            <v>1075281238.7852702</v>
          </cell>
          <cell r="K745">
            <v>49222930.920000002</v>
          </cell>
        </row>
        <row r="748">
          <cell r="D748">
            <v>1191081752.306154</v>
          </cell>
        </row>
      </sheetData>
      <sheetData sheetId="7">
        <row r="28">
          <cell r="B28">
            <v>589561852.10000002</v>
          </cell>
          <cell r="D28">
            <v>10427964.57</v>
          </cell>
          <cell r="K28">
            <v>603329320.74000001</v>
          </cell>
        </row>
        <row r="49">
          <cell r="N49">
            <v>3380216.45</v>
          </cell>
        </row>
        <row r="51">
          <cell r="N51">
            <v>29079897.899999999</v>
          </cell>
        </row>
        <row r="111">
          <cell r="B111">
            <v>3290650</v>
          </cell>
        </row>
        <row r="147">
          <cell r="L147">
            <v>210831570.31999999</v>
          </cell>
        </row>
        <row r="148">
          <cell r="L148">
            <v>2266728.6500000018</v>
          </cell>
        </row>
        <row r="387">
          <cell r="O387">
            <v>336117265.78000003</v>
          </cell>
        </row>
      </sheetData>
      <sheetData sheetId="8">
        <row r="25">
          <cell r="N25">
            <v>3958173.16</v>
          </cell>
          <cell r="O25">
            <v>-10770091.049999999</v>
          </cell>
        </row>
        <row r="29">
          <cell r="N29">
            <v>4584344</v>
          </cell>
          <cell r="O29">
            <v>-10185617</v>
          </cell>
        </row>
        <row r="322">
          <cell r="G322">
            <v>368215630.48000002</v>
          </cell>
        </row>
        <row r="326">
          <cell r="G326">
            <v>315189746</v>
          </cell>
          <cell r="L326">
            <v>13498114</v>
          </cell>
        </row>
        <row r="430">
          <cell r="C430">
            <v>116742287.28652766</v>
          </cell>
          <cell r="E430">
            <v>11428289.352376439</v>
          </cell>
          <cell r="H430">
            <v>19513899.413888883</v>
          </cell>
          <cell r="K430">
            <v>1664803.6923076899</v>
          </cell>
        </row>
        <row r="562">
          <cell r="G562">
            <v>5926529</v>
          </cell>
        </row>
        <row r="864">
          <cell r="L864">
            <v>6323273.3998633325</v>
          </cell>
        </row>
        <row r="1030">
          <cell r="C1030">
            <v>465719680.06000006</v>
          </cell>
          <cell r="E1030">
            <v>-31705134.799999997</v>
          </cell>
        </row>
        <row r="1036">
          <cell r="C1036">
            <v>19176327.499999996</v>
          </cell>
          <cell r="S1036">
            <v>0</v>
          </cell>
        </row>
        <row r="1039">
          <cell r="C1039">
            <v>729974.23210400017</v>
          </cell>
        </row>
        <row r="1040">
          <cell r="C1040">
            <v>146600471.49399999</v>
          </cell>
        </row>
        <row r="1041">
          <cell r="C1041">
            <v>10970292.743896008</v>
          </cell>
        </row>
      </sheetData>
      <sheetData sheetId="9">
        <row r="71">
          <cell r="E71">
            <v>210831570.31999999</v>
          </cell>
        </row>
        <row r="72">
          <cell r="E72">
            <v>2266728.6500000018</v>
          </cell>
        </row>
        <row r="84">
          <cell r="E84">
            <v>10970292.743896008</v>
          </cell>
        </row>
        <row r="177">
          <cell r="A177" t="str">
            <v>Gulf Power Company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I Output"/>
      <sheetName val="FIN MOD"/>
      <sheetName val="SURVEILLANCE"/>
      <sheetName val="BUDRET"/>
      <sheetName val="VOM"/>
      <sheetName val="LTD Amort Sched"/>
      <sheetName val="UPS Income Statement"/>
      <sheetName val="UPS Sales"/>
      <sheetName val="Econ Dev"/>
      <sheetName val="cm"/>
      <sheetName val="Detail"/>
      <sheetName val="Totals"/>
      <sheetName val="CASPR Sofia Q"/>
      <sheetName val="CASPR Totals - CM"/>
      <sheetName val="CASPR Totals - EB"/>
      <sheetName val="37M PCB"/>
      <sheetName val="3.93M PCB"/>
      <sheetName val="42M PCB"/>
      <sheetName val="32.55M PCB"/>
      <sheetName val="29.075M PCB"/>
      <sheetName val="65.4M PCB"/>
      <sheetName val="Int Bearing CWIP Joy"/>
      <sheetName val="Depr Accrual Sofia"/>
      <sheetName val="All Needed Sofia Query"/>
      <sheetName val="Liaison"/>
      <sheetName val="Transmission Mandy"/>
      <sheetName val="Economy Mandy"/>
      <sheetName val="Capacity_Mandy"/>
      <sheetName val="Capacity Rev Mandy"/>
      <sheetName val="Interch.Analys Mandy"/>
      <sheetName val="ECRC O&amp;M Mandy"/>
      <sheetName val="ECRC Rev Req Mandy"/>
      <sheetName val="ECRC Revenue Mandy"/>
      <sheetName val="ECCR Rev Paul"/>
      <sheetName val="ECCR Exp Paul"/>
      <sheetName val="FERCREC Charl"/>
      <sheetName val="Schedule Charl"/>
      <sheetName val="CRFACTOR Charl"/>
      <sheetName val="Gen Fuel Costs Charl"/>
      <sheetName val="BASE RATES"/>
      <sheetName val="STORM"/>
      <sheetName val="12MTD O&amp;M NOI"/>
      <sheetName val="Sch 4"/>
      <sheetName val="Sch 4-A"/>
      <sheetName val="Sch 5"/>
      <sheetName val="Sch 10 Sht 1"/>
      <sheetName val="Sch 10 Sht 2"/>
      <sheetName val="Sch 10-A"/>
      <sheetName val="Sch 11"/>
      <sheetName val="Sch 13"/>
      <sheetName val="Sch 14"/>
      <sheetName val="Sch 15"/>
      <sheetName val="Sch 16"/>
      <sheetName val="Sch 21"/>
      <sheetName val="Sch 36"/>
      <sheetName val="Sch 39"/>
      <sheetName val="Sch 57"/>
      <sheetName val="Sch 58"/>
      <sheetName val="Sch 60"/>
      <sheetName val="Sch 71-B"/>
      <sheetName val="Sch 71-C"/>
      <sheetName val="Sch 72"/>
      <sheetName val="Sch 73"/>
      <sheetName val="Sch 75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FERC</v>
          </cell>
          <cell r="C1" t="str">
            <v>SUB</v>
          </cell>
          <cell r="G1" t="str">
            <v>CM</v>
          </cell>
          <cell r="I1" t="str">
            <v>ENDBAL</v>
          </cell>
        </row>
        <row r="2">
          <cell r="B2">
            <v>121</v>
          </cell>
          <cell r="C2">
            <v>100</v>
          </cell>
          <cell r="G2">
            <v>5341.87</v>
          </cell>
          <cell r="I2">
            <v>14950958.960000001</v>
          </cell>
        </row>
        <row r="3">
          <cell r="B3">
            <v>121</v>
          </cell>
          <cell r="C3">
            <v>110</v>
          </cell>
          <cell r="G3">
            <v>1738</v>
          </cell>
          <cell r="I3">
            <v>1738</v>
          </cell>
        </row>
        <row r="4">
          <cell r="B4">
            <v>121</v>
          </cell>
          <cell r="C4">
            <v>130</v>
          </cell>
          <cell r="G4">
            <v>-1738</v>
          </cell>
          <cell r="I4">
            <v>-1738</v>
          </cell>
        </row>
        <row r="5">
          <cell r="B5">
            <v>122</v>
          </cell>
          <cell r="C5">
            <v>101</v>
          </cell>
          <cell r="G5">
            <v>-28443.81</v>
          </cell>
          <cell r="I5">
            <v>-1498416.08</v>
          </cell>
        </row>
        <row r="6">
          <cell r="B6">
            <v>123</v>
          </cell>
          <cell r="C6">
            <v>140</v>
          </cell>
          <cell r="G6">
            <v>0</v>
          </cell>
          <cell r="I6">
            <v>61662.18</v>
          </cell>
        </row>
        <row r="7">
          <cell r="B7">
            <v>123</v>
          </cell>
          <cell r="C7">
            <v>141</v>
          </cell>
          <cell r="G7">
            <v>-211.23</v>
          </cell>
          <cell r="I7">
            <v>17384.52</v>
          </cell>
        </row>
        <row r="8">
          <cell r="B8">
            <v>123</v>
          </cell>
          <cell r="C8">
            <v>150</v>
          </cell>
          <cell r="G8">
            <v>11308.4</v>
          </cell>
          <cell r="I8">
            <v>846928.09</v>
          </cell>
        </row>
        <row r="9">
          <cell r="B9">
            <v>123</v>
          </cell>
          <cell r="C9">
            <v>151</v>
          </cell>
          <cell r="G9">
            <v>64405.01</v>
          </cell>
          <cell r="I9">
            <v>215837.25</v>
          </cell>
        </row>
        <row r="10">
          <cell r="B10">
            <v>123</v>
          </cell>
          <cell r="C10">
            <v>160</v>
          </cell>
          <cell r="G10">
            <v>0</v>
          </cell>
          <cell r="I10">
            <v>965000</v>
          </cell>
        </row>
        <row r="11">
          <cell r="B11">
            <v>123</v>
          </cell>
          <cell r="C11">
            <v>161</v>
          </cell>
          <cell r="G11">
            <v>-3690.12</v>
          </cell>
          <cell r="I11">
            <v>412761.58</v>
          </cell>
        </row>
        <row r="12">
          <cell r="B12">
            <v>128</v>
          </cell>
          <cell r="C12">
            <v>1</v>
          </cell>
          <cell r="G12">
            <v>8750504</v>
          </cell>
          <cell r="I12">
            <v>11770184</v>
          </cell>
        </row>
        <row r="13">
          <cell r="B13">
            <v>128</v>
          </cell>
          <cell r="C13">
            <v>2</v>
          </cell>
          <cell r="G13">
            <v>0</v>
          </cell>
          <cell r="I13">
            <v>1500000</v>
          </cell>
        </row>
        <row r="14">
          <cell r="B14">
            <v>128</v>
          </cell>
          <cell r="C14">
            <v>3</v>
          </cell>
          <cell r="G14">
            <v>0</v>
          </cell>
          <cell r="I14">
            <v>1500000</v>
          </cell>
        </row>
        <row r="15">
          <cell r="B15">
            <v>128</v>
          </cell>
          <cell r="C15">
            <v>911</v>
          </cell>
          <cell r="G15">
            <v>-48991666</v>
          </cell>
          <cell r="I15">
            <v>0</v>
          </cell>
        </row>
        <row r="16">
          <cell r="B16">
            <v>128</v>
          </cell>
          <cell r="C16">
            <v>920</v>
          </cell>
          <cell r="G16">
            <v>48905833</v>
          </cell>
          <cell r="I16">
            <v>48905833</v>
          </cell>
        </row>
        <row r="17">
          <cell r="B17">
            <v>128</v>
          </cell>
          <cell r="C17">
            <v>922</v>
          </cell>
          <cell r="G17">
            <v>517206</v>
          </cell>
          <cell r="I17">
            <v>3773427</v>
          </cell>
        </row>
        <row r="18">
          <cell r="B18">
            <v>131</v>
          </cell>
          <cell r="C18">
            <v>10002</v>
          </cell>
          <cell r="G18">
            <v>-182.8</v>
          </cell>
          <cell r="I18">
            <v>7138.47</v>
          </cell>
        </row>
        <row r="19">
          <cell r="B19">
            <v>131</v>
          </cell>
          <cell r="C19">
            <v>10102</v>
          </cell>
          <cell r="G19">
            <v>191386.57</v>
          </cell>
          <cell r="I19">
            <v>934422.66</v>
          </cell>
        </row>
        <row r="20">
          <cell r="B20">
            <v>131</v>
          </cell>
          <cell r="C20">
            <v>10248</v>
          </cell>
          <cell r="G20">
            <v>1108.79</v>
          </cell>
          <cell r="I20">
            <v>7175.5</v>
          </cell>
        </row>
        <row r="21">
          <cell r="B21">
            <v>131</v>
          </cell>
          <cell r="C21">
            <v>10322</v>
          </cell>
          <cell r="G21">
            <v>-83.75</v>
          </cell>
          <cell r="I21">
            <v>143.66</v>
          </cell>
        </row>
        <row r="22">
          <cell r="B22">
            <v>131</v>
          </cell>
          <cell r="C22">
            <v>10464</v>
          </cell>
          <cell r="G22">
            <v>-20000</v>
          </cell>
          <cell r="I22">
            <v>0</v>
          </cell>
        </row>
        <row r="23">
          <cell r="B23">
            <v>131</v>
          </cell>
          <cell r="C23">
            <v>10490</v>
          </cell>
          <cell r="G23">
            <v>0</v>
          </cell>
          <cell r="I23">
            <v>938.74</v>
          </cell>
        </row>
        <row r="24">
          <cell r="B24">
            <v>131</v>
          </cell>
          <cell r="C24">
            <v>10521</v>
          </cell>
          <cell r="G24">
            <v>290.91000000000003</v>
          </cell>
          <cell r="I24">
            <v>10020.07</v>
          </cell>
        </row>
        <row r="25">
          <cell r="B25">
            <v>131</v>
          </cell>
          <cell r="C25">
            <v>10531</v>
          </cell>
          <cell r="G25">
            <v>2226.54</v>
          </cell>
          <cell r="I25">
            <v>16505.080000000002</v>
          </cell>
        </row>
        <row r="26">
          <cell r="B26">
            <v>131</v>
          </cell>
          <cell r="C26">
            <v>10566</v>
          </cell>
          <cell r="G26">
            <v>11624.04</v>
          </cell>
          <cell r="I26">
            <v>320269.71000000002</v>
          </cell>
        </row>
        <row r="27">
          <cell r="B27">
            <v>131</v>
          </cell>
          <cell r="C27">
            <v>10613</v>
          </cell>
          <cell r="G27">
            <v>4488.74</v>
          </cell>
          <cell r="I27">
            <v>141992.46</v>
          </cell>
        </row>
        <row r="28">
          <cell r="B28">
            <v>131</v>
          </cell>
          <cell r="C28">
            <v>10681</v>
          </cell>
          <cell r="G28">
            <v>647.09</v>
          </cell>
          <cell r="I28">
            <v>511985.59</v>
          </cell>
        </row>
        <row r="29">
          <cell r="B29">
            <v>131</v>
          </cell>
          <cell r="C29">
            <v>10777</v>
          </cell>
          <cell r="G29">
            <v>1018.67</v>
          </cell>
          <cell r="I29">
            <v>28621.13</v>
          </cell>
        </row>
        <row r="30">
          <cell r="B30">
            <v>131</v>
          </cell>
          <cell r="C30">
            <v>10801</v>
          </cell>
          <cell r="G30">
            <v>0</v>
          </cell>
          <cell r="I30">
            <v>0</v>
          </cell>
        </row>
        <row r="31">
          <cell r="B31">
            <v>131</v>
          </cell>
          <cell r="C31">
            <v>10803</v>
          </cell>
          <cell r="G31">
            <v>12552.95</v>
          </cell>
          <cell r="I31">
            <v>36458.769999999997</v>
          </cell>
        </row>
        <row r="32">
          <cell r="B32">
            <v>131</v>
          </cell>
          <cell r="C32">
            <v>10804</v>
          </cell>
          <cell r="G32">
            <v>7739.31</v>
          </cell>
          <cell r="I32">
            <v>54150.05</v>
          </cell>
        </row>
        <row r="33">
          <cell r="B33">
            <v>131</v>
          </cell>
          <cell r="C33">
            <v>10805</v>
          </cell>
          <cell r="G33">
            <v>25770.28</v>
          </cell>
          <cell r="I33">
            <v>114707.04</v>
          </cell>
        </row>
        <row r="34">
          <cell r="B34">
            <v>131</v>
          </cell>
          <cell r="C34">
            <v>10966</v>
          </cell>
          <cell r="G34">
            <v>-922.91</v>
          </cell>
          <cell r="I34">
            <v>21269.49</v>
          </cell>
        </row>
        <row r="35">
          <cell r="B35">
            <v>131</v>
          </cell>
          <cell r="C35">
            <v>11000</v>
          </cell>
          <cell r="G35">
            <v>-14669.77</v>
          </cell>
          <cell r="I35">
            <v>131841.47</v>
          </cell>
        </row>
        <row r="36">
          <cell r="B36">
            <v>131</v>
          </cell>
          <cell r="C36">
            <v>11012</v>
          </cell>
          <cell r="G36">
            <v>0</v>
          </cell>
          <cell r="I36">
            <v>10997.77</v>
          </cell>
        </row>
        <row r="37">
          <cell r="B37">
            <v>131</v>
          </cell>
          <cell r="C37">
            <v>13550</v>
          </cell>
          <cell r="G37">
            <v>44882.44</v>
          </cell>
          <cell r="I37">
            <v>273954.89</v>
          </cell>
        </row>
        <row r="38">
          <cell r="B38">
            <v>134</v>
          </cell>
          <cell r="C38">
            <v>5</v>
          </cell>
          <cell r="G38">
            <v>-500</v>
          </cell>
          <cell r="I38">
            <v>0</v>
          </cell>
        </row>
        <row r="39">
          <cell r="B39">
            <v>134</v>
          </cell>
          <cell r="C39">
            <v>8</v>
          </cell>
          <cell r="G39">
            <v>-5250</v>
          </cell>
          <cell r="I39">
            <v>0</v>
          </cell>
        </row>
        <row r="40">
          <cell r="B40">
            <v>134</v>
          </cell>
          <cell r="C40">
            <v>13</v>
          </cell>
          <cell r="G40">
            <v>5000</v>
          </cell>
          <cell r="I40">
            <v>5000</v>
          </cell>
        </row>
        <row r="41">
          <cell r="B41">
            <v>134</v>
          </cell>
          <cell r="C41">
            <v>21</v>
          </cell>
          <cell r="G41">
            <v>0</v>
          </cell>
          <cell r="I41">
            <v>6346521.9100000001</v>
          </cell>
        </row>
        <row r="42">
          <cell r="B42">
            <v>134</v>
          </cell>
          <cell r="C42">
            <v>150</v>
          </cell>
          <cell r="G42">
            <v>500</v>
          </cell>
          <cell r="I42">
            <v>500</v>
          </cell>
        </row>
        <row r="43">
          <cell r="B43">
            <v>134</v>
          </cell>
          <cell r="C43">
            <v>700</v>
          </cell>
          <cell r="G43">
            <v>-5000</v>
          </cell>
          <cell r="I43">
            <v>0</v>
          </cell>
        </row>
        <row r="44">
          <cell r="B44">
            <v>134</v>
          </cell>
          <cell r="C44">
            <v>808</v>
          </cell>
          <cell r="G44">
            <v>5250</v>
          </cell>
          <cell r="I44">
            <v>5250</v>
          </cell>
        </row>
        <row r="45">
          <cell r="B45">
            <v>135</v>
          </cell>
          <cell r="C45">
            <v>10004</v>
          </cell>
          <cell r="G45">
            <v>0</v>
          </cell>
          <cell r="I45">
            <v>5000</v>
          </cell>
        </row>
        <row r="46">
          <cell r="B46">
            <v>135</v>
          </cell>
          <cell r="C46">
            <v>10005</v>
          </cell>
          <cell r="G46">
            <v>0</v>
          </cell>
          <cell r="I46">
            <v>5000</v>
          </cell>
        </row>
        <row r="47">
          <cell r="B47">
            <v>135</v>
          </cell>
          <cell r="C47">
            <v>10012</v>
          </cell>
          <cell r="G47">
            <v>0</v>
          </cell>
          <cell r="I47">
            <v>9000</v>
          </cell>
        </row>
        <row r="48">
          <cell r="B48">
            <v>135</v>
          </cell>
          <cell r="C48">
            <v>10014</v>
          </cell>
          <cell r="G48">
            <v>0</v>
          </cell>
          <cell r="I48">
            <v>3500</v>
          </cell>
        </row>
        <row r="49">
          <cell r="B49">
            <v>135</v>
          </cell>
          <cell r="C49">
            <v>10020</v>
          </cell>
          <cell r="G49">
            <v>0</v>
          </cell>
          <cell r="I49">
            <v>25000</v>
          </cell>
        </row>
        <row r="50">
          <cell r="B50">
            <v>135</v>
          </cell>
          <cell r="C50">
            <v>10021</v>
          </cell>
          <cell r="G50">
            <v>0</v>
          </cell>
          <cell r="I50">
            <v>24000</v>
          </cell>
        </row>
        <row r="51">
          <cell r="B51">
            <v>135</v>
          </cell>
          <cell r="C51">
            <v>10023</v>
          </cell>
          <cell r="G51">
            <v>0</v>
          </cell>
          <cell r="I51">
            <v>3000</v>
          </cell>
        </row>
        <row r="52">
          <cell r="B52">
            <v>135</v>
          </cell>
          <cell r="C52">
            <v>10024</v>
          </cell>
          <cell r="G52">
            <v>0</v>
          </cell>
          <cell r="I52">
            <v>8800</v>
          </cell>
        </row>
        <row r="53">
          <cell r="B53">
            <v>135</v>
          </cell>
          <cell r="C53">
            <v>10027</v>
          </cell>
          <cell r="G53">
            <v>0</v>
          </cell>
          <cell r="I53">
            <v>7500</v>
          </cell>
        </row>
        <row r="54">
          <cell r="B54">
            <v>135</v>
          </cell>
          <cell r="C54">
            <v>10030</v>
          </cell>
          <cell r="G54">
            <v>0</v>
          </cell>
          <cell r="I54">
            <v>3500</v>
          </cell>
        </row>
        <row r="55">
          <cell r="B55">
            <v>135</v>
          </cell>
          <cell r="C55">
            <v>10031</v>
          </cell>
          <cell r="G55">
            <v>0</v>
          </cell>
          <cell r="I55">
            <v>130000</v>
          </cell>
        </row>
        <row r="56">
          <cell r="B56">
            <v>135</v>
          </cell>
          <cell r="C56">
            <v>10048</v>
          </cell>
          <cell r="G56">
            <v>0</v>
          </cell>
          <cell r="I56">
            <v>77863.259999999995</v>
          </cell>
        </row>
        <row r="57">
          <cell r="B57">
            <v>142</v>
          </cell>
          <cell r="C57">
            <v>100</v>
          </cell>
          <cell r="G57">
            <v>28630316.370000001</v>
          </cell>
          <cell r="I57">
            <v>92528730.959999993</v>
          </cell>
        </row>
        <row r="58">
          <cell r="B58">
            <v>142</v>
          </cell>
          <cell r="C58">
            <v>114</v>
          </cell>
          <cell r="G58">
            <v>2149824.0499999998</v>
          </cell>
          <cell r="I58">
            <v>2149824.0499999998</v>
          </cell>
        </row>
        <row r="59">
          <cell r="B59">
            <v>142</v>
          </cell>
          <cell r="C59">
            <v>115</v>
          </cell>
          <cell r="G59">
            <v>-74319.67</v>
          </cell>
          <cell r="I59">
            <v>0</v>
          </cell>
        </row>
        <row r="60">
          <cell r="B60">
            <v>142</v>
          </cell>
          <cell r="C60">
            <v>116</v>
          </cell>
          <cell r="G60">
            <v>-2345618.79</v>
          </cell>
          <cell r="I60">
            <v>0</v>
          </cell>
        </row>
        <row r="61">
          <cell r="B61">
            <v>142</v>
          </cell>
          <cell r="C61">
            <v>117</v>
          </cell>
          <cell r="G61">
            <v>2385694.73</v>
          </cell>
          <cell r="I61">
            <v>0</v>
          </cell>
        </row>
        <row r="62">
          <cell r="B62">
            <v>142</v>
          </cell>
          <cell r="C62">
            <v>121</v>
          </cell>
          <cell r="G62">
            <v>-2149824.0499999998</v>
          </cell>
          <cell r="I62">
            <v>-2149824.0499999998</v>
          </cell>
        </row>
        <row r="63">
          <cell r="B63">
            <v>142</v>
          </cell>
          <cell r="C63">
            <v>129</v>
          </cell>
          <cell r="G63">
            <v>-1869.26</v>
          </cell>
          <cell r="I63">
            <v>-1869.26</v>
          </cell>
        </row>
        <row r="64">
          <cell r="B64">
            <v>142</v>
          </cell>
          <cell r="C64">
            <v>130</v>
          </cell>
          <cell r="G64">
            <v>455.61</v>
          </cell>
          <cell r="I64">
            <v>0</v>
          </cell>
        </row>
        <row r="65">
          <cell r="B65">
            <v>142</v>
          </cell>
          <cell r="C65">
            <v>136</v>
          </cell>
          <cell r="G65">
            <v>-136849.99</v>
          </cell>
          <cell r="I65">
            <v>-136849.99</v>
          </cell>
        </row>
        <row r="66">
          <cell r="B66">
            <v>142</v>
          </cell>
          <cell r="C66">
            <v>140</v>
          </cell>
          <cell r="G66">
            <v>69233.83</v>
          </cell>
          <cell r="I66">
            <v>0</v>
          </cell>
        </row>
        <row r="67">
          <cell r="B67">
            <v>142</v>
          </cell>
          <cell r="C67">
            <v>141</v>
          </cell>
          <cell r="G67">
            <v>0</v>
          </cell>
          <cell r="I67">
            <v>0</v>
          </cell>
        </row>
        <row r="68">
          <cell r="B68">
            <v>142</v>
          </cell>
          <cell r="C68">
            <v>145</v>
          </cell>
          <cell r="G68">
            <v>1770.94</v>
          </cell>
          <cell r="I68">
            <v>0</v>
          </cell>
        </row>
        <row r="69">
          <cell r="B69">
            <v>142</v>
          </cell>
          <cell r="C69">
            <v>160</v>
          </cell>
          <cell r="G69">
            <v>77252.800000000003</v>
          </cell>
          <cell r="I69">
            <v>77252.800000000003</v>
          </cell>
        </row>
        <row r="70">
          <cell r="B70">
            <v>142</v>
          </cell>
          <cell r="C70">
            <v>260</v>
          </cell>
          <cell r="G70">
            <v>62646.91</v>
          </cell>
          <cell r="I70">
            <v>62646.91</v>
          </cell>
        </row>
        <row r="71">
          <cell r="B71">
            <v>142</v>
          </cell>
          <cell r="C71">
            <v>261</v>
          </cell>
          <cell r="G71">
            <v>5389.6</v>
          </cell>
          <cell r="I71">
            <v>5389.6</v>
          </cell>
        </row>
        <row r="72">
          <cell r="B72">
            <v>142</v>
          </cell>
          <cell r="C72">
            <v>302</v>
          </cell>
          <cell r="G72">
            <v>0</v>
          </cell>
          <cell r="I72">
            <v>1298072.25</v>
          </cell>
        </row>
        <row r="73">
          <cell r="B73">
            <v>142</v>
          </cell>
          <cell r="C73">
            <v>303</v>
          </cell>
          <cell r="G73">
            <v>0</v>
          </cell>
          <cell r="I73">
            <v>-1298072.25</v>
          </cell>
        </row>
        <row r="74">
          <cell r="B74">
            <v>142</v>
          </cell>
          <cell r="C74">
            <v>304</v>
          </cell>
          <cell r="G74">
            <v>3.5</v>
          </cell>
          <cell r="I74">
            <v>3.5</v>
          </cell>
        </row>
        <row r="75">
          <cell r="B75">
            <v>142</v>
          </cell>
          <cell r="C75">
            <v>305</v>
          </cell>
          <cell r="G75">
            <v>7</v>
          </cell>
          <cell r="I75">
            <v>-3.5</v>
          </cell>
        </row>
        <row r="76">
          <cell r="B76">
            <v>142</v>
          </cell>
          <cell r="C76">
            <v>400</v>
          </cell>
          <cell r="G76">
            <v>-58124.46</v>
          </cell>
          <cell r="I76">
            <v>0</v>
          </cell>
        </row>
        <row r="77">
          <cell r="B77">
            <v>142</v>
          </cell>
          <cell r="C77">
            <v>410</v>
          </cell>
          <cell r="G77">
            <v>-4794.72</v>
          </cell>
          <cell r="I77">
            <v>0</v>
          </cell>
        </row>
        <row r="78">
          <cell r="B78">
            <v>143</v>
          </cell>
          <cell r="C78">
            <v>24</v>
          </cell>
          <cell r="G78">
            <v>-32703.19</v>
          </cell>
          <cell r="I78">
            <v>0</v>
          </cell>
        </row>
        <row r="79">
          <cell r="B79">
            <v>143</v>
          </cell>
          <cell r="C79">
            <v>120</v>
          </cell>
          <cell r="G79">
            <v>155489</v>
          </cell>
          <cell r="I79">
            <v>155489</v>
          </cell>
        </row>
        <row r="80">
          <cell r="B80">
            <v>143</v>
          </cell>
          <cell r="C80">
            <v>130</v>
          </cell>
          <cell r="G80">
            <v>42749.599999999999</v>
          </cell>
          <cell r="I80">
            <v>42749.599999999999</v>
          </cell>
        </row>
        <row r="81">
          <cell r="B81">
            <v>143</v>
          </cell>
          <cell r="C81">
            <v>823</v>
          </cell>
          <cell r="G81">
            <v>2845.04</v>
          </cell>
          <cell r="I81">
            <v>2845.04</v>
          </cell>
        </row>
        <row r="82">
          <cell r="B82">
            <v>143</v>
          </cell>
          <cell r="C82">
            <v>1323</v>
          </cell>
          <cell r="G82">
            <v>0</v>
          </cell>
          <cell r="I82">
            <v>68268</v>
          </cell>
        </row>
        <row r="83">
          <cell r="B83">
            <v>143</v>
          </cell>
          <cell r="C83">
            <v>60000</v>
          </cell>
          <cell r="G83">
            <v>-773.2</v>
          </cell>
          <cell r="I83">
            <v>57622.3</v>
          </cell>
        </row>
        <row r="84">
          <cell r="B84">
            <v>143</v>
          </cell>
          <cell r="C84">
            <v>90000</v>
          </cell>
          <cell r="G84">
            <v>-86259.67</v>
          </cell>
          <cell r="I84">
            <v>0</v>
          </cell>
        </row>
        <row r="85">
          <cell r="B85">
            <v>143</v>
          </cell>
          <cell r="C85">
            <v>90002</v>
          </cell>
          <cell r="G85">
            <v>-18517.62</v>
          </cell>
          <cell r="I85">
            <v>389839.23</v>
          </cell>
        </row>
        <row r="86">
          <cell r="B86">
            <v>143</v>
          </cell>
          <cell r="C86">
            <v>90013</v>
          </cell>
          <cell r="G86">
            <v>0</v>
          </cell>
          <cell r="I86">
            <v>23280.79</v>
          </cell>
        </row>
        <row r="87">
          <cell r="B87">
            <v>143</v>
          </cell>
          <cell r="C87">
            <v>90014</v>
          </cell>
          <cell r="G87">
            <v>0</v>
          </cell>
          <cell r="I87">
            <v>265308</v>
          </cell>
        </row>
        <row r="88">
          <cell r="B88">
            <v>143</v>
          </cell>
          <cell r="C88">
            <v>99027</v>
          </cell>
          <cell r="G88">
            <v>28.57</v>
          </cell>
          <cell r="I88">
            <v>83.15</v>
          </cell>
        </row>
        <row r="89">
          <cell r="B89">
            <v>143</v>
          </cell>
          <cell r="C89">
            <v>99200</v>
          </cell>
          <cell r="G89">
            <v>29104.91</v>
          </cell>
          <cell r="I89">
            <v>-68999.649999999994</v>
          </cell>
        </row>
        <row r="90">
          <cell r="B90">
            <v>143</v>
          </cell>
          <cell r="C90">
            <v>99364</v>
          </cell>
          <cell r="G90">
            <v>0</v>
          </cell>
          <cell r="I90">
            <v>297621.5</v>
          </cell>
        </row>
        <row r="91">
          <cell r="B91">
            <v>143</v>
          </cell>
          <cell r="C91">
            <v>99388</v>
          </cell>
          <cell r="G91">
            <v>0</v>
          </cell>
          <cell r="I91">
            <v>5561.4</v>
          </cell>
        </row>
        <row r="92">
          <cell r="B92">
            <v>143</v>
          </cell>
          <cell r="C92">
            <v>99413</v>
          </cell>
          <cell r="G92">
            <v>-659658.43999999994</v>
          </cell>
          <cell r="I92">
            <v>0</v>
          </cell>
        </row>
        <row r="93">
          <cell r="B93">
            <v>143</v>
          </cell>
          <cell r="C93">
            <v>99501</v>
          </cell>
          <cell r="G93">
            <v>551942.57999999996</v>
          </cell>
          <cell r="I93">
            <v>10440432.07</v>
          </cell>
        </row>
        <row r="94">
          <cell r="B94">
            <v>143</v>
          </cell>
          <cell r="C94">
            <v>99502</v>
          </cell>
          <cell r="G94">
            <v>27458.67</v>
          </cell>
          <cell r="I94">
            <v>3712971.86</v>
          </cell>
        </row>
        <row r="95">
          <cell r="B95">
            <v>143</v>
          </cell>
          <cell r="C95">
            <v>99503</v>
          </cell>
          <cell r="G95">
            <v>0</v>
          </cell>
          <cell r="I95">
            <v>280433.13</v>
          </cell>
        </row>
        <row r="96">
          <cell r="B96">
            <v>143</v>
          </cell>
          <cell r="C96">
            <v>99504</v>
          </cell>
          <cell r="G96">
            <v>1801621.5</v>
          </cell>
          <cell r="I96">
            <v>43160509.93</v>
          </cell>
        </row>
        <row r="97">
          <cell r="B97">
            <v>143</v>
          </cell>
          <cell r="C97">
            <v>99505</v>
          </cell>
          <cell r="G97">
            <v>20868.400000000001</v>
          </cell>
          <cell r="I97">
            <v>20868.400000000001</v>
          </cell>
        </row>
        <row r="98">
          <cell r="B98">
            <v>143</v>
          </cell>
          <cell r="C98">
            <v>99506</v>
          </cell>
          <cell r="G98">
            <v>481274.13</v>
          </cell>
          <cell r="I98">
            <v>10586552.550000001</v>
          </cell>
        </row>
        <row r="99">
          <cell r="B99">
            <v>143</v>
          </cell>
          <cell r="C99">
            <v>99507</v>
          </cell>
          <cell r="G99">
            <v>0</v>
          </cell>
          <cell r="I99">
            <v>276762</v>
          </cell>
        </row>
        <row r="100">
          <cell r="B100">
            <v>143</v>
          </cell>
          <cell r="C100">
            <v>99508</v>
          </cell>
          <cell r="G100">
            <v>456512.91</v>
          </cell>
          <cell r="I100">
            <v>9925064.3900000006</v>
          </cell>
        </row>
        <row r="101">
          <cell r="B101">
            <v>143</v>
          </cell>
          <cell r="C101">
            <v>99509</v>
          </cell>
          <cell r="G101">
            <v>55162.59</v>
          </cell>
          <cell r="I101">
            <v>1250126.72</v>
          </cell>
        </row>
        <row r="102">
          <cell r="B102">
            <v>143</v>
          </cell>
          <cell r="C102">
            <v>99510</v>
          </cell>
          <cell r="G102">
            <v>359481.65</v>
          </cell>
          <cell r="I102">
            <v>4501324.37</v>
          </cell>
        </row>
        <row r="103">
          <cell r="B103">
            <v>143</v>
          </cell>
          <cell r="C103">
            <v>99511</v>
          </cell>
          <cell r="G103">
            <v>32074.38</v>
          </cell>
          <cell r="I103">
            <v>4319782.33</v>
          </cell>
        </row>
        <row r="104">
          <cell r="B104">
            <v>143</v>
          </cell>
          <cell r="C104">
            <v>99512</v>
          </cell>
          <cell r="G104">
            <v>0</v>
          </cell>
          <cell r="I104">
            <v>5626.63</v>
          </cell>
        </row>
        <row r="105">
          <cell r="B105">
            <v>143</v>
          </cell>
          <cell r="C105">
            <v>99513</v>
          </cell>
          <cell r="G105">
            <v>24560.07</v>
          </cell>
          <cell r="I105">
            <v>580551.02</v>
          </cell>
        </row>
        <row r="106">
          <cell r="B106">
            <v>143</v>
          </cell>
          <cell r="C106">
            <v>99518</v>
          </cell>
          <cell r="G106">
            <v>223.3</v>
          </cell>
          <cell r="I106">
            <v>223.3</v>
          </cell>
        </row>
        <row r="107">
          <cell r="B107">
            <v>143</v>
          </cell>
          <cell r="C107">
            <v>99519</v>
          </cell>
          <cell r="G107">
            <v>66.42</v>
          </cell>
          <cell r="I107">
            <v>7763.68</v>
          </cell>
        </row>
        <row r="108">
          <cell r="B108">
            <v>143</v>
          </cell>
          <cell r="C108">
            <v>99520</v>
          </cell>
          <cell r="G108">
            <v>75698.7</v>
          </cell>
          <cell r="I108">
            <v>80848.7</v>
          </cell>
        </row>
        <row r="109">
          <cell r="B109">
            <v>143</v>
          </cell>
          <cell r="C109">
            <v>99523</v>
          </cell>
          <cell r="G109">
            <v>0</v>
          </cell>
          <cell r="I109">
            <v>21203.1</v>
          </cell>
        </row>
        <row r="110">
          <cell r="B110">
            <v>143</v>
          </cell>
          <cell r="C110">
            <v>99524</v>
          </cell>
          <cell r="G110">
            <v>0</v>
          </cell>
          <cell r="I110">
            <v>60249.75</v>
          </cell>
        </row>
        <row r="111">
          <cell r="B111">
            <v>143</v>
          </cell>
          <cell r="C111">
            <v>99911</v>
          </cell>
          <cell r="G111">
            <v>113.37</v>
          </cell>
          <cell r="I111">
            <v>127.07</v>
          </cell>
        </row>
        <row r="112">
          <cell r="B112">
            <v>143</v>
          </cell>
          <cell r="C112">
            <v>99914</v>
          </cell>
          <cell r="G112">
            <v>-648922.71</v>
          </cell>
          <cell r="I112">
            <v>0</v>
          </cell>
        </row>
        <row r="113">
          <cell r="B113">
            <v>143</v>
          </cell>
          <cell r="C113">
            <v>99926</v>
          </cell>
          <cell r="G113">
            <v>65305.17</v>
          </cell>
          <cell r="I113">
            <v>634280.71</v>
          </cell>
        </row>
        <row r="114">
          <cell r="B114">
            <v>143</v>
          </cell>
          <cell r="C114">
            <v>99927</v>
          </cell>
          <cell r="G114">
            <v>34433.51</v>
          </cell>
          <cell r="I114">
            <v>919263.03</v>
          </cell>
        </row>
        <row r="115">
          <cell r="B115">
            <v>143</v>
          </cell>
          <cell r="C115">
            <v>99976</v>
          </cell>
          <cell r="G115">
            <v>200</v>
          </cell>
          <cell r="I115">
            <v>200</v>
          </cell>
        </row>
        <row r="116">
          <cell r="B116">
            <v>143</v>
          </cell>
          <cell r="C116">
            <v>99990</v>
          </cell>
          <cell r="G116">
            <v>24802</v>
          </cell>
          <cell r="I116">
            <v>24802</v>
          </cell>
        </row>
        <row r="117">
          <cell r="B117">
            <v>143</v>
          </cell>
          <cell r="C117">
            <v>99992</v>
          </cell>
          <cell r="G117">
            <v>54972</v>
          </cell>
          <cell r="I117">
            <v>54972</v>
          </cell>
        </row>
        <row r="118">
          <cell r="B118">
            <v>143</v>
          </cell>
          <cell r="C118">
            <v>99999</v>
          </cell>
          <cell r="G118">
            <v>-179.99</v>
          </cell>
          <cell r="I118">
            <v>141990.26</v>
          </cell>
        </row>
        <row r="119">
          <cell r="B119">
            <v>144</v>
          </cell>
          <cell r="C119">
            <v>1</v>
          </cell>
          <cell r="G119">
            <v>-2605951.23</v>
          </cell>
          <cell r="I119">
            <v>-2605951.23</v>
          </cell>
        </row>
        <row r="120">
          <cell r="B120">
            <v>144</v>
          </cell>
          <cell r="C120">
            <v>100</v>
          </cell>
          <cell r="G120">
            <v>1912813.99</v>
          </cell>
          <cell r="I120">
            <v>0</v>
          </cell>
        </row>
        <row r="121">
          <cell r="B121">
            <v>146</v>
          </cell>
          <cell r="C121">
            <v>100</v>
          </cell>
          <cell r="G121">
            <v>718.29</v>
          </cell>
          <cell r="I121">
            <v>9083.07</v>
          </cell>
        </row>
        <row r="122">
          <cell r="B122">
            <v>146</v>
          </cell>
          <cell r="C122">
            <v>300</v>
          </cell>
          <cell r="G122">
            <v>-124842.34</v>
          </cell>
          <cell r="I122">
            <v>20651.22</v>
          </cell>
        </row>
        <row r="123">
          <cell r="B123">
            <v>146</v>
          </cell>
          <cell r="C123">
            <v>325</v>
          </cell>
          <cell r="G123">
            <v>-314432.75</v>
          </cell>
          <cell r="I123">
            <v>142747.15</v>
          </cell>
        </row>
        <row r="124">
          <cell r="B124">
            <v>146</v>
          </cell>
          <cell r="C124">
            <v>500</v>
          </cell>
          <cell r="G124">
            <v>-4679.13</v>
          </cell>
          <cell r="I124">
            <v>800.54</v>
          </cell>
        </row>
        <row r="125">
          <cell r="B125">
            <v>146</v>
          </cell>
          <cell r="C125">
            <v>700</v>
          </cell>
          <cell r="G125">
            <v>-203469.1</v>
          </cell>
          <cell r="I125">
            <v>0</v>
          </cell>
        </row>
        <row r="126">
          <cell r="B126">
            <v>146</v>
          </cell>
          <cell r="C126">
            <v>702</v>
          </cell>
          <cell r="G126">
            <v>-39102.47</v>
          </cell>
          <cell r="I126">
            <v>0</v>
          </cell>
        </row>
        <row r="127">
          <cell r="B127">
            <v>146</v>
          </cell>
          <cell r="C127">
            <v>704</v>
          </cell>
          <cell r="G127">
            <v>1986007.87</v>
          </cell>
          <cell r="I127">
            <v>2538972.69</v>
          </cell>
        </row>
        <row r="128">
          <cell r="B128">
            <v>146</v>
          </cell>
          <cell r="C128">
            <v>710</v>
          </cell>
          <cell r="G128">
            <v>-5580691.2300000004</v>
          </cell>
          <cell r="I128">
            <v>0</v>
          </cell>
        </row>
        <row r="129">
          <cell r="B129">
            <v>146</v>
          </cell>
          <cell r="C129">
            <v>711</v>
          </cell>
          <cell r="G129">
            <v>3449692.78</v>
          </cell>
          <cell r="I129">
            <v>3449692.78</v>
          </cell>
        </row>
        <row r="130">
          <cell r="B130">
            <v>146</v>
          </cell>
          <cell r="C130">
            <v>721</v>
          </cell>
          <cell r="G130">
            <v>105</v>
          </cell>
          <cell r="I130">
            <v>9987</v>
          </cell>
        </row>
        <row r="131">
          <cell r="B131">
            <v>146</v>
          </cell>
          <cell r="C131">
            <v>723</v>
          </cell>
          <cell r="G131">
            <v>51786.5</v>
          </cell>
          <cell r="I131">
            <v>356282.21</v>
          </cell>
        </row>
        <row r="132">
          <cell r="B132">
            <v>146</v>
          </cell>
          <cell r="C132">
            <v>724</v>
          </cell>
          <cell r="G132">
            <v>2601.15</v>
          </cell>
          <cell r="I132">
            <v>68696.87</v>
          </cell>
        </row>
        <row r="133">
          <cell r="B133">
            <v>146</v>
          </cell>
          <cell r="C133">
            <v>729</v>
          </cell>
          <cell r="G133">
            <v>-5910.01</v>
          </cell>
          <cell r="I133">
            <v>0</v>
          </cell>
        </row>
        <row r="134">
          <cell r="B134">
            <v>146</v>
          </cell>
          <cell r="C134">
            <v>739</v>
          </cell>
          <cell r="G134">
            <v>6091.51</v>
          </cell>
          <cell r="I134">
            <v>6091.51</v>
          </cell>
        </row>
        <row r="135">
          <cell r="B135">
            <v>146</v>
          </cell>
          <cell r="C135">
            <v>742</v>
          </cell>
          <cell r="G135">
            <v>215174.47</v>
          </cell>
          <cell r="I135">
            <v>215174.47</v>
          </cell>
        </row>
        <row r="136">
          <cell r="B136">
            <v>146</v>
          </cell>
          <cell r="C136">
            <v>765</v>
          </cell>
          <cell r="G136">
            <v>7365.31</v>
          </cell>
          <cell r="I136">
            <v>7365.31</v>
          </cell>
        </row>
        <row r="137">
          <cell r="B137">
            <v>146</v>
          </cell>
          <cell r="C137">
            <v>800</v>
          </cell>
          <cell r="G137">
            <v>-111079.03</v>
          </cell>
          <cell r="I137">
            <v>0</v>
          </cell>
        </row>
        <row r="138">
          <cell r="B138">
            <v>146</v>
          </cell>
          <cell r="C138">
            <v>808</v>
          </cell>
          <cell r="G138">
            <v>-9881.32</v>
          </cell>
          <cell r="I138">
            <v>2717.65</v>
          </cell>
        </row>
        <row r="139">
          <cell r="B139">
            <v>146</v>
          </cell>
          <cell r="C139">
            <v>1192</v>
          </cell>
          <cell r="G139">
            <v>119.43</v>
          </cell>
          <cell r="I139">
            <v>119.43</v>
          </cell>
        </row>
        <row r="140">
          <cell r="B140">
            <v>146</v>
          </cell>
          <cell r="C140">
            <v>90001</v>
          </cell>
          <cell r="G140">
            <v>-119.34</v>
          </cell>
          <cell r="I140">
            <v>0</v>
          </cell>
        </row>
        <row r="141">
          <cell r="B141">
            <v>151</v>
          </cell>
          <cell r="C141">
            <v>100</v>
          </cell>
          <cell r="G141">
            <v>-15312547.640000001</v>
          </cell>
          <cell r="I141">
            <v>73615537.459999993</v>
          </cell>
        </row>
        <row r="142">
          <cell r="B142">
            <v>151</v>
          </cell>
          <cell r="C142">
            <v>320</v>
          </cell>
          <cell r="G142">
            <v>-327907.06</v>
          </cell>
          <cell r="I142">
            <v>3066786.38</v>
          </cell>
        </row>
        <row r="143">
          <cell r="B143">
            <v>151</v>
          </cell>
          <cell r="C143">
            <v>500</v>
          </cell>
          <cell r="G143">
            <v>-1115557.4099999999</v>
          </cell>
          <cell r="I143">
            <v>65433509.340000004</v>
          </cell>
        </row>
        <row r="144">
          <cell r="B144">
            <v>151</v>
          </cell>
          <cell r="C144">
            <v>600</v>
          </cell>
          <cell r="G144">
            <v>654936.06999999995</v>
          </cell>
          <cell r="I144">
            <v>5539602.0099999998</v>
          </cell>
        </row>
        <row r="145">
          <cell r="B145">
            <v>154</v>
          </cell>
          <cell r="C145">
            <v>1</v>
          </cell>
          <cell r="G145">
            <v>-32188464.280000001</v>
          </cell>
          <cell r="I145">
            <v>0</v>
          </cell>
        </row>
        <row r="146">
          <cell r="B146">
            <v>154</v>
          </cell>
          <cell r="C146">
            <v>2</v>
          </cell>
          <cell r="G146">
            <v>-1611710.27</v>
          </cell>
          <cell r="I146">
            <v>0</v>
          </cell>
        </row>
        <row r="147">
          <cell r="B147">
            <v>154</v>
          </cell>
          <cell r="C147">
            <v>3</v>
          </cell>
          <cell r="G147">
            <v>-2472921.98</v>
          </cell>
          <cell r="I147">
            <v>0</v>
          </cell>
        </row>
        <row r="148">
          <cell r="B148">
            <v>154</v>
          </cell>
          <cell r="C148">
            <v>4</v>
          </cell>
          <cell r="G148">
            <v>-2034096.01</v>
          </cell>
          <cell r="I148">
            <v>0</v>
          </cell>
        </row>
        <row r="149">
          <cell r="B149">
            <v>154</v>
          </cell>
          <cell r="C149">
            <v>200</v>
          </cell>
          <cell r="G149">
            <v>19332431.050000001</v>
          </cell>
          <cell r="I149">
            <v>19332431.050000001</v>
          </cell>
        </row>
        <row r="150">
          <cell r="B150">
            <v>154</v>
          </cell>
          <cell r="C150">
            <v>204</v>
          </cell>
          <cell r="G150">
            <v>2070453.39</v>
          </cell>
          <cell r="I150">
            <v>2070453.39</v>
          </cell>
        </row>
        <row r="151">
          <cell r="B151">
            <v>154</v>
          </cell>
          <cell r="C151">
            <v>205</v>
          </cell>
          <cell r="G151">
            <v>2444541.06</v>
          </cell>
          <cell r="I151">
            <v>2444541.06</v>
          </cell>
        </row>
        <row r="152">
          <cell r="B152">
            <v>154</v>
          </cell>
          <cell r="C152">
            <v>500</v>
          </cell>
          <cell r="G152">
            <v>14339929.109999999</v>
          </cell>
          <cell r="I152">
            <v>14339929.109999999</v>
          </cell>
        </row>
        <row r="153">
          <cell r="B153">
            <v>158</v>
          </cell>
          <cell r="C153">
            <v>107</v>
          </cell>
          <cell r="G153">
            <v>-12401772.6</v>
          </cell>
          <cell r="I153">
            <v>0</v>
          </cell>
        </row>
        <row r="154">
          <cell r="B154">
            <v>158</v>
          </cell>
          <cell r="C154">
            <v>10207</v>
          </cell>
          <cell r="G154">
            <v>11720377.289999999</v>
          </cell>
          <cell r="I154">
            <v>11720377.289999999</v>
          </cell>
        </row>
        <row r="155">
          <cell r="B155">
            <v>158</v>
          </cell>
          <cell r="C155">
            <v>11209</v>
          </cell>
          <cell r="G155">
            <v>0</v>
          </cell>
          <cell r="I155">
            <v>214494.82</v>
          </cell>
        </row>
        <row r="156">
          <cell r="B156">
            <v>158</v>
          </cell>
          <cell r="C156">
            <v>12409</v>
          </cell>
          <cell r="G156">
            <v>-2314027.2200000002</v>
          </cell>
          <cell r="I156">
            <v>4164391.92</v>
          </cell>
        </row>
        <row r="157">
          <cell r="B157">
            <v>158</v>
          </cell>
          <cell r="C157">
            <v>12410</v>
          </cell>
          <cell r="G157">
            <v>495000</v>
          </cell>
          <cell r="I157">
            <v>564750</v>
          </cell>
        </row>
        <row r="158">
          <cell r="B158">
            <v>165</v>
          </cell>
          <cell r="C158">
            <v>20</v>
          </cell>
          <cell r="G158">
            <v>-247493.36</v>
          </cell>
          <cell r="I158">
            <v>0</v>
          </cell>
        </row>
        <row r="159">
          <cell r="B159">
            <v>165</v>
          </cell>
          <cell r="C159">
            <v>21</v>
          </cell>
          <cell r="G159">
            <v>185620.03</v>
          </cell>
          <cell r="I159">
            <v>185620.03</v>
          </cell>
        </row>
        <row r="160">
          <cell r="B160">
            <v>165</v>
          </cell>
          <cell r="C160">
            <v>40</v>
          </cell>
          <cell r="G160">
            <v>-310961.17</v>
          </cell>
          <cell r="I160">
            <v>2798650.62</v>
          </cell>
        </row>
        <row r="161">
          <cell r="B161">
            <v>165</v>
          </cell>
          <cell r="C161">
            <v>90</v>
          </cell>
          <cell r="G161">
            <v>-9086.31</v>
          </cell>
          <cell r="I161">
            <v>27258.880000000001</v>
          </cell>
        </row>
        <row r="162">
          <cell r="B162">
            <v>165</v>
          </cell>
          <cell r="C162">
            <v>100</v>
          </cell>
          <cell r="G162">
            <v>55401.7</v>
          </cell>
          <cell r="I162">
            <v>55401.7</v>
          </cell>
        </row>
        <row r="163">
          <cell r="B163">
            <v>165</v>
          </cell>
          <cell r="C163">
            <v>105</v>
          </cell>
          <cell r="G163">
            <v>-64635.32</v>
          </cell>
          <cell r="I163">
            <v>0</v>
          </cell>
        </row>
        <row r="164">
          <cell r="B164">
            <v>165</v>
          </cell>
          <cell r="C164">
            <v>714</v>
          </cell>
          <cell r="G164">
            <v>1919.78</v>
          </cell>
          <cell r="I164">
            <v>1919.78</v>
          </cell>
        </row>
        <row r="165">
          <cell r="B165">
            <v>165</v>
          </cell>
          <cell r="C165">
            <v>715</v>
          </cell>
          <cell r="G165">
            <v>16968.259999999998</v>
          </cell>
          <cell r="I165">
            <v>16968.259999999998</v>
          </cell>
        </row>
        <row r="166">
          <cell r="B166">
            <v>165</v>
          </cell>
          <cell r="C166">
            <v>902</v>
          </cell>
          <cell r="G166">
            <v>-4652.33</v>
          </cell>
          <cell r="I166">
            <v>0</v>
          </cell>
        </row>
        <row r="167">
          <cell r="B167">
            <v>165</v>
          </cell>
          <cell r="C167">
            <v>903</v>
          </cell>
          <cell r="G167">
            <v>-58702.51</v>
          </cell>
          <cell r="I167">
            <v>0</v>
          </cell>
        </row>
        <row r="168">
          <cell r="B168">
            <v>165</v>
          </cell>
          <cell r="C168">
            <v>918</v>
          </cell>
          <cell r="G168">
            <v>-23880222.52</v>
          </cell>
          <cell r="I168">
            <v>0</v>
          </cell>
        </row>
        <row r="169">
          <cell r="B169">
            <v>165</v>
          </cell>
          <cell r="C169">
            <v>928</v>
          </cell>
          <cell r="G169">
            <v>-3383.8</v>
          </cell>
          <cell r="I169">
            <v>149979.20000000001</v>
          </cell>
        </row>
        <row r="170">
          <cell r="B170">
            <v>165</v>
          </cell>
          <cell r="C170">
            <v>938</v>
          </cell>
          <cell r="G170">
            <v>41066.67</v>
          </cell>
          <cell r="I170">
            <v>41066.67</v>
          </cell>
        </row>
        <row r="171">
          <cell r="B171">
            <v>165</v>
          </cell>
          <cell r="C171">
            <v>990</v>
          </cell>
          <cell r="G171">
            <v>238551</v>
          </cell>
          <cell r="I171">
            <v>238551</v>
          </cell>
        </row>
        <row r="172">
          <cell r="B172">
            <v>165</v>
          </cell>
          <cell r="C172">
            <v>1210</v>
          </cell>
          <cell r="G172">
            <v>23880222.52</v>
          </cell>
          <cell r="I172">
            <v>23880222.52</v>
          </cell>
        </row>
        <row r="173">
          <cell r="B173">
            <v>171</v>
          </cell>
          <cell r="C173">
            <v>300</v>
          </cell>
          <cell r="G173">
            <v>0</v>
          </cell>
          <cell r="I173">
            <v>307677</v>
          </cell>
        </row>
        <row r="174">
          <cell r="B174">
            <v>173</v>
          </cell>
          <cell r="C174">
            <v>0</v>
          </cell>
          <cell r="G174">
            <v>-60410793.219999999</v>
          </cell>
          <cell r="I174">
            <v>0</v>
          </cell>
        </row>
        <row r="175">
          <cell r="B175">
            <v>173</v>
          </cell>
          <cell r="C175">
            <v>20</v>
          </cell>
          <cell r="G175">
            <v>57533212.18</v>
          </cell>
          <cell r="I175">
            <v>57533212.18</v>
          </cell>
        </row>
        <row r="176">
          <cell r="B176">
            <v>173</v>
          </cell>
          <cell r="C176">
            <v>21</v>
          </cell>
          <cell r="G176">
            <v>32816.44</v>
          </cell>
          <cell r="I176">
            <v>32816.44</v>
          </cell>
        </row>
        <row r="177">
          <cell r="B177">
            <v>173</v>
          </cell>
          <cell r="C177">
            <v>600</v>
          </cell>
          <cell r="G177">
            <v>-3208.89</v>
          </cell>
          <cell r="I177">
            <v>0</v>
          </cell>
        </row>
        <row r="178">
          <cell r="B178">
            <v>174</v>
          </cell>
          <cell r="C178">
            <v>41</v>
          </cell>
          <cell r="G178">
            <v>0</v>
          </cell>
          <cell r="I178">
            <v>0</v>
          </cell>
        </row>
        <row r="179">
          <cell r="B179">
            <v>174</v>
          </cell>
          <cell r="C179">
            <v>801</v>
          </cell>
          <cell r="G179">
            <v>0</v>
          </cell>
          <cell r="I179">
            <v>0</v>
          </cell>
        </row>
        <row r="180">
          <cell r="B180">
            <v>175</v>
          </cell>
          <cell r="C180">
            <v>100</v>
          </cell>
          <cell r="G180">
            <v>-11811.76</v>
          </cell>
          <cell r="I180">
            <v>0</v>
          </cell>
        </row>
        <row r="181">
          <cell r="B181">
            <v>175</v>
          </cell>
          <cell r="C181">
            <v>1130</v>
          </cell>
          <cell r="G181">
            <v>5460.59</v>
          </cell>
          <cell r="I181">
            <v>5460.59</v>
          </cell>
        </row>
        <row r="182">
          <cell r="B182">
            <v>176</v>
          </cell>
          <cell r="C182">
            <v>100</v>
          </cell>
          <cell r="G182">
            <v>-142624.17000000001</v>
          </cell>
          <cell r="I182">
            <v>0</v>
          </cell>
        </row>
        <row r="183">
          <cell r="B183">
            <v>176</v>
          </cell>
          <cell r="C183">
            <v>200</v>
          </cell>
          <cell r="G183">
            <v>-47620.02</v>
          </cell>
          <cell r="I183">
            <v>0</v>
          </cell>
        </row>
        <row r="184">
          <cell r="B184">
            <v>176</v>
          </cell>
          <cell r="C184">
            <v>1707</v>
          </cell>
          <cell r="G184">
            <v>-720110</v>
          </cell>
          <cell r="I184">
            <v>0</v>
          </cell>
        </row>
        <row r="185">
          <cell r="B185">
            <v>176</v>
          </cell>
          <cell r="C185">
            <v>1708</v>
          </cell>
          <cell r="G185">
            <v>-1306560</v>
          </cell>
          <cell r="I185">
            <v>907582</v>
          </cell>
        </row>
        <row r="186">
          <cell r="B186">
            <v>176</v>
          </cell>
          <cell r="C186">
            <v>2110</v>
          </cell>
          <cell r="G186">
            <v>49662.05</v>
          </cell>
          <cell r="I186">
            <v>49662.05</v>
          </cell>
        </row>
        <row r="187">
          <cell r="B187">
            <v>176</v>
          </cell>
          <cell r="C187">
            <v>6110</v>
          </cell>
          <cell r="G187">
            <v>20112.75</v>
          </cell>
          <cell r="I187">
            <v>20112.75</v>
          </cell>
        </row>
        <row r="188">
          <cell r="B188">
            <v>181</v>
          </cell>
          <cell r="C188">
            <v>450</v>
          </cell>
          <cell r="G188">
            <v>-5355.51</v>
          </cell>
          <cell r="I188">
            <v>797970.32</v>
          </cell>
        </row>
        <row r="189">
          <cell r="B189">
            <v>181</v>
          </cell>
          <cell r="C189">
            <v>452</v>
          </cell>
          <cell r="G189">
            <v>-149.49</v>
          </cell>
          <cell r="I189">
            <v>22273.18</v>
          </cell>
        </row>
        <row r="190">
          <cell r="B190">
            <v>181</v>
          </cell>
          <cell r="C190">
            <v>453</v>
          </cell>
          <cell r="G190">
            <v>-4870.93</v>
          </cell>
          <cell r="I190">
            <v>1612277.68</v>
          </cell>
        </row>
        <row r="191">
          <cell r="B191">
            <v>181</v>
          </cell>
          <cell r="C191">
            <v>455</v>
          </cell>
          <cell r="G191">
            <v>-2836.24</v>
          </cell>
          <cell r="I191">
            <v>632481.01</v>
          </cell>
        </row>
        <row r="192">
          <cell r="B192">
            <v>181</v>
          </cell>
          <cell r="C192">
            <v>458</v>
          </cell>
          <cell r="G192">
            <v>-1775.52</v>
          </cell>
          <cell r="I192">
            <v>621431</v>
          </cell>
        </row>
        <row r="193">
          <cell r="B193">
            <v>181</v>
          </cell>
          <cell r="C193">
            <v>459</v>
          </cell>
          <cell r="G193">
            <v>-1748.44</v>
          </cell>
          <cell r="I193">
            <v>611955.74</v>
          </cell>
        </row>
        <row r="194">
          <cell r="B194">
            <v>181</v>
          </cell>
          <cell r="C194">
            <v>460</v>
          </cell>
          <cell r="G194">
            <v>0</v>
          </cell>
          <cell r="I194">
            <v>902.19</v>
          </cell>
        </row>
        <row r="195">
          <cell r="B195">
            <v>181</v>
          </cell>
          <cell r="C195">
            <v>721</v>
          </cell>
          <cell r="G195">
            <v>-2127.89</v>
          </cell>
          <cell r="I195">
            <v>87243.35</v>
          </cell>
        </row>
        <row r="196">
          <cell r="B196">
            <v>181</v>
          </cell>
          <cell r="C196">
            <v>722</v>
          </cell>
          <cell r="G196">
            <v>-3417.04</v>
          </cell>
          <cell r="I196">
            <v>964113.46</v>
          </cell>
        </row>
        <row r="197">
          <cell r="B197">
            <v>181</v>
          </cell>
          <cell r="C197">
            <v>723</v>
          </cell>
          <cell r="G197">
            <v>-2479.89</v>
          </cell>
          <cell r="I197">
            <v>704322.65</v>
          </cell>
        </row>
        <row r="198">
          <cell r="B198">
            <v>181</v>
          </cell>
          <cell r="C198">
            <v>749</v>
          </cell>
          <cell r="G198">
            <v>-3576.6</v>
          </cell>
          <cell r="I198">
            <v>994295.89</v>
          </cell>
        </row>
        <row r="199">
          <cell r="B199">
            <v>181</v>
          </cell>
          <cell r="C199">
            <v>751</v>
          </cell>
          <cell r="G199">
            <v>-3132.3</v>
          </cell>
          <cell r="I199">
            <v>501168.38</v>
          </cell>
        </row>
        <row r="200">
          <cell r="B200">
            <v>181</v>
          </cell>
          <cell r="C200">
            <v>752</v>
          </cell>
          <cell r="G200">
            <v>-6203.84</v>
          </cell>
          <cell r="I200">
            <v>1191251.52</v>
          </cell>
        </row>
        <row r="201">
          <cell r="B201">
            <v>181</v>
          </cell>
          <cell r="C201">
            <v>753</v>
          </cell>
          <cell r="G201">
            <v>-293.55</v>
          </cell>
          <cell r="I201">
            <v>120353.23</v>
          </cell>
        </row>
        <row r="202">
          <cell r="B202">
            <v>181</v>
          </cell>
          <cell r="C202">
            <v>754</v>
          </cell>
          <cell r="G202">
            <v>-1520.62</v>
          </cell>
          <cell r="I202">
            <v>85154.23</v>
          </cell>
        </row>
        <row r="203">
          <cell r="B203">
            <v>181</v>
          </cell>
          <cell r="C203">
            <v>756</v>
          </cell>
          <cell r="G203">
            <v>-1985.33</v>
          </cell>
          <cell r="I203">
            <v>609552.35</v>
          </cell>
        </row>
        <row r="204">
          <cell r="B204">
            <v>181</v>
          </cell>
          <cell r="C204">
            <v>758</v>
          </cell>
          <cell r="G204">
            <v>-2051.77</v>
          </cell>
          <cell r="I204">
            <v>168244.93</v>
          </cell>
        </row>
        <row r="205">
          <cell r="B205">
            <v>181</v>
          </cell>
          <cell r="C205">
            <v>759</v>
          </cell>
          <cell r="G205">
            <v>-1722.54</v>
          </cell>
          <cell r="I205">
            <v>153306.48000000001</v>
          </cell>
        </row>
        <row r="206">
          <cell r="B206">
            <v>181</v>
          </cell>
          <cell r="C206">
            <v>761</v>
          </cell>
          <cell r="G206">
            <v>-3079.52</v>
          </cell>
          <cell r="I206">
            <v>43113.16</v>
          </cell>
        </row>
        <row r="207">
          <cell r="B207">
            <v>181</v>
          </cell>
          <cell r="C207">
            <v>763</v>
          </cell>
          <cell r="G207">
            <v>-46419.6</v>
          </cell>
          <cell r="I207">
            <v>232097.97</v>
          </cell>
        </row>
        <row r="208">
          <cell r="B208">
            <v>182</v>
          </cell>
          <cell r="C208">
            <v>301</v>
          </cell>
          <cell r="G208">
            <v>-39018435.469999999</v>
          </cell>
          <cell r="I208">
            <v>0.02</v>
          </cell>
        </row>
        <row r="209">
          <cell r="B209">
            <v>182</v>
          </cell>
          <cell r="C209">
            <v>333</v>
          </cell>
          <cell r="G209">
            <v>-8120000</v>
          </cell>
          <cell r="I209">
            <v>0</v>
          </cell>
        </row>
        <row r="210">
          <cell r="B210">
            <v>182</v>
          </cell>
          <cell r="C210">
            <v>420</v>
          </cell>
          <cell r="G210">
            <v>-65223273</v>
          </cell>
          <cell r="I210">
            <v>0</v>
          </cell>
        </row>
        <row r="211">
          <cell r="B211">
            <v>182</v>
          </cell>
          <cell r="C211">
            <v>502</v>
          </cell>
          <cell r="G211">
            <v>-2383682.5</v>
          </cell>
          <cell r="I211">
            <v>0</v>
          </cell>
        </row>
        <row r="212">
          <cell r="B212">
            <v>182</v>
          </cell>
          <cell r="C212">
            <v>510</v>
          </cell>
          <cell r="G212">
            <v>-9441967.5199999996</v>
          </cell>
          <cell r="I212">
            <v>0</v>
          </cell>
        </row>
        <row r="213">
          <cell r="B213">
            <v>182</v>
          </cell>
          <cell r="C213">
            <v>512</v>
          </cell>
          <cell r="G213">
            <v>-4446944.6399999997</v>
          </cell>
          <cell r="I213">
            <v>0</v>
          </cell>
        </row>
        <row r="214">
          <cell r="B214">
            <v>182</v>
          </cell>
          <cell r="C214">
            <v>550</v>
          </cell>
          <cell r="G214">
            <v>-1478710</v>
          </cell>
          <cell r="I214">
            <v>0</v>
          </cell>
        </row>
        <row r="215">
          <cell r="B215">
            <v>182</v>
          </cell>
          <cell r="C215">
            <v>600</v>
          </cell>
          <cell r="G215">
            <v>-5427612.7699999996</v>
          </cell>
          <cell r="I215">
            <v>0</v>
          </cell>
        </row>
        <row r="216">
          <cell r="B216">
            <v>182</v>
          </cell>
          <cell r="C216">
            <v>650</v>
          </cell>
          <cell r="G216">
            <v>-535231.64</v>
          </cell>
          <cell r="I216">
            <v>0</v>
          </cell>
        </row>
        <row r="217">
          <cell r="B217">
            <v>182</v>
          </cell>
          <cell r="C217">
            <v>660</v>
          </cell>
          <cell r="G217">
            <v>-54362.5</v>
          </cell>
          <cell r="I217">
            <v>0</v>
          </cell>
        </row>
        <row r="218">
          <cell r="B218">
            <v>182</v>
          </cell>
          <cell r="C218">
            <v>670</v>
          </cell>
          <cell r="G218">
            <v>-218745.14</v>
          </cell>
          <cell r="I218">
            <v>0</v>
          </cell>
        </row>
        <row r="219">
          <cell r="B219">
            <v>182</v>
          </cell>
          <cell r="C219">
            <v>680</v>
          </cell>
          <cell r="G219">
            <v>-827137.69</v>
          </cell>
          <cell r="I219">
            <v>0</v>
          </cell>
        </row>
        <row r="220">
          <cell r="B220">
            <v>182</v>
          </cell>
          <cell r="C220">
            <v>720</v>
          </cell>
          <cell r="G220">
            <v>-44533.33</v>
          </cell>
          <cell r="I220">
            <v>0</v>
          </cell>
        </row>
        <row r="221">
          <cell r="B221">
            <v>182</v>
          </cell>
          <cell r="C221">
            <v>750</v>
          </cell>
          <cell r="G221">
            <v>-86531</v>
          </cell>
          <cell r="I221">
            <v>0</v>
          </cell>
        </row>
        <row r="222">
          <cell r="B222">
            <v>182</v>
          </cell>
          <cell r="C222">
            <v>764</v>
          </cell>
          <cell r="G222">
            <v>-8372517.8300000001</v>
          </cell>
          <cell r="I222">
            <v>0</v>
          </cell>
        </row>
        <row r="223">
          <cell r="B223">
            <v>182</v>
          </cell>
          <cell r="C223">
            <v>800</v>
          </cell>
          <cell r="G223">
            <v>-6909317</v>
          </cell>
          <cell r="I223">
            <v>0</v>
          </cell>
        </row>
        <row r="224">
          <cell r="B224">
            <v>182</v>
          </cell>
          <cell r="C224">
            <v>803</v>
          </cell>
          <cell r="G224">
            <v>-11086689</v>
          </cell>
          <cell r="I224">
            <v>0</v>
          </cell>
        </row>
        <row r="225">
          <cell r="B225">
            <v>182</v>
          </cell>
          <cell r="C225">
            <v>30102</v>
          </cell>
          <cell r="G225">
            <v>37179.699999999997</v>
          </cell>
          <cell r="I225">
            <v>37179.699999999997</v>
          </cell>
        </row>
        <row r="226">
          <cell r="B226">
            <v>182</v>
          </cell>
          <cell r="C226">
            <v>30122</v>
          </cell>
          <cell r="G226">
            <v>8512371.8399999999</v>
          </cell>
          <cell r="I226">
            <v>8512371.8399999999</v>
          </cell>
        </row>
        <row r="227">
          <cell r="B227">
            <v>182</v>
          </cell>
          <cell r="C227">
            <v>30200</v>
          </cell>
          <cell r="G227">
            <v>39186736.649999999</v>
          </cell>
          <cell r="I227">
            <v>39186736.649999999</v>
          </cell>
        </row>
        <row r="228">
          <cell r="B228">
            <v>182</v>
          </cell>
          <cell r="C228">
            <v>30300</v>
          </cell>
          <cell r="G228">
            <v>8120000</v>
          </cell>
          <cell r="I228">
            <v>8120000</v>
          </cell>
        </row>
        <row r="229">
          <cell r="B229">
            <v>182</v>
          </cell>
          <cell r="C229">
            <v>30501</v>
          </cell>
          <cell r="G229">
            <v>1449650</v>
          </cell>
          <cell r="I229">
            <v>1449650</v>
          </cell>
        </row>
        <row r="230">
          <cell r="B230">
            <v>182</v>
          </cell>
          <cell r="C230">
            <v>30502</v>
          </cell>
          <cell r="G230">
            <v>10366414.890000001</v>
          </cell>
          <cell r="I230">
            <v>10366414.890000001</v>
          </cell>
        </row>
        <row r="231">
          <cell r="B231">
            <v>182</v>
          </cell>
          <cell r="C231">
            <v>30510</v>
          </cell>
          <cell r="G231">
            <v>4931981.2300000004</v>
          </cell>
          <cell r="I231">
            <v>4931981.2300000004</v>
          </cell>
        </row>
        <row r="232">
          <cell r="B232">
            <v>182</v>
          </cell>
          <cell r="C232">
            <v>30711</v>
          </cell>
          <cell r="G232">
            <v>5841223.8499999996</v>
          </cell>
          <cell r="I232">
            <v>5841223.8499999996</v>
          </cell>
        </row>
        <row r="233">
          <cell r="B233">
            <v>182</v>
          </cell>
          <cell r="C233">
            <v>30820</v>
          </cell>
          <cell r="G233">
            <v>9634527</v>
          </cell>
          <cell r="I233">
            <v>9634527</v>
          </cell>
        </row>
        <row r="234">
          <cell r="B234">
            <v>182</v>
          </cell>
          <cell r="C234">
            <v>30830</v>
          </cell>
          <cell r="G234">
            <v>-13013775</v>
          </cell>
          <cell r="I234">
            <v>78788259</v>
          </cell>
        </row>
        <row r="235">
          <cell r="B235">
            <v>182</v>
          </cell>
          <cell r="C235">
            <v>30840</v>
          </cell>
          <cell r="G235">
            <v>6405698</v>
          </cell>
          <cell r="I235">
            <v>6405698</v>
          </cell>
        </row>
        <row r="236">
          <cell r="B236">
            <v>182</v>
          </cell>
          <cell r="C236">
            <v>30902</v>
          </cell>
          <cell r="G236">
            <v>65223273</v>
          </cell>
          <cell r="I236">
            <v>65223273</v>
          </cell>
        </row>
        <row r="237">
          <cell r="B237">
            <v>182</v>
          </cell>
          <cell r="C237">
            <v>30903</v>
          </cell>
          <cell r="G237">
            <v>86531</v>
          </cell>
          <cell r="I237">
            <v>86531</v>
          </cell>
        </row>
        <row r="238">
          <cell r="B238">
            <v>182</v>
          </cell>
          <cell r="C238">
            <v>30950</v>
          </cell>
          <cell r="G238">
            <v>3902469.94</v>
          </cell>
          <cell r="I238">
            <v>12043709.82</v>
          </cell>
        </row>
        <row r="239">
          <cell r="B239">
            <v>182</v>
          </cell>
          <cell r="C239">
            <v>35110</v>
          </cell>
          <cell r="G239">
            <v>5460066.9800000004</v>
          </cell>
          <cell r="I239">
            <v>5460066.9800000004</v>
          </cell>
        </row>
        <row r="240">
          <cell r="B240">
            <v>182</v>
          </cell>
          <cell r="C240">
            <v>35140</v>
          </cell>
          <cell r="G240">
            <v>540961.72</v>
          </cell>
          <cell r="I240">
            <v>540961.72</v>
          </cell>
        </row>
        <row r="241">
          <cell r="B241">
            <v>182</v>
          </cell>
          <cell r="C241">
            <v>35150</v>
          </cell>
          <cell r="G241">
            <v>54639.05</v>
          </cell>
          <cell r="I241">
            <v>54639.05</v>
          </cell>
        </row>
        <row r="242">
          <cell r="B242">
            <v>182</v>
          </cell>
          <cell r="C242">
            <v>35160</v>
          </cell>
          <cell r="G242">
            <v>219914.39</v>
          </cell>
          <cell r="I242">
            <v>219914.39</v>
          </cell>
        </row>
        <row r="243">
          <cell r="B243">
            <v>182</v>
          </cell>
          <cell r="C243">
            <v>35190</v>
          </cell>
          <cell r="G243">
            <v>831630.95</v>
          </cell>
          <cell r="I243">
            <v>831630.95</v>
          </cell>
        </row>
        <row r="244">
          <cell r="B244">
            <v>184</v>
          </cell>
          <cell r="C244">
            <v>4</v>
          </cell>
          <cell r="G244">
            <v>50722.96</v>
          </cell>
          <cell r="I244">
            <v>50722.96</v>
          </cell>
        </row>
        <row r="245">
          <cell r="B245">
            <v>185</v>
          </cell>
          <cell r="C245">
            <v>100</v>
          </cell>
          <cell r="G245">
            <v>-18700</v>
          </cell>
          <cell r="I245">
            <v>-18700</v>
          </cell>
        </row>
        <row r="246">
          <cell r="B246">
            <v>185</v>
          </cell>
          <cell r="C246">
            <v>200</v>
          </cell>
          <cell r="G246">
            <v>18245.16</v>
          </cell>
          <cell r="I246">
            <v>18245.16</v>
          </cell>
        </row>
        <row r="247">
          <cell r="B247">
            <v>185</v>
          </cell>
          <cell r="C247">
            <v>300</v>
          </cell>
          <cell r="G247">
            <v>454.84</v>
          </cell>
          <cell r="I247">
            <v>454.84</v>
          </cell>
        </row>
        <row r="248">
          <cell r="B248">
            <v>186</v>
          </cell>
          <cell r="C248">
            <v>400</v>
          </cell>
          <cell r="G248">
            <v>0</v>
          </cell>
          <cell r="I248">
            <v>0</v>
          </cell>
        </row>
        <row r="249">
          <cell r="B249">
            <v>186</v>
          </cell>
          <cell r="C249">
            <v>570</v>
          </cell>
          <cell r="G249">
            <v>90322.76</v>
          </cell>
          <cell r="I249">
            <v>333617.48</v>
          </cell>
        </row>
        <row r="250">
          <cell r="B250">
            <v>186</v>
          </cell>
          <cell r="C250">
            <v>800</v>
          </cell>
          <cell r="G250">
            <v>8986.67</v>
          </cell>
          <cell r="I250">
            <v>8986.67</v>
          </cell>
        </row>
        <row r="251">
          <cell r="B251">
            <v>186</v>
          </cell>
          <cell r="C251">
            <v>896</v>
          </cell>
          <cell r="G251">
            <v>446452.55</v>
          </cell>
          <cell r="I251">
            <v>446452.55</v>
          </cell>
        </row>
        <row r="252">
          <cell r="B252">
            <v>186</v>
          </cell>
          <cell r="C252">
            <v>923</v>
          </cell>
          <cell r="G252">
            <v>-686217</v>
          </cell>
          <cell r="I252">
            <v>2614847</v>
          </cell>
        </row>
        <row r="253">
          <cell r="B253">
            <v>186</v>
          </cell>
          <cell r="C253">
            <v>927</v>
          </cell>
          <cell r="G253">
            <v>-880301.16</v>
          </cell>
          <cell r="I253">
            <v>3354410.73</v>
          </cell>
        </row>
        <row r="254">
          <cell r="B254">
            <v>186</v>
          </cell>
          <cell r="C254">
            <v>937</v>
          </cell>
          <cell r="G254">
            <v>-3491.2</v>
          </cell>
          <cell r="I254">
            <v>0</v>
          </cell>
        </row>
        <row r="255">
          <cell r="B255">
            <v>186</v>
          </cell>
          <cell r="C255">
            <v>981</v>
          </cell>
          <cell r="G255">
            <v>354382.38</v>
          </cell>
          <cell r="I255">
            <v>-142747.15</v>
          </cell>
        </row>
        <row r="256">
          <cell r="B256">
            <v>186</v>
          </cell>
          <cell r="C256">
            <v>990</v>
          </cell>
          <cell r="G256">
            <v>-43092.45</v>
          </cell>
          <cell r="I256">
            <v>0</v>
          </cell>
        </row>
        <row r="257">
          <cell r="B257">
            <v>186</v>
          </cell>
          <cell r="C257">
            <v>992</v>
          </cell>
          <cell r="G257">
            <v>19747.560000000001</v>
          </cell>
          <cell r="I257">
            <v>19747.560000000001</v>
          </cell>
        </row>
        <row r="258">
          <cell r="B258">
            <v>186</v>
          </cell>
          <cell r="C258">
            <v>1955</v>
          </cell>
          <cell r="G258">
            <v>23104.89</v>
          </cell>
          <cell r="I258">
            <v>435660.12</v>
          </cell>
        </row>
        <row r="259">
          <cell r="B259">
            <v>186</v>
          </cell>
          <cell r="C259">
            <v>3135</v>
          </cell>
          <cell r="G259">
            <v>212183.4</v>
          </cell>
          <cell r="I259">
            <v>346253</v>
          </cell>
        </row>
        <row r="260">
          <cell r="B260">
            <v>186</v>
          </cell>
          <cell r="C260">
            <v>3158</v>
          </cell>
          <cell r="G260">
            <v>0</v>
          </cell>
          <cell r="I260">
            <v>56301.82</v>
          </cell>
        </row>
        <row r="261">
          <cell r="B261">
            <v>186</v>
          </cell>
          <cell r="C261">
            <v>3163</v>
          </cell>
          <cell r="G261">
            <v>0</v>
          </cell>
          <cell r="I261">
            <v>4040080.63</v>
          </cell>
        </row>
        <row r="262">
          <cell r="B262">
            <v>186</v>
          </cell>
          <cell r="C262">
            <v>3164</v>
          </cell>
          <cell r="G262">
            <v>485106.57</v>
          </cell>
          <cell r="I262">
            <v>1442885.95</v>
          </cell>
        </row>
        <row r="263">
          <cell r="B263">
            <v>189</v>
          </cell>
          <cell r="C263">
            <v>1</v>
          </cell>
          <cell r="G263">
            <v>-20219</v>
          </cell>
          <cell r="I263">
            <v>0</v>
          </cell>
        </row>
        <row r="264">
          <cell r="B264">
            <v>189</v>
          </cell>
          <cell r="C264">
            <v>2</v>
          </cell>
          <cell r="G264">
            <v>-6279.14</v>
          </cell>
          <cell r="I264">
            <v>188373.89</v>
          </cell>
        </row>
        <row r="265">
          <cell r="B265">
            <v>189</v>
          </cell>
          <cell r="C265">
            <v>3</v>
          </cell>
          <cell r="G265">
            <v>-4597.67</v>
          </cell>
          <cell r="I265">
            <v>68965.05</v>
          </cell>
        </row>
        <row r="266">
          <cell r="B266">
            <v>189</v>
          </cell>
          <cell r="C266">
            <v>5</v>
          </cell>
          <cell r="G266">
            <v>-14121.68</v>
          </cell>
          <cell r="I266">
            <v>1016760.39</v>
          </cell>
        </row>
        <row r="267">
          <cell r="B267">
            <v>189</v>
          </cell>
          <cell r="C267">
            <v>12</v>
          </cell>
          <cell r="G267">
            <v>-4270.92</v>
          </cell>
          <cell r="I267">
            <v>179379.18</v>
          </cell>
        </row>
        <row r="268">
          <cell r="B268">
            <v>189</v>
          </cell>
          <cell r="C268">
            <v>20</v>
          </cell>
          <cell r="G268">
            <v>-6072.64</v>
          </cell>
          <cell r="I268">
            <v>352212.31</v>
          </cell>
        </row>
        <row r="269">
          <cell r="B269">
            <v>189</v>
          </cell>
          <cell r="C269">
            <v>21</v>
          </cell>
          <cell r="G269">
            <v>-3104.72</v>
          </cell>
          <cell r="I269">
            <v>416031.6</v>
          </cell>
        </row>
        <row r="270">
          <cell r="B270">
            <v>189</v>
          </cell>
          <cell r="C270">
            <v>23</v>
          </cell>
          <cell r="G270">
            <v>-12633.41</v>
          </cell>
          <cell r="I270">
            <v>1793944.82</v>
          </cell>
        </row>
        <row r="271">
          <cell r="B271">
            <v>189</v>
          </cell>
          <cell r="C271">
            <v>24</v>
          </cell>
          <cell r="G271">
            <v>-5452.97</v>
          </cell>
          <cell r="I271">
            <v>479861.61</v>
          </cell>
        </row>
        <row r="272">
          <cell r="B272">
            <v>189</v>
          </cell>
          <cell r="C272">
            <v>25</v>
          </cell>
          <cell r="G272">
            <v>-714.34</v>
          </cell>
          <cell r="I272">
            <v>103579.27</v>
          </cell>
        </row>
        <row r="273">
          <cell r="B273">
            <v>189</v>
          </cell>
          <cell r="C273">
            <v>26</v>
          </cell>
          <cell r="G273">
            <v>-961.12</v>
          </cell>
          <cell r="I273">
            <v>139362.34</v>
          </cell>
        </row>
        <row r="274">
          <cell r="B274">
            <v>189</v>
          </cell>
          <cell r="C274">
            <v>28</v>
          </cell>
          <cell r="G274">
            <v>-1244.72</v>
          </cell>
          <cell r="I274">
            <v>196666.34</v>
          </cell>
        </row>
        <row r="275">
          <cell r="B275">
            <v>189</v>
          </cell>
          <cell r="C275">
            <v>29</v>
          </cell>
          <cell r="G275">
            <v>-1628.16</v>
          </cell>
          <cell r="I275">
            <v>284927.25</v>
          </cell>
        </row>
        <row r="276">
          <cell r="B276">
            <v>189</v>
          </cell>
          <cell r="C276">
            <v>30</v>
          </cell>
          <cell r="G276">
            <v>-733.04</v>
          </cell>
          <cell r="I276">
            <v>128282.56</v>
          </cell>
        </row>
        <row r="277">
          <cell r="B277">
            <v>189</v>
          </cell>
          <cell r="C277">
            <v>31</v>
          </cell>
          <cell r="G277">
            <v>-2941.75</v>
          </cell>
          <cell r="I277">
            <v>985485.42</v>
          </cell>
        </row>
        <row r="278">
          <cell r="B278">
            <v>189</v>
          </cell>
          <cell r="C278">
            <v>32</v>
          </cell>
          <cell r="G278">
            <v>-10723.47</v>
          </cell>
          <cell r="I278">
            <v>257362.93</v>
          </cell>
        </row>
        <row r="279">
          <cell r="B279">
            <v>189</v>
          </cell>
          <cell r="C279">
            <v>33</v>
          </cell>
          <cell r="G279">
            <v>-1542.27</v>
          </cell>
          <cell r="I279">
            <v>507404.95</v>
          </cell>
        </row>
        <row r="280">
          <cell r="B280">
            <v>189</v>
          </cell>
          <cell r="C280">
            <v>34</v>
          </cell>
          <cell r="G280">
            <v>-2109.41</v>
          </cell>
          <cell r="I280">
            <v>337505.45</v>
          </cell>
        </row>
        <row r="281">
          <cell r="B281">
            <v>189</v>
          </cell>
          <cell r="C281">
            <v>35</v>
          </cell>
          <cell r="G281">
            <v>-896.28</v>
          </cell>
          <cell r="I281">
            <v>147885.57</v>
          </cell>
        </row>
        <row r="282">
          <cell r="B282">
            <v>189</v>
          </cell>
          <cell r="C282">
            <v>36</v>
          </cell>
          <cell r="G282">
            <v>-1537.59</v>
          </cell>
          <cell r="I282">
            <v>295218.3</v>
          </cell>
        </row>
        <row r="283">
          <cell r="B283">
            <v>189</v>
          </cell>
          <cell r="C283">
            <v>38</v>
          </cell>
          <cell r="G283">
            <v>-3392.74</v>
          </cell>
          <cell r="I283">
            <v>1156924.26</v>
          </cell>
        </row>
        <row r="284">
          <cell r="B284">
            <v>189</v>
          </cell>
          <cell r="C284">
            <v>39</v>
          </cell>
          <cell r="G284">
            <v>-3306.53</v>
          </cell>
          <cell r="I284">
            <v>1101073.8500000001</v>
          </cell>
        </row>
        <row r="285">
          <cell r="B285">
            <v>189</v>
          </cell>
          <cell r="C285">
            <v>40</v>
          </cell>
          <cell r="G285">
            <v>-10455.06</v>
          </cell>
          <cell r="I285">
            <v>836404.72</v>
          </cell>
        </row>
        <row r="286">
          <cell r="B286">
            <v>189</v>
          </cell>
          <cell r="C286">
            <v>41</v>
          </cell>
          <cell r="G286">
            <v>-8211.7900000000009</v>
          </cell>
          <cell r="I286">
            <v>1568450.97</v>
          </cell>
        </row>
        <row r="287">
          <cell r="B287">
            <v>189</v>
          </cell>
          <cell r="C287">
            <v>42</v>
          </cell>
          <cell r="G287">
            <v>-2397.1999999999998</v>
          </cell>
          <cell r="I287">
            <v>881212.04</v>
          </cell>
        </row>
        <row r="288">
          <cell r="B288">
            <v>189</v>
          </cell>
          <cell r="C288">
            <v>43</v>
          </cell>
          <cell r="G288">
            <v>-1276.26</v>
          </cell>
          <cell r="I288">
            <v>501570.3</v>
          </cell>
        </row>
        <row r="289">
          <cell r="B289">
            <v>189</v>
          </cell>
          <cell r="C289">
            <v>44</v>
          </cell>
          <cell r="G289">
            <v>-3621.06</v>
          </cell>
          <cell r="I289">
            <v>539538.21</v>
          </cell>
        </row>
        <row r="290">
          <cell r="B290">
            <v>190</v>
          </cell>
          <cell r="C290">
            <v>153</v>
          </cell>
          <cell r="G290">
            <v>94497.33</v>
          </cell>
          <cell r="I290">
            <v>1404991.12</v>
          </cell>
        </row>
        <row r="291">
          <cell r="B291">
            <v>190</v>
          </cell>
          <cell r="C291">
            <v>154</v>
          </cell>
          <cell r="G291">
            <v>69535.88</v>
          </cell>
          <cell r="I291">
            <v>16618538.550000001</v>
          </cell>
        </row>
        <row r="292">
          <cell r="B292">
            <v>190</v>
          </cell>
          <cell r="C292">
            <v>155</v>
          </cell>
          <cell r="G292">
            <v>-3673.45</v>
          </cell>
          <cell r="I292">
            <v>-3366235.75</v>
          </cell>
        </row>
        <row r="293">
          <cell r="B293">
            <v>190</v>
          </cell>
          <cell r="C293">
            <v>156</v>
          </cell>
          <cell r="G293">
            <v>-6534.98</v>
          </cell>
          <cell r="I293">
            <v>915699.35</v>
          </cell>
        </row>
        <row r="294">
          <cell r="B294">
            <v>190</v>
          </cell>
          <cell r="C294">
            <v>157</v>
          </cell>
          <cell r="G294">
            <v>-19759.91</v>
          </cell>
          <cell r="I294">
            <v>-310900.99</v>
          </cell>
        </row>
        <row r="295">
          <cell r="B295">
            <v>190</v>
          </cell>
          <cell r="C295">
            <v>158</v>
          </cell>
          <cell r="G295">
            <v>-6900.79</v>
          </cell>
          <cell r="I295">
            <v>-1514030.68</v>
          </cell>
        </row>
        <row r="296">
          <cell r="B296">
            <v>190</v>
          </cell>
          <cell r="C296">
            <v>237</v>
          </cell>
          <cell r="G296">
            <v>103.5</v>
          </cell>
          <cell r="I296">
            <v>1980287.5</v>
          </cell>
        </row>
        <row r="297">
          <cell r="B297">
            <v>190</v>
          </cell>
          <cell r="C297">
            <v>238</v>
          </cell>
          <cell r="G297">
            <v>17.25</v>
          </cell>
          <cell r="I297">
            <v>329299.25</v>
          </cell>
        </row>
        <row r="298">
          <cell r="B298">
            <v>190</v>
          </cell>
          <cell r="C298">
            <v>239</v>
          </cell>
          <cell r="G298">
            <v>-67011.58</v>
          </cell>
          <cell r="I298">
            <v>4584192.42</v>
          </cell>
        </row>
        <row r="299">
          <cell r="B299">
            <v>190</v>
          </cell>
          <cell r="C299">
            <v>240</v>
          </cell>
          <cell r="G299">
            <v>-11143.25</v>
          </cell>
          <cell r="I299">
            <v>762302.75</v>
          </cell>
        </row>
        <row r="300">
          <cell r="B300">
            <v>190</v>
          </cell>
          <cell r="C300">
            <v>481</v>
          </cell>
          <cell r="G300">
            <v>0</v>
          </cell>
          <cell r="I300">
            <v>132.16999999999999</v>
          </cell>
        </row>
        <row r="301">
          <cell r="B301">
            <v>190</v>
          </cell>
          <cell r="C301">
            <v>483</v>
          </cell>
          <cell r="G301">
            <v>0</v>
          </cell>
          <cell r="I301">
            <v>59995.43</v>
          </cell>
        </row>
        <row r="302">
          <cell r="B302">
            <v>190</v>
          </cell>
          <cell r="C302">
            <v>484</v>
          </cell>
          <cell r="G302">
            <v>0</v>
          </cell>
          <cell r="I302">
            <v>10077.969999999999</v>
          </cell>
        </row>
        <row r="303">
          <cell r="B303">
            <v>190</v>
          </cell>
          <cell r="C303">
            <v>1100</v>
          </cell>
          <cell r="G303">
            <v>-33667142.579999998</v>
          </cell>
          <cell r="I303">
            <v>0</v>
          </cell>
        </row>
        <row r="304">
          <cell r="B304">
            <v>190</v>
          </cell>
          <cell r="C304">
            <v>1101</v>
          </cell>
          <cell r="G304">
            <v>-597431.64</v>
          </cell>
          <cell r="I304">
            <v>728461</v>
          </cell>
        </row>
        <row r="305">
          <cell r="B305">
            <v>190</v>
          </cell>
          <cell r="C305">
            <v>1140</v>
          </cell>
          <cell r="G305">
            <v>610338.14</v>
          </cell>
          <cell r="I305">
            <v>0</v>
          </cell>
        </row>
        <row r="306">
          <cell r="B306">
            <v>190</v>
          </cell>
          <cell r="C306">
            <v>1150</v>
          </cell>
          <cell r="G306">
            <v>-15944.47</v>
          </cell>
          <cell r="I306">
            <v>0</v>
          </cell>
        </row>
        <row r="307">
          <cell r="B307">
            <v>190</v>
          </cell>
          <cell r="C307">
            <v>1160</v>
          </cell>
          <cell r="G307">
            <v>-5787.86</v>
          </cell>
          <cell r="I307">
            <v>0</v>
          </cell>
        </row>
        <row r="308">
          <cell r="B308">
            <v>190</v>
          </cell>
          <cell r="C308">
            <v>1303</v>
          </cell>
          <cell r="G308">
            <v>36357600.539999999</v>
          </cell>
          <cell r="I308">
            <v>36357600.539999999</v>
          </cell>
        </row>
        <row r="309">
          <cell r="B309">
            <v>190</v>
          </cell>
          <cell r="C309">
            <v>1304</v>
          </cell>
          <cell r="G309">
            <v>-695713.4</v>
          </cell>
          <cell r="I309">
            <v>-695713.4</v>
          </cell>
        </row>
        <row r="310">
          <cell r="B310">
            <v>190</v>
          </cell>
          <cell r="C310">
            <v>1307</v>
          </cell>
          <cell r="G310">
            <v>5691411.0800000001</v>
          </cell>
          <cell r="I310">
            <v>5691411.0800000001</v>
          </cell>
        </row>
        <row r="311">
          <cell r="B311">
            <v>190</v>
          </cell>
          <cell r="C311">
            <v>1403</v>
          </cell>
          <cell r="G311">
            <v>16151.24</v>
          </cell>
          <cell r="I311">
            <v>16151.24</v>
          </cell>
        </row>
        <row r="312">
          <cell r="B312">
            <v>190</v>
          </cell>
          <cell r="C312">
            <v>1404</v>
          </cell>
          <cell r="G312">
            <v>5776.49</v>
          </cell>
          <cell r="I312">
            <v>5776.49</v>
          </cell>
        </row>
        <row r="313">
          <cell r="B313">
            <v>190</v>
          </cell>
          <cell r="C313">
            <v>1407</v>
          </cell>
          <cell r="G313">
            <v>2538.21</v>
          </cell>
          <cell r="I313">
            <v>2538.21</v>
          </cell>
        </row>
        <row r="314">
          <cell r="B314">
            <v>190</v>
          </cell>
          <cell r="C314">
            <v>1703</v>
          </cell>
          <cell r="G314">
            <v>2169730.64</v>
          </cell>
          <cell r="I314">
            <v>2169730.64</v>
          </cell>
        </row>
        <row r="315">
          <cell r="B315">
            <v>190</v>
          </cell>
          <cell r="C315">
            <v>1707</v>
          </cell>
          <cell r="G315">
            <v>360782.68</v>
          </cell>
          <cell r="I315">
            <v>360782.68</v>
          </cell>
        </row>
        <row r="316">
          <cell r="B316">
            <v>190</v>
          </cell>
          <cell r="C316">
            <v>2100</v>
          </cell>
          <cell r="G316">
            <v>-5268624.83</v>
          </cell>
          <cell r="I316">
            <v>0</v>
          </cell>
        </row>
        <row r="317">
          <cell r="B317">
            <v>190</v>
          </cell>
          <cell r="C317">
            <v>2101</v>
          </cell>
          <cell r="G317">
            <v>-948923.68</v>
          </cell>
          <cell r="I317">
            <v>-728461</v>
          </cell>
        </row>
        <row r="318">
          <cell r="B318">
            <v>190</v>
          </cell>
          <cell r="C318">
            <v>2150</v>
          </cell>
          <cell r="G318">
            <v>-2505.7199999999998</v>
          </cell>
          <cell r="I318">
            <v>0</v>
          </cell>
        </row>
        <row r="319">
          <cell r="B319">
            <v>201</v>
          </cell>
          <cell r="C319">
            <v>0</v>
          </cell>
          <cell r="G319">
            <v>0</v>
          </cell>
          <cell r="I319">
            <v>-38060000</v>
          </cell>
        </row>
        <row r="320">
          <cell r="B320">
            <v>201</v>
          </cell>
          <cell r="C320">
            <v>1</v>
          </cell>
          <cell r="G320">
            <v>0</v>
          </cell>
          <cell r="I320">
            <v>-80000000</v>
          </cell>
        </row>
        <row r="321">
          <cell r="B321">
            <v>201</v>
          </cell>
          <cell r="C321">
            <v>2</v>
          </cell>
          <cell r="G321">
            <v>-50000000</v>
          </cell>
          <cell r="I321">
            <v>-185000000</v>
          </cell>
        </row>
        <row r="322">
          <cell r="B322">
            <v>204</v>
          </cell>
          <cell r="C322">
            <v>16</v>
          </cell>
          <cell r="G322">
            <v>0</v>
          </cell>
          <cell r="I322">
            <v>-55000000</v>
          </cell>
        </row>
        <row r="323">
          <cell r="B323">
            <v>204</v>
          </cell>
          <cell r="C323">
            <v>17</v>
          </cell>
          <cell r="G323">
            <v>0</v>
          </cell>
          <cell r="I323">
            <v>-45000000</v>
          </cell>
        </row>
        <row r="324">
          <cell r="B324">
            <v>211</v>
          </cell>
          <cell r="C324">
            <v>100</v>
          </cell>
          <cell r="G324">
            <v>0</v>
          </cell>
          <cell r="I324">
            <v>-517543369.97000003</v>
          </cell>
        </row>
        <row r="325">
          <cell r="B325">
            <v>211</v>
          </cell>
          <cell r="C325">
            <v>106</v>
          </cell>
          <cell r="G325">
            <v>8198292.75</v>
          </cell>
          <cell r="I325">
            <v>0</v>
          </cell>
        </row>
        <row r="326">
          <cell r="B326">
            <v>211</v>
          </cell>
          <cell r="C326">
            <v>109</v>
          </cell>
          <cell r="G326">
            <v>-8252857.3799999999</v>
          </cell>
          <cell r="I326">
            <v>-8252857.3799999999</v>
          </cell>
        </row>
        <row r="327">
          <cell r="B327">
            <v>211</v>
          </cell>
          <cell r="C327">
            <v>116</v>
          </cell>
          <cell r="G327">
            <v>8835668.0099999998</v>
          </cell>
          <cell r="I327">
            <v>0</v>
          </cell>
        </row>
        <row r="328">
          <cell r="B328">
            <v>211</v>
          </cell>
          <cell r="C328">
            <v>210</v>
          </cell>
          <cell r="G328">
            <v>-8883207.8399999999</v>
          </cell>
          <cell r="I328">
            <v>-8883207.8399999999</v>
          </cell>
        </row>
        <row r="329">
          <cell r="B329">
            <v>214</v>
          </cell>
          <cell r="C329">
            <v>16</v>
          </cell>
          <cell r="G329">
            <v>0</v>
          </cell>
          <cell r="I329">
            <v>1113664.32</v>
          </cell>
        </row>
        <row r="330">
          <cell r="B330">
            <v>214</v>
          </cell>
          <cell r="C330">
            <v>17</v>
          </cell>
          <cell r="G330">
            <v>0</v>
          </cell>
          <cell r="I330">
            <v>887990.42</v>
          </cell>
        </row>
        <row r="331">
          <cell r="B331">
            <v>216</v>
          </cell>
          <cell r="C331">
            <v>0</v>
          </cell>
          <cell r="G331">
            <v>-219116813.36000001</v>
          </cell>
          <cell r="I331">
            <v>-219116813.36000001</v>
          </cell>
        </row>
        <row r="332">
          <cell r="B332">
            <v>216</v>
          </cell>
          <cell r="C332">
            <v>100</v>
          </cell>
          <cell r="G332">
            <v>219116813.36000001</v>
          </cell>
          <cell r="I332">
            <v>0</v>
          </cell>
        </row>
        <row r="333">
          <cell r="B333">
            <v>219</v>
          </cell>
          <cell r="C333">
            <v>13</v>
          </cell>
          <cell r="G333">
            <v>4008794</v>
          </cell>
          <cell r="I333">
            <v>4008794</v>
          </cell>
        </row>
        <row r="334">
          <cell r="B334">
            <v>219</v>
          </cell>
          <cell r="C334">
            <v>63</v>
          </cell>
          <cell r="G334">
            <v>-1546347</v>
          </cell>
          <cell r="I334">
            <v>-1546347</v>
          </cell>
        </row>
        <row r="335">
          <cell r="B335">
            <v>219</v>
          </cell>
          <cell r="C335">
            <v>300</v>
          </cell>
          <cell r="G335">
            <v>-2122886</v>
          </cell>
          <cell r="I335">
            <v>0</v>
          </cell>
        </row>
        <row r="336">
          <cell r="B336">
            <v>219</v>
          </cell>
          <cell r="C336">
            <v>302</v>
          </cell>
          <cell r="G336">
            <v>-2720724</v>
          </cell>
          <cell r="I336">
            <v>0</v>
          </cell>
        </row>
        <row r="337">
          <cell r="B337">
            <v>219</v>
          </cell>
          <cell r="C337">
            <v>303</v>
          </cell>
          <cell r="G337">
            <v>-2640535</v>
          </cell>
          <cell r="I337">
            <v>0</v>
          </cell>
        </row>
        <row r="338">
          <cell r="B338">
            <v>219</v>
          </cell>
          <cell r="C338">
            <v>304</v>
          </cell>
          <cell r="G338">
            <v>3030000</v>
          </cell>
          <cell r="I338">
            <v>0</v>
          </cell>
        </row>
        <row r="339">
          <cell r="B339">
            <v>219</v>
          </cell>
          <cell r="C339">
            <v>305</v>
          </cell>
          <cell r="G339">
            <v>-2580000</v>
          </cell>
          <cell r="I339">
            <v>0</v>
          </cell>
        </row>
        <row r="340">
          <cell r="B340">
            <v>219</v>
          </cell>
          <cell r="C340">
            <v>306</v>
          </cell>
          <cell r="G340">
            <v>-2640000</v>
          </cell>
          <cell r="I340">
            <v>0</v>
          </cell>
        </row>
        <row r="341">
          <cell r="B341">
            <v>219</v>
          </cell>
          <cell r="C341">
            <v>500</v>
          </cell>
          <cell r="G341">
            <v>818902</v>
          </cell>
          <cell r="I341">
            <v>0</v>
          </cell>
        </row>
        <row r="342">
          <cell r="B342">
            <v>219</v>
          </cell>
          <cell r="C342">
            <v>502</v>
          </cell>
          <cell r="G342">
            <v>1049519</v>
          </cell>
          <cell r="I342">
            <v>0</v>
          </cell>
        </row>
        <row r="343">
          <cell r="B343">
            <v>219</v>
          </cell>
          <cell r="C343">
            <v>503</v>
          </cell>
          <cell r="G343">
            <v>1018586</v>
          </cell>
          <cell r="I343">
            <v>0</v>
          </cell>
        </row>
        <row r="344">
          <cell r="B344">
            <v>219</v>
          </cell>
          <cell r="C344">
            <v>504</v>
          </cell>
          <cell r="G344">
            <v>-1168823</v>
          </cell>
          <cell r="I344">
            <v>0</v>
          </cell>
        </row>
        <row r="345">
          <cell r="B345">
            <v>219</v>
          </cell>
          <cell r="C345">
            <v>505</v>
          </cell>
          <cell r="G345">
            <v>995235</v>
          </cell>
          <cell r="I345">
            <v>0</v>
          </cell>
        </row>
        <row r="346">
          <cell r="B346">
            <v>219</v>
          </cell>
          <cell r="C346">
            <v>506</v>
          </cell>
          <cell r="G346">
            <v>1018380</v>
          </cell>
          <cell r="I346">
            <v>0</v>
          </cell>
        </row>
        <row r="347">
          <cell r="B347">
            <v>219</v>
          </cell>
          <cell r="C347">
            <v>600</v>
          </cell>
          <cell r="G347">
            <v>979812</v>
          </cell>
          <cell r="I347">
            <v>0</v>
          </cell>
        </row>
        <row r="348">
          <cell r="B348">
            <v>219</v>
          </cell>
          <cell r="C348">
            <v>602</v>
          </cell>
          <cell r="G348">
            <v>821916</v>
          </cell>
          <cell r="I348">
            <v>0</v>
          </cell>
        </row>
        <row r="349">
          <cell r="B349">
            <v>219</v>
          </cell>
          <cell r="C349">
            <v>603</v>
          </cell>
          <cell r="G349">
            <v>797688</v>
          </cell>
          <cell r="I349">
            <v>0</v>
          </cell>
        </row>
        <row r="350">
          <cell r="B350">
            <v>219</v>
          </cell>
          <cell r="C350">
            <v>604</v>
          </cell>
          <cell r="G350">
            <v>-776017</v>
          </cell>
          <cell r="I350">
            <v>0</v>
          </cell>
        </row>
        <row r="351">
          <cell r="B351">
            <v>219</v>
          </cell>
          <cell r="C351">
            <v>605</v>
          </cell>
          <cell r="G351">
            <v>448633</v>
          </cell>
          <cell r="I351">
            <v>0</v>
          </cell>
        </row>
        <row r="352">
          <cell r="B352">
            <v>219</v>
          </cell>
          <cell r="C352">
            <v>606</v>
          </cell>
          <cell r="G352">
            <v>459067</v>
          </cell>
          <cell r="I352">
            <v>0</v>
          </cell>
        </row>
        <row r="353">
          <cell r="B353">
            <v>219</v>
          </cell>
          <cell r="C353">
            <v>700</v>
          </cell>
          <cell r="G353">
            <v>-377964</v>
          </cell>
          <cell r="I353">
            <v>0</v>
          </cell>
        </row>
        <row r="354">
          <cell r="B354">
            <v>219</v>
          </cell>
          <cell r="C354">
            <v>702</v>
          </cell>
          <cell r="G354">
            <v>-317052</v>
          </cell>
          <cell r="I354">
            <v>0</v>
          </cell>
        </row>
        <row r="355">
          <cell r="B355">
            <v>219</v>
          </cell>
          <cell r="C355">
            <v>703</v>
          </cell>
          <cell r="G355">
            <v>-307728</v>
          </cell>
          <cell r="I355">
            <v>0</v>
          </cell>
        </row>
        <row r="356">
          <cell r="B356">
            <v>219</v>
          </cell>
          <cell r="C356">
            <v>704</v>
          </cell>
          <cell r="G356">
            <v>299343</v>
          </cell>
          <cell r="I356">
            <v>0</v>
          </cell>
        </row>
        <row r="357">
          <cell r="B357">
            <v>219</v>
          </cell>
          <cell r="C357">
            <v>705</v>
          </cell>
          <cell r="G357">
            <v>-173068</v>
          </cell>
          <cell r="I357">
            <v>0</v>
          </cell>
        </row>
        <row r="358">
          <cell r="B358">
            <v>219</v>
          </cell>
          <cell r="C358">
            <v>706</v>
          </cell>
          <cell r="G358">
            <v>-177096</v>
          </cell>
          <cell r="I358">
            <v>0</v>
          </cell>
        </row>
        <row r="359">
          <cell r="B359">
            <v>219</v>
          </cell>
          <cell r="C359">
            <v>1707</v>
          </cell>
          <cell r="G359">
            <v>2055298</v>
          </cell>
          <cell r="I359">
            <v>1335188</v>
          </cell>
        </row>
        <row r="360">
          <cell r="B360">
            <v>219</v>
          </cell>
          <cell r="C360">
            <v>1708</v>
          </cell>
          <cell r="G360">
            <v>3520702</v>
          </cell>
          <cell r="I360">
            <v>1306560</v>
          </cell>
        </row>
        <row r="361">
          <cell r="B361">
            <v>219</v>
          </cell>
          <cell r="C361">
            <v>3701</v>
          </cell>
          <cell r="G361">
            <v>-27217</v>
          </cell>
          <cell r="I361">
            <v>-27217</v>
          </cell>
        </row>
        <row r="362">
          <cell r="B362">
            <v>219</v>
          </cell>
          <cell r="C362">
            <v>3702</v>
          </cell>
          <cell r="G362">
            <v>-22831</v>
          </cell>
          <cell r="I362">
            <v>-22831</v>
          </cell>
        </row>
        <row r="363">
          <cell r="B363">
            <v>219</v>
          </cell>
          <cell r="C363">
            <v>3703</v>
          </cell>
          <cell r="G363">
            <v>-22158</v>
          </cell>
          <cell r="I363">
            <v>-22158</v>
          </cell>
        </row>
        <row r="364">
          <cell r="B364">
            <v>219</v>
          </cell>
          <cell r="C364">
            <v>3704</v>
          </cell>
          <cell r="G364">
            <v>25250</v>
          </cell>
          <cell r="I364">
            <v>25250</v>
          </cell>
        </row>
        <row r="365">
          <cell r="B365">
            <v>219</v>
          </cell>
          <cell r="C365">
            <v>3705</v>
          </cell>
          <cell r="G365">
            <v>-21500</v>
          </cell>
          <cell r="I365">
            <v>-21500</v>
          </cell>
        </row>
        <row r="366">
          <cell r="B366">
            <v>219</v>
          </cell>
          <cell r="C366">
            <v>3706</v>
          </cell>
          <cell r="G366">
            <v>-22000</v>
          </cell>
          <cell r="I366">
            <v>-22000</v>
          </cell>
        </row>
        <row r="367">
          <cell r="B367">
            <v>219</v>
          </cell>
          <cell r="C367">
            <v>6707</v>
          </cell>
          <cell r="G367">
            <v>-792830</v>
          </cell>
          <cell r="I367">
            <v>-515048</v>
          </cell>
        </row>
        <row r="368">
          <cell r="B368">
            <v>219</v>
          </cell>
          <cell r="C368">
            <v>6708</v>
          </cell>
          <cell r="G368">
            <v>-1358110</v>
          </cell>
          <cell r="I368">
            <v>-504005</v>
          </cell>
        </row>
        <row r="369">
          <cell r="B369">
            <v>219</v>
          </cell>
          <cell r="C369">
            <v>8701</v>
          </cell>
          <cell r="G369">
            <v>10499</v>
          </cell>
          <cell r="I369">
            <v>10499</v>
          </cell>
        </row>
        <row r="370">
          <cell r="B370">
            <v>219</v>
          </cell>
          <cell r="C370">
            <v>8702</v>
          </cell>
          <cell r="G370">
            <v>8807</v>
          </cell>
          <cell r="I370">
            <v>8807</v>
          </cell>
        </row>
        <row r="371">
          <cell r="B371">
            <v>219</v>
          </cell>
          <cell r="C371">
            <v>8703</v>
          </cell>
          <cell r="G371">
            <v>8548</v>
          </cell>
          <cell r="I371">
            <v>8548</v>
          </cell>
        </row>
        <row r="372">
          <cell r="B372">
            <v>219</v>
          </cell>
          <cell r="C372">
            <v>8704</v>
          </cell>
          <cell r="G372">
            <v>-9740</v>
          </cell>
          <cell r="I372">
            <v>-9740</v>
          </cell>
        </row>
        <row r="373">
          <cell r="B373">
            <v>219</v>
          </cell>
          <cell r="C373">
            <v>8705</v>
          </cell>
          <cell r="G373">
            <v>8294</v>
          </cell>
          <cell r="I373">
            <v>8294</v>
          </cell>
        </row>
        <row r="374">
          <cell r="B374">
            <v>219</v>
          </cell>
          <cell r="C374">
            <v>8706</v>
          </cell>
          <cell r="G374">
            <v>8487</v>
          </cell>
          <cell r="I374">
            <v>8487</v>
          </cell>
        </row>
        <row r="375">
          <cell r="B375">
            <v>224</v>
          </cell>
          <cell r="C375">
            <v>450</v>
          </cell>
          <cell r="G375">
            <v>0</v>
          </cell>
          <cell r="I375">
            <v>-37000000</v>
          </cell>
        </row>
        <row r="376">
          <cell r="B376">
            <v>224</v>
          </cell>
          <cell r="C376">
            <v>458</v>
          </cell>
          <cell r="G376">
            <v>0</v>
          </cell>
          <cell r="I376">
            <v>-65000000</v>
          </cell>
        </row>
        <row r="377">
          <cell r="B377">
            <v>224</v>
          </cell>
          <cell r="C377">
            <v>459</v>
          </cell>
          <cell r="G377">
            <v>0</v>
          </cell>
          <cell r="I377">
            <v>-65400000</v>
          </cell>
        </row>
        <row r="378">
          <cell r="B378">
            <v>224</v>
          </cell>
          <cell r="C378">
            <v>719</v>
          </cell>
          <cell r="G378">
            <v>0</v>
          </cell>
          <cell r="I378">
            <v>-3930000</v>
          </cell>
        </row>
        <row r="379">
          <cell r="B379">
            <v>224</v>
          </cell>
          <cell r="C379">
            <v>721</v>
          </cell>
          <cell r="G379">
            <v>0</v>
          </cell>
          <cell r="I379">
            <v>-60000000</v>
          </cell>
        </row>
        <row r="380">
          <cell r="B380">
            <v>224</v>
          </cell>
          <cell r="C380">
            <v>722</v>
          </cell>
          <cell r="G380">
            <v>0</v>
          </cell>
          <cell r="I380">
            <v>-60000000</v>
          </cell>
        </row>
        <row r="381">
          <cell r="B381">
            <v>224</v>
          </cell>
          <cell r="C381">
            <v>723</v>
          </cell>
          <cell r="G381">
            <v>0</v>
          </cell>
          <cell r="I381">
            <v>-40000000</v>
          </cell>
        </row>
        <row r="382">
          <cell r="B382">
            <v>224</v>
          </cell>
          <cell r="C382">
            <v>746</v>
          </cell>
          <cell r="G382">
            <v>0</v>
          </cell>
          <cell r="I382">
            <v>-42000000</v>
          </cell>
        </row>
        <row r="383">
          <cell r="B383">
            <v>224</v>
          </cell>
          <cell r="C383">
            <v>748</v>
          </cell>
          <cell r="G383">
            <v>0</v>
          </cell>
          <cell r="I383">
            <v>-13000000</v>
          </cell>
        </row>
        <row r="384">
          <cell r="B384">
            <v>224</v>
          </cell>
          <cell r="C384">
            <v>749</v>
          </cell>
          <cell r="G384">
            <v>45000</v>
          </cell>
          <cell r="I384">
            <v>-62441000</v>
          </cell>
        </row>
        <row r="385">
          <cell r="B385">
            <v>224</v>
          </cell>
          <cell r="C385">
            <v>751</v>
          </cell>
          <cell r="G385">
            <v>0</v>
          </cell>
          <cell r="I385">
            <v>-32550000</v>
          </cell>
        </row>
        <row r="386">
          <cell r="B386">
            <v>224</v>
          </cell>
          <cell r="C386">
            <v>752</v>
          </cell>
          <cell r="G386">
            <v>0</v>
          </cell>
          <cell r="I386">
            <v>-29075000</v>
          </cell>
        </row>
        <row r="387">
          <cell r="B387">
            <v>224</v>
          </cell>
          <cell r="C387">
            <v>753</v>
          </cell>
          <cell r="G387">
            <v>0</v>
          </cell>
          <cell r="I387">
            <v>-35000000</v>
          </cell>
        </row>
        <row r="388">
          <cell r="B388">
            <v>224</v>
          </cell>
          <cell r="C388">
            <v>754</v>
          </cell>
          <cell r="G388">
            <v>0</v>
          </cell>
          <cell r="I388">
            <v>-75000000</v>
          </cell>
        </row>
        <row r="389">
          <cell r="B389">
            <v>224</v>
          </cell>
          <cell r="C389">
            <v>756</v>
          </cell>
          <cell r="G389">
            <v>0</v>
          </cell>
          <cell r="I389">
            <v>-60000000</v>
          </cell>
        </row>
        <row r="390">
          <cell r="B390">
            <v>224</v>
          </cell>
          <cell r="C390">
            <v>758</v>
          </cell>
          <cell r="G390">
            <v>0</v>
          </cell>
          <cell r="I390">
            <v>-110000000</v>
          </cell>
        </row>
        <row r="391">
          <cell r="B391">
            <v>224</v>
          </cell>
          <cell r="C391">
            <v>759</v>
          </cell>
          <cell r="G391">
            <v>0</v>
          </cell>
          <cell r="I391">
            <v>-85000000</v>
          </cell>
        </row>
        <row r="392">
          <cell r="B392">
            <v>224</v>
          </cell>
          <cell r="C392">
            <v>761</v>
          </cell>
          <cell r="G392">
            <v>0</v>
          </cell>
          <cell r="I392">
            <v>-110000000</v>
          </cell>
        </row>
        <row r="393">
          <cell r="B393">
            <v>224</v>
          </cell>
          <cell r="C393">
            <v>763</v>
          </cell>
          <cell r="G393">
            <v>0</v>
          </cell>
          <cell r="I393">
            <v>-140000000</v>
          </cell>
        </row>
        <row r="394">
          <cell r="B394">
            <v>226</v>
          </cell>
          <cell r="C394">
            <v>719</v>
          </cell>
          <cell r="G394">
            <v>-30.23</v>
          </cell>
          <cell r="I394">
            <v>4504.6400000000003</v>
          </cell>
        </row>
        <row r="395">
          <cell r="B395">
            <v>226</v>
          </cell>
          <cell r="C395">
            <v>721</v>
          </cell>
          <cell r="G395">
            <v>-3313.5</v>
          </cell>
          <cell r="I395">
            <v>135853.62</v>
          </cell>
        </row>
        <row r="396">
          <cell r="B396">
            <v>226</v>
          </cell>
          <cell r="C396">
            <v>722</v>
          </cell>
          <cell r="G396">
            <v>-5245.63</v>
          </cell>
          <cell r="I396">
            <v>1479266.05</v>
          </cell>
        </row>
        <row r="397">
          <cell r="B397">
            <v>226</v>
          </cell>
          <cell r="C397">
            <v>723</v>
          </cell>
          <cell r="G397">
            <v>-3495.14</v>
          </cell>
          <cell r="I397">
            <v>992619.36</v>
          </cell>
        </row>
        <row r="398">
          <cell r="B398">
            <v>226</v>
          </cell>
          <cell r="C398">
            <v>749</v>
          </cell>
          <cell r="G398">
            <v>-5465.22</v>
          </cell>
          <cell r="I398">
            <v>1519330.57</v>
          </cell>
        </row>
        <row r="399">
          <cell r="B399">
            <v>226</v>
          </cell>
          <cell r="C399">
            <v>753</v>
          </cell>
          <cell r="G399">
            <v>-2299.11</v>
          </cell>
          <cell r="I399">
            <v>942636.41</v>
          </cell>
        </row>
        <row r="400">
          <cell r="B400">
            <v>226</v>
          </cell>
          <cell r="C400">
            <v>754</v>
          </cell>
          <cell r="G400">
            <v>-4400.84</v>
          </cell>
          <cell r="I400">
            <v>246447.25</v>
          </cell>
        </row>
        <row r="401">
          <cell r="B401">
            <v>226</v>
          </cell>
          <cell r="C401">
            <v>756</v>
          </cell>
          <cell r="G401">
            <v>-739.86</v>
          </cell>
          <cell r="I401">
            <v>227138.76</v>
          </cell>
        </row>
        <row r="402">
          <cell r="B402">
            <v>226</v>
          </cell>
          <cell r="C402">
            <v>758</v>
          </cell>
          <cell r="G402">
            <v>-6181.55</v>
          </cell>
          <cell r="I402">
            <v>506887.07</v>
          </cell>
        </row>
        <row r="403">
          <cell r="B403">
            <v>226</v>
          </cell>
          <cell r="C403">
            <v>759</v>
          </cell>
          <cell r="G403">
            <v>-4905.3500000000004</v>
          </cell>
          <cell r="I403">
            <v>436576.15</v>
          </cell>
        </row>
        <row r="404">
          <cell r="B404">
            <v>228</v>
          </cell>
          <cell r="C404">
            <v>1100</v>
          </cell>
          <cell r="G404">
            <v>67798534.150000006</v>
          </cell>
          <cell r="I404">
            <v>0</v>
          </cell>
        </row>
        <row r="405">
          <cell r="B405">
            <v>228</v>
          </cell>
          <cell r="C405">
            <v>1102</v>
          </cell>
          <cell r="G405">
            <v>-42800000.07</v>
          </cell>
          <cell r="I405">
            <v>0</v>
          </cell>
        </row>
        <row r="406">
          <cell r="B406">
            <v>228</v>
          </cell>
          <cell r="C406">
            <v>1103</v>
          </cell>
          <cell r="G406">
            <v>-1730874.41</v>
          </cell>
          <cell r="I406">
            <v>0</v>
          </cell>
        </row>
        <row r="407">
          <cell r="B407">
            <v>228</v>
          </cell>
          <cell r="C407">
            <v>1104</v>
          </cell>
          <cell r="G407">
            <v>-50497963.25</v>
          </cell>
          <cell r="I407">
            <v>0</v>
          </cell>
        </row>
        <row r="408">
          <cell r="B408">
            <v>228</v>
          </cell>
          <cell r="C408">
            <v>1105</v>
          </cell>
          <cell r="G408">
            <v>-2077977.77</v>
          </cell>
          <cell r="I408">
            <v>0</v>
          </cell>
        </row>
        <row r="409">
          <cell r="B409">
            <v>228</v>
          </cell>
          <cell r="C409">
            <v>1106</v>
          </cell>
          <cell r="G409">
            <v>55474510.200000003</v>
          </cell>
          <cell r="I409">
            <v>0</v>
          </cell>
        </row>
        <row r="410">
          <cell r="B410">
            <v>228</v>
          </cell>
          <cell r="C410">
            <v>1108</v>
          </cell>
          <cell r="G410">
            <v>-1208964.93</v>
          </cell>
          <cell r="I410">
            <v>0</v>
          </cell>
        </row>
        <row r="411">
          <cell r="B411">
            <v>228</v>
          </cell>
          <cell r="C411">
            <v>1109</v>
          </cell>
          <cell r="G411">
            <v>2868142.72</v>
          </cell>
          <cell r="I411">
            <v>0</v>
          </cell>
        </row>
        <row r="412">
          <cell r="B412">
            <v>228</v>
          </cell>
          <cell r="C412">
            <v>1110</v>
          </cell>
          <cell r="G412">
            <v>-1684198.66</v>
          </cell>
          <cell r="I412">
            <v>0</v>
          </cell>
        </row>
        <row r="413">
          <cell r="B413">
            <v>228</v>
          </cell>
          <cell r="C413">
            <v>1111</v>
          </cell>
          <cell r="G413">
            <v>-2000000</v>
          </cell>
          <cell r="I413">
            <v>0</v>
          </cell>
        </row>
        <row r="414">
          <cell r="B414">
            <v>228</v>
          </cell>
          <cell r="C414">
            <v>1112</v>
          </cell>
          <cell r="G414">
            <v>-95323.88</v>
          </cell>
          <cell r="I414">
            <v>0</v>
          </cell>
        </row>
        <row r="415">
          <cell r="B415">
            <v>228</v>
          </cell>
          <cell r="C415">
            <v>2101</v>
          </cell>
          <cell r="G415">
            <v>0</v>
          </cell>
          <cell r="I415">
            <v>0</v>
          </cell>
        </row>
        <row r="416">
          <cell r="B416">
            <v>228</v>
          </cell>
          <cell r="C416">
            <v>2104</v>
          </cell>
          <cell r="G416">
            <v>0</v>
          </cell>
          <cell r="I416">
            <v>0</v>
          </cell>
        </row>
        <row r="417">
          <cell r="B417">
            <v>228</v>
          </cell>
          <cell r="C417">
            <v>2107</v>
          </cell>
          <cell r="G417">
            <v>0</v>
          </cell>
          <cell r="I417">
            <v>0</v>
          </cell>
        </row>
        <row r="418">
          <cell r="B418">
            <v>228</v>
          </cell>
          <cell r="C418">
            <v>2108</v>
          </cell>
          <cell r="G418">
            <v>0</v>
          </cell>
          <cell r="I418">
            <v>0</v>
          </cell>
        </row>
        <row r="419">
          <cell r="B419">
            <v>228</v>
          </cell>
          <cell r="C419">
            <v>2111</v>
          </cell>
          <cell r="G419">
            <v>0</v>
          </cell>
          <cell r="I419">
            <v>0</v>
          </cell>
        </row>
        <row r="420">
          <cell r="B420">
            <v>228</v>
          </cell>
          <cell r="C420">
            <v>2133</v>
          </cell>
          <cell r="G420">
            <v>0</v>
          </cell>
          <cell r="I420">
            <v>0</v>
          </cell>
        </row>
        <row r="421">
          <cell r="B421">
            <v>228</v>
          </cell>
          <cell r="C421">
            <v>2160</v>
          </cell>
          <cell r="G421">
            <v>2936145.7</v>
          </cell>
          <cell r="I421">
            <v>0</v>
          </cell>
        </row>
        <row r="422">
          <cell r="B422">
            <v>228</v>
          </cell>
          <cell r="C422">
            <v>3020</v>
          </cell>
          <cell r="G422">
            <v>17124647.52</v>
          </cell>
          <cell r="I422">
            <v>0</v>
          </cell>
        </row>
        <row r="423">
          <cell r="B423">
            <v>228</v>
          </cell>
          <cell r="C423">
            <v>3030</v>
          </cell>
          <cell r="G423">
            <v>41168980.240000002</v>
          </cell>
          <cell r="I423">
            <v>0</v>
          </cell>
        </row>
        <row r="424">
          <cell r="B424">
            <v>228</v>
          </cell>
          <cell r="C424">
            <v>3031</v>
          </cell>
          <cell r="G424">
            <v>-6303008.3200000003</v>
          </cell>
          <cell r="I424">
            <v>0</v>
          </cell>
        </row>
        <row r="425">
          <cell r="B425">
            <v>228</v>
          </cell>
          <cell r="C425">
            <v>3032</v>
          </cell>
          <cell r="G425">
            <v>11086689</v>
          </cell>
          <cell r="I425">
            <v>0</v>
          </cell>
        </row>
        <row r="426">
          <cell r="B426">
            <v>228</v>
          </cell>
          <cell r="C426">
            <v>10004</v>
          </cell>
          <cell r="G426">
            <v>-2868142.72</v>
          </cell>
          <cell r="I426">
            <v>-2868142.72</v>
          </cell>
        </row>
        <row r="427">
          <cell r="B427">
            <v>228</v>
          </cell>
          <cell r="C427">
            <v>10008</v>
          </cell>
          <cell r="G427">
            <v>1208964.93</v>
          </cell>
          <cell r="I427">
            <v>1208964.93</v>
          </cell>
        </row>
        <row r="428">
          <cell r="B428">
            <v>228</v>
          </cell>
          <cell r="C428">
            <v>10009</v>
          </cell>
          <cell r="G428">
            <v>95323.88</v>
          </cell>
          <cell r="I428">
            <v>95323.88</v>
          </cell>
        </row>
        <row r="429">
          <cell r="B429">
            <v>228</v>
          </cell>
          <cell r="C429">
            <v>11100</v>
          </cell>
          <cell r="G429">
            <v>-67798534.150000006</v>
          </cell>
          <cell r="I429">
            <v>-67798534.150000006</v>
          </cell>
        </row>
        <row r="430">
          <cell r="B430">
            <v>228</v>
          </cell>
          <cell r="C430">
            <v>11101</v>
          </cell>
          <cell r="G430">
            <v>-291667</v>
          </cell>
          <cell r="I430">
            <v>-291667</v>
          </cell>
        </row>
        <row r="431">
          <cell r="B431">
            <v>228</v>
          </cell>
          <cell r="C431">
            <v>11102</v>
          </cell>
          <cell r="G431">
            <v>42800000.07</v>
          </cell>
          <cell r="I431">
            <v>42800000.07</v>
          </cell>
        </row>
        <row r="432">
          <cell r="B432">
            <v>228</v>
          </cell>
          <cell r="C432">
            <v>11103</v>
          </cell>
          <cell r="G432">
            <v>1730874.41</v>
          </cell>
          <cell r="I432">
            <v>1730874.41</v>
          </cell>
        </row>
        <row r="433">
          <cell r="B433">
            <v>228</v>
          </cell>
          <cell r="C433">
            <v>11104</v>
          </cell>
          <cell r="G433">
            <v>50497963.25</v>
          </cell>
          <cell r="I433">
            <v>50497963.25</v>
          </cell>
        </row>
        <row r="434">
          <cell r="B434">
            <v>228</v>
          </cell>
          <cell r="C434">
            <v>11105</v>
          </cell>
          <cell r="G434">
            <v>2077977.77</v>
          </cell>
          <cell r="I434">
            <v>2077977.77</v>
          </cell>
        </row>
        <row r="435">
          <cell r="B435">
            <v>228</v>
          </cell>
          <cell r="C435">
            <v>11106</v>
          </cell>
          <cell r="G435">
            <v>-55478111.469999999</v>
          </cell>
          <cell r="I435">
            <v>-55478111.469999999</v>
          </cell>
        </row>
        <row r="436">
          <cell r="B436">
            <v>228</v>
          </cell>
          <cell r="C436">
            <v>11110</v>
          </cell>
          <cell r="G436">
            <v>1684198.66</v>
          </cell>
          <cell r="I436">
            <v>1684198.66</v>
          </cell>
        </row>
        <row r="437">
          <cell r="B437">
            <v>228</v>
          </cell>
          <cell r="C437">
            <v>11111</v>
          </cell>
          <cell r="G437">
            <v>2000000</v>
          </cell>
          <cell r="I437">
            <v>2000000</v>
          </cell>
        </row>
        <row r="438">
          <cell r="B438">
            <v>228</v>
          </cell>
          <cell r="C438">
            <v>20101</v>
          </cell>
          <cell r="G438">
            <v>18402.330000000002</v>
          </cell>
          <cell r="I438">
            <v>18402.330000000002</v>
          </cell>
        </row>
        <row r="439">
          <cell r="B439">
            <v>228</v>
          </cell>
          <cell r="C439">
            <v>22104</v>
          </cell>
          <cell r="G439">
            <v>32746.76</v>
          </cell>
          <cell r="I439">
            <v>32746.76</v>
          </cell>
        </row>
        <row r="440">
          <cell r="B440">
            <v>228</v>
          </cell>
          <cell r="C440">
            <v>22107</v>
          </cell>
          <cell r="G440">
            <v>6770.49</v>
          </cell>
          <cell r="I440">
            <v>6770.49</v>
          </cell>
        </row>
        <row r="441">
          <cell r="B441">
            <v>228</v>
          </cell>
          <cell r="C441">
            <v>22108</v>
          </cell>
          <cell r="G441">
            <v>29464.35</v>
          </cell>
          <cell r="I441">
            <v>29464.35</v>
          </cell>
        </row>
        <row r="442">
          <cell r="B442">
            <v>228</v>
          </cell>
          <cell r="C442">
            <v>22111</v>
          </cell>
          <cell r="G442">
            <v>5834</v>
          </cell>
          <cell r="I442">
            <v>5834</v>
          </cell>
        </row>
        <row r="443">
          <cell r="B443">
            <v>228</v>
          </cell>
          <cell r="C443">
            <v>22133</v>
          </cell>
          <cell r="G443">
            <v>14860.38</v>
          </cell>
          <cell r="I443">
            <v>14860.38</v>
          </cell>
        </row>
        <row r="444">
          <cell r="B444">
            <v>228</v>
          </cell>
          <cell r="C444">
            <v>22160</v>
          </cell>
          <cell r="G444">
            <v>-3069479.03</v>
          </cell>
          <cell r="I444">
            <v>-3069479.03</v>
          </cell>
        </row>
        <row r="445">
          <cell r="B445">
            <v>228</v>
          </cell>
          <cell r="C445">
            <v>30012</v>
          </cell>
          <cell r="G445">
            <v>-92749</v>
          </cell>
          <cell r="I445">
            <v>-92749</v>
          </cell>
        </row>
        <row r="446">
          <cell r="B446">
            <v>228</v>
          </cell>
          <cell r="C446">
            <v>30014</v>
          </cell>
          <cell r="G446">
            <v>-7690558.3099999996</v>
          </cell>
          <cell r="I446">
            <v>-7690558.3099999996</v>
          </cell>
        </row>
        <row r="447">
          <cell r="B447">
            <v>228</v>
          </cell>
          <cell r="C447">
            <v>30019</v>
          </cell>
          <cell r="G447">
            <v>-172714.03</v>
          </cell>
          <cell r="I447">
            <v>-172714.03</v>
          </cell>
        </row>
        <row r="448">
          <cell r="B448">
            <v>228</v>
          </cell>
          <cell r="C448">
            <v>30028</v>
          </cell>
          <cell r="G448">
            <v>-6405698</v>
          </cell>
          <cell r="I448">
            <v>-6405698</v>
          </cell>
        </row>
        <row r="449">
          <cell r="B449">
            <v>228</v>
          </cell>
          <cell r="C449">
            <v>30030</v>
          </cell>
          <cell r="G449">
            <v>-17167467.41</v>
          </cell>
          <cell r="I449">
            <v>-17167467.41</v>
          </cell>
        </row>
        <row r="450">
          <cell r="B450">
            <v>228</v>
          </cell>
          <cell r="C450">
            <v>30050</v>
          </cell>
          <cell r="G450">
            <v>-41208179.359999999</v>
          </cell>
          <cell r="I450">
            <v>-41208179.359999999</v>
          </cell>
        </row>
        <row r="451">
          <cell r="B451">
            <v>228</v>
          </cell>
          <cell r="C451">
            <v>30056</v>
          </cell>
          <cell r="G451">
            <v>-9634527</v>
          </cell>
          <cell r="I451">
            <v>-9634527</v>
          </cell>
        </row>
        <row r="452">
          <cell r="B452">
            <v>228</v>
          </cell>
          <cell r="C452">
            <v>30068</v>
          </cell>
          <cell r="G452">
            <v>13013775</v>
          </cell>
          <cell r="I452">
            <v>-78788259</v>
          </cell>
        </row>
        <row r="453">
          <cell r="B453">
            <v>228</v>
          </cell>
          <cell r="C453">
            <v>30070</v>
          </cell>
          <cell r="G453">
            <v>0</v>
          </cell>
          <cell r="I453">
            <v>-1510503</v>
          </cell>
        </row>
        <row r="454">
          <cell r="B454">
            <v>228</v>
          </cell>
          <cell r="C454">
            <v>30100</v>
          </cell>
          <cell r="G454">
            <v>6337080.0999999996</v>
          </cell>
          <cell r="I454">
            <v>6337080.0999999996</v>
          </cell>
        </row>
        <row r="455">
          <cell r="B455">
            <v>229</v>
          </cell>
          <cell r="C455">
            <v>4</v>
          </cell>
          <cell r="G455">
            <v>-200563.72</v>
          </cell>
          <cell r="I455">
            <v>-200563.72</v>
          </cell>
        </row>
        <row r="456">
          <cell r="B456">
            <v>229</v>
          </cell>
          <cell r="C456">
            <v>124</v>
          </cell>
          <cell r="G456">
            <v>200563.72</v>
          </cell>
          <cell r="I456">
            <v>0</v>
          </cell>
        </row>
        <row r="457">
          <cell r="B457">
            <v>230</v>
          </cell>
          <cell r="C457">
            <v>600</v>
          </cell>
          <cell r="G457">
            <v>-44294.15</v>
          </cell>
          <cell r="I457">
            <v>-10589687.199999999</v>
          </cell>
        </row>
        <row r="458">
          <cell r="B458">
            <v>230</v>
          </cell>
          <cell r="C458">
            <v>650</v>
          </cell>
          <cell r="G458">
            <v>-4675.1099999999997</v>
          </cell>
          <cell r="I458">
            <v>-852802.22</v>
          </cell>
        </row>
        <row r="459">
          <cell r="B459">
            <v>230</v>
          </cell>
          <cell r="C459">
            <v>660</v>
          </cell>
          <cell r="G459">
            <v>-264.63</v>
          </cell>
          <cell r="I459">
            <v>-58361.7</v>
          </cell>
        </row>
        <row r="460">
          <cell r="B460">
            <v>230</v>
          </cell>
          <cell r="C460">
            <v>670</v>
          </cell>
          <cell r="G460">
            <v>-1085.49</v>
          </cell>
          <cell r="I460">
            <v>-240939.32</v>
          </cell>
        </row>
        <row r="461">
          <cell r="B461">
            <v>230</v>
          </cell>
          <cell r="C461">
            <v>680</v>
          </cell>
          <cell r="G461">
            <v>-4155.55</v>
          </cell>
          <cell r="I461">
            <v>-920452.97</v>
          </cell>
        </row>
        <row r="462">
          <cell r="B462">
            <v>231</v>
          </cell>
          <cell r="C462">
            <v>128</v>
          </cell>
          <cell r="G462">
            <v>0</v>
          </cell>
          <cell r="I462">
            <v>-554015</v>
          </cell>
        </row>
        <row r="463">
          <cell r="B463">
            <v>231</v>
          </cell>
          <cell r="C463">
            <v>129</v>
          </cell>
          <cell r="G463">
            <v>0</v>
          </cell>
          <cell r="I463">
            <v>-889000</v>
          </cell>
        </row>
        <row r="464">
          <cell r="B464">
            <v>232</v>
          </cell>
          <cell r="C464">
            <v>30</v>
          </cell>
          <cell r="G464">
            <v>-390267.33</v>
          </cell>
          <cell r="I464">
            <v>-390267.33</v>
          </cell>
        </row>
        <row r="465">
          <cell r="B465">
            <v>232</v>
          </cell>
          <cell r="C465">
            <v>37</v>
          </cell>
          <cell r="G465">
            <v>-15170795.130000001</v>
          </cell>
          <cell r="I465">
            <v>-15170795.130000001</v>
          </cell>
        </row>
        <row r="466">
          <cell r="B466">
            <v>232</v>
          </cell>
          <cell r="C466">
            <v>100</v>
          </cell>
          <cell r="G466">
            <v>-0.1</v>
          </cell>
          <cell r="I466">
            <v>-0.1</v>
          </cell>
        </row>
        <row r="467">
          <cell r="B467">
            <v>232</v>
          </cell>
          <cell r="C467">
            <v>175</v>
          </cell>
          <cell r="G467">
            <v>-90.16</v>
          </cell>
          <cell r="I467">
            <v>-90.16</v>
          </cell>
        </row>
        <row r="468">
          <cell r="B468">
            <v>232</v>
          </cell>
          <cell r="C468">
            <v>222</v>
          </cell>
          <cell r="G468">
            <v>-806.73</v>
          </cell>
          <cell r="I468">
            <v>-806.73</v>
          </cell>
        </row>
        <row r="469">
          <cell r="B469">
            <v>232</v>
          </cell>
          <cell r="C469">
            <v>223</v>
          </cell>
          <cell r="G469">
            <v>-12680.98</v>
          </cell>
          <cell r="I469">
            <v>-12680.98</v>
          </cell>
        </row>
        <row r="470">
          <cell r="B470">
            <v>232</v>
          </cell>
          <cell r="C470">
            <v>230</v>
          </cell>
          <cell r="G470">
            <v>-789.47</v>
          </cell>
          <cell r="I470">
            <v>-789.47</v>
          </cell>
        </row>
        <row r="471">
          <cell r="B471">
            <v>232</v>
          </cell>
          <cell r="C471">
            <v>390</v>
          </cell>
          <cell r="G471">
            <v>-5637150.1900000004</v>
          </cell>
          <cell r="I471">
            <v>-5637150.1900000004</v>
          </cell>
        </row>
        <row r="472">
          <cell r="B472">
            <v>232</v>
          </cell>
          <cell r="C472">
            <v>400</v>
          </cell>
          <cell r="G472">
            <v>11870080.65</v>
          </cell>
          <cell r="I472">
            <v>-9237918.3599999994</v>
          </cell>
        </row>
        <row r="473">
          <cell r="B473">
            <v>232</v>
          </cell>
          <cell r="C473">
            <v>401</v>
          </cell>
          <cell r="G473">
            <v>6113724.2400000002</v>
          </cell>
          <cell r="I473">
            <v>0</v>
          </cell>
        </row>
        <row r="474">
          <cell r="B474">
            <v>232</v>
          </cell>
          <cell r="C474">
            <v>408</v>
          </cell>
          <cell r="G474">
            <v>-993.09</v>
          </cell>
          <cell r="I474">
            <v>-993.09</v>
          </cell>
        </row>
        <row r="475">
          <cell r="B475">
            <v>232</v>
          </cell>
          <cell r="C475">
            <v>409</v>
          </cell>
          <cell r="G475">
            <v>76.12</v>
          </cell>
          <cell r="I475">
            <v>76.12</v>
          </cell>
        </row>
        <row r="476">
          <cell r="B476">
            <v>232</v>
          </cell>
          <cell r="C476">
            <v>412</v>
          </cell>
          <cell r="G476">
            <v>10.6</v>
          </cell>
          <cell r="I476">
            <v>10.6</v>
          </cell>
        </row>
        <row r="477">
          <cell r="B477">
            <v>232</v>
          </cell>
          <cell r="C477">
            <v>421</v>
          </cell>
          <cell r="G477">
            <v>-793.13</v>
          </cell>
          <cell r="I477">
            <v>-793.13</v>
          </cell>
        </row>
        <row r="478">
          <cell r="B478">
            <v>232</v>
          </cell>
          <cell r="C478">
            <v>431</v>
          </cell>
          <cell r="G478">
            <v>-0.2</v>
          </cell>
          <cell r="I478">
            <v>-0.2</v>
          </cell>
        </row>
        <row r="479">
          <cell r="B479">
            <v>232</v>
          </cell>
          <cell r="C479">
            <v>432</v>
          </cell>
          <cell r="G479">
            <v>-23.26</v>
          </cell>
          <cell r="I479">
            <v>-23.26</v>
          </cell>
        </row>
        <row r="480">
          <cell r="B480">
            <v>232</v>
          </cell>
          <cell r="C480">
            <v>440</v>
          </cell>
          <cell r="G480">
            <v>52.2</v>
          </cell>
          <cell r="I480">
            <v>52.2</v>
          </cell>
        </row>
        <row r="481">
          <cell r="B481">
            <v>232</v>
          </cell>
          <cell r="C481">
            <v>445</v>
          </cell>
          <cell r="G481">
            <v>-3161.96</v>
          </cell>
          <cell r="I481">
            <v>-3161.96</v>
          </cell>
        </row>
        <row r="482">
          <cell r="B482">
            <v>232</v>
          </cell>
          <cell r="C482">
            <v>450</v>
          </cell>
          <cell r="G482">
            <v>793.13</v>
          </cell>
          <cell r="I482">
            <v>793.13</v>
          </cell>
        </row>
        <row r="483">
          <cell r="B483">
            <v>232</v>
          </cell>
          <cell r="C483">
            <v>460</v>
          </cell>
          <cell r="G483">
            <v>12173897.619999999</v>
          </cell>
          <cell r="I483">
            <v>0</v>
          </cell>
        </row>
        <row r="484">
          <cell r="B484">
            <v>232</v>
          </cell>
          <cell r="C484">
            <v>462</v>
          </cell>
          <cell r="G484">
            <v>13210968.51</v>
          </cell>
          <cell r="I484">
            <v>0</v>
          </cell>
        </row>
        <row r="485">
          <cell r="B485">
            <v>232</v>
          </cell>
          <cell r="C485">
            <v>463</v>
          </cell>
          <cell r="G485">
            <v>-19849.54</v>
          </cell>
          <cell r="I485">
            <v>0</v>
          </cell>
        </row>
        <row r="486">
          <cell r="B486">
            <v>232</v>
          </cell>
          <cell r="C486">
            <v>464</v>
          </cell>
          <cell r="G486">
            <v>3396621.78</v>
          </cell>
          <cell r="I486">
            <v>0</v>
          </cell>
        </row>
        <row r="487">
          <cell r="B487">
            <v>232</v>
          </cell>
          <cell r="C487">
            <v>500</v>
          </cell>
          <cell r="G487">
            <v>5647196.5700000003</v>
          </cell>
          <cell r="I487">
            <v>-11156427.16</v>
          </cell>
        </row>
        <row r="488">
          <cell r="B488">
            <v>232</v>
          </cell>
          <cell r="C488">
            <v>520</v>
          </cell>
          <cell r="G488">
            <v>-16220243.52</v>
          </cell>
          <cell r="I488">
            <v>-16220243.52</v>
          </cell>
        </row>
        <row r="489">
          <cell r="B489">
            <v>232</v>
          </cell>
          <cell r="C489">
            <v>700</v>
          </cell>
          <cell r="G489">
            <v>-146128.06</v>
          </cell>
          <cell r="I489">
            <v>-146128.06</v>
          </cell>
        </row>
        <row r="490">
          <cell r="B490">
            <v>232</v>
          </cell>
          <cell r="C490">
            <v>711</v>
          </cell>
          <cell r="G490">
            <v>810.36</v>
          </cell>
          <cell r="I490">
            <v>23074.19</v>
          </cell>
        </row>
        <row r="491">
          <cell r="B491">
            <v>232</v>
          </cell>
          <cell r="C491">
            <v>745</v>
          </cell>
          <cell r="G491">
            <v>-6621.23</v>
          </cell>
          <cell r="I491">
            <v>-6621.23</v>
          </cell>
        </row>
        <row r="492">
          <cell r="B492">
            <v>232</v>
          </cell>
          <cell r="C492">
            <v>800</v>
          </cell>
          <cell r="G492">
            <v>137889.69</v>
          </cell>
          <cell r="I492">
            <v>0</v>
          </cell>
        </row>
        <row r="493">
          <cell r="B493">
            <v>232</v>
          </cell>
          <cell r="C493">
            <v>850</v>
          </cell>
          <cell r="G493">
            <v>6621.23</v>
          </cell>
          <cell r="I493">
            <v>0</v>
          </cell>
        </row>
        <row r="494">
          <cell r="B494">
            <v>232</v>
          </cell>
          <cell r="C494">
            <v>907</v>
          </cell>
          <cell r="G494">
            <v>-18542729.199999999</v>
          </cell>
          <cell r="I494">
            <v>-18542729.199999999</v>
          </cell>
        </row>
        <row r="495">
          <cell r="B495">
            <v>232</v>
          </cell>
          <cell r="C495">
            <v>911</v>
          </cell>
          <cell r="G495">
            <v>2396338.13</v>
          </cell>
          <cell r="I495">
            <v>2396338.13</v>
          </cell>
        </row>
        <row r="496">
          <cell r="B496">
            <v>232</v>
          </cell>
          <cell r="C496">
            <v>921</v>
          </cell>
          <cell r="G496">
            <v>863134.65</v>
          </cell>
          <cell r="I496">
            <v>-254694.12</v>
          </cell>
        </row>
        <row r="497">
          <cell r="B497">
            <v>232</v>
          </cell>
          <cell r="C497">
            <v>924</v>
          </cell>
          <cell r="G497">
            <v>-35639.870000000003</v>
          </cell>
          <cell r="I497">
            <v>-427782.67</v>
          </cell>
        </row>
        <row r="498">
          <cell r="B498">
            <v>232</v>
          </cell>
          <cell r="C498">
            <v>926</v>
          </cell>
          <cell r="G498">
            <v>0</v>
          </cell>
          <cell r="I498">
            <v>-1862211</v>
          </cell>
        </row>
        <row r="499">
          <cell r="B499">
            <v>232</v>
          </cell>
          <cell r="C499">
            <v>927</v>
          </cell>
          <cell r="G499">
            <v>-98836.92</v>
          </cell>
          <cell r="I499">
            <v>-926994.75</v>
          </cell>
        </row>
        <row r="500">
          <cell r="B500">
            <v>232</v>
          </cell>
          <cell r="C500">
            <v>942</v>
          </cell>
          <cell r="G500">
            <v>244677.84</v>
          </cell>
          <cell r="I500">
            <v>0</v>
          </cell>
        </row>
        <row r="501">
          <cell r="B501">
            <v>232</v>
          </cell>
          <cell r="C501">
            <v>943</v>
          </cell>
          <cell r="G501">
            <v>-457222.13</v>
          </cell>
          <cell r="I501">
            <v>-457222.13</v>
          </cell>
        </row>
        <row r="502">
          <cell r="B502">
            <v>233</v>
          </cell>
          <cell r="C502">
            <v>20</v>
          </cell>
          <cell r="G502">
            <v>32595547.170000002</v>
          </cell>
          <cell r="I502">
            <v>-56292208.890000001</v>
          </cell>
        </row>
        <row r="503">
          <cell r="B503">
            <v>234</v>
          </cell>
          <cell r="C503">
            <v>100</v>
          </cell>
          <cell r="G503">
            <v>29627.33</v>
          </cell>
          <cell r="I503">
            <v>-408594.01</v>
          </cell>
        </row>
        <row r="504">
          <cell r="B504">
            <v>234</v>
          </cell>
          <cell r="C504">
            <v>300</v>
          </cell>
          <cell r="G504">
            <v>-25897.26</v>
          </cell>
          <cell r="I504">
            <v>-177524</v>
          </cell>
        </row>
        <row r="505">
          <cell r="B505">
            <v>234</v>
          </cell>
          <cell r="C505">
            <v>301</v>
          </cell>
          <cell r="G505">
            <v>760868.39</v>
          </cell>
          <cell r="I505">
            <v>760868.39</v>
          </cell>
        </row>
        <row r="506">
          <cell r="B506">
            <v>234</v>
          </cell>
          <cell r="C506">
            <v>302</v>
          </cell>
          <cell r="G506">
            <v>60693.59</v>
          </cell>
          <cell r="I506">
            <v>-493329.24</v>
          </cell>
        </row>
        <row r="507">
          <cell r="B507">
            <v>234</v>
          </cell>
          <cell r="C507">
            <v>305</v>
          </cell>
          <cell r="G507">
            <v>353178.3</v>
          </cell>
          <cell r="I507">
            <v>0</v>
          </cell>
        </row>
        <row r="508">
          <cell r="B508">
            <v>234</v>
          </cell>
          <cell r="C508">
            <v>306</v>
          </cell>
          <cell r="G508">
            <v>-18369.8</v>
          </cell>
          <cell r="I508">
            <v>-18369.8</v>
          </cell>
        </row>
        <row r="509">
          <cell r="B509">
            <v>234</v>
          </cell>
          <cell r="C509">
            <v>308</v>
          </cell>
          <cell r="G509">
            <v>55345.89</v>
          </cell>
          <cell r="I509">
            <v>55345.89</v>
          </cell>
        </row>
        <row r="510">
          <cell r="B510">
            <v>234</v>
          </cell>
          <cell r="C510">
            <v>500</v>
          </cell>
          <cell r="G510">
            <v>-2241637.7200000002</v>
          </cell>
          <cell r="I510">
            <v>-2258934.2799999998</v>
          </cell>
        </row>
        <row r="511">
          <cell r="B511">
            <v>234</v>
          </cell>
          <cell r="C511">
            <v>501</v>
          </cell>
          <cell r="G511">
            <v>45475.62</v>
          </cell>
          <cell r="I511">
            <v>-318986.15000000002</v>
          </cell>
        </row>
        <row r="512">
          <cell r="B512">
            <v>234</v>
          </cell>
          <cell r="C512">
            <v>505</v>
          </cell>
          <cell r="G512">
            <v>6962674.4400000004</v>
          </cell>
          <cell r="I512">
            <v>0</v>
          </cell>
        </row>
        <row r="513">
          <cell r="B513">
            <v>234</v>
          </cell>
          <cell r="C513">
            <v>506</v>
          </cell>
          <cell r="G513">
            <v>91501.53</v>
          </cell>
          <cell r="I513">
            <v>-47607.82</v>
          </cell>
        </row>
        <row r="514">
          <cell r="B514">
            <v>234</v>
          </cell>
          <cell r="C514">
            <v>507</v>
          </cell>
          <cell r="G514">
            <v>-6205729.6100000003</v>
          </cell>
          <cell r="I514">
            <v>-6205729.6100000003</v>
          </cell>
        </row>
        <row r="515">
          <cell r="B515">
            <v>234</v>
          </cell>
          <cell r="C515">
            <v>508</v>
          </cell>
          <cell r="G515">
            <v>168516.36</v>
          </cell>
          <cell r="I515">
            <v>-2270815.5699999998</v>
          </cell>
        </row>
        <row r="516">
          <cell r="B516">
            <v>234</v>
          </cell>
          <cell r="C516">
            <v>509</v>
          </cell>
          <cell r="G516">
            <v>0</v>
          </cell>
          <cell r="I516">
            <v>-1085473.3999999999</v>
          </cell>
        </row>
        <row r="517">
          <cell r="B517">
            <v>234</v>
          </cell>
          <cell r="C517">
            <v>610</v>
          </cell>
          <cell r="G517">
            <v>218084.46</v>
          </cell>
          <cell r="I517">
            <v>0</v>
          </cell>
        </row>
        <row r="518">
          <cell r="B518">
            <v>234</v>
          </cell>
          <cell r="C518">
            <v>700</v>
          </cell>
          <cell r="G518">
            <v>16845161.219999999</v>
          </cell>
          <cell r="I518">
            <v>0</v>
          </cell>
        </row>
        <row r="519">
          <cell r="B519">
            <v>234</v>
          </cell>
          <cell r="C519">
            <v>702</v>
          </cell>
          <cell r="G519">
            <v>16590.59</v>
          </cell>
          <cell r="I519">
            <v>0</v>
          </cell>
        </row>
        <row r="520">
          <cell r="B520">
            <v>234</v>
          </cell>
          <cell r="C520">
            <v>704</v>
          </cell>
          <cell r="G520">
            <v>16833362.059999999</v>
          </cell>
          <cell r="I520">
            <v>0</v>
          </cell>
        </row>
        <row r="521">
          <cell r="B521">
            <v>234</v>
          </cell>
          <cell r="C521">
            <v>705</v>
          </cell>
          <cell r="G521">
            <v>679353.35</v>
          </cell>
          <cell r="I521">
            <v>0</v>
          </cell>
        </row>
        <row r="522">
          <cell r="B522">
            <v>234</v>
          </cell>
          <cell r="C522">
            <v>708</v>
          </cell>
          <cell r="G522">
            <v>-15159764.67</v>
          </cell>
          <cell r="I522">
            <v>-15159764.67</v>
          </cell>
        </row>
        <row r="523">
          <cell r="B523">
            <v>234</v>
          </cell>
          <cell r="C523">
            <v>741</v>
          </cell>
          <cell r="G523">
            <v>48215</v>
          </cell>
          <cell r="I523">
            <v>0</v>
          </cell>
        </row>
        <row r="524">
          <cell r="B524">
            <v>234</v>
          </cell>
          <cell r="C524">
            <v>771</v>
          </cell>
          <cell r="G524">
            <v>-10467284.640000001</v>
          </cell>
          <cell r="I524">
            <v>-10467284.640000001</v>
          </cell>
        </row>
        <row r="525">
          <cell r="B525">
            <v>234</v>
          </cell>
          <cell r="C525">
            <v>804</v>
          </cell>
          <cell r="G525">
            <v>-348739.99</v>
          </cell>
          <cell r="I525">
            <v>-348739.99</v>
          </cell>
        </row>
        <row r="526">
          <cell r="B526">
            <v>234</v>
          </cell>
          <cell r="C526">
            <v>900</v>
          </cell>
          <cell r="G526">
            <v>-728845.11</v>
          </cell>
          <cell r="I526">
            <v>-728845.11</v>
          </cell>
        </row>
        <row r="527">
          <cell r="B527">
            <v>234</v>
          </cell>
          <cell r="C527">
            <v>901</v>
          </cell>
          <cell r="G527">
            <v>11698.65</v>
          </cell>
          <cell r="I527">
            <v>0</v>
          </cell>
        </row>
        <row r="528">
          <cell r="B528">
            <v>234</v>
          </cell>
          <cell r="C528">
            <v>1042</v>
          </cell>
          <cell r="G528">
            <v>-17.5</v>
          </cell>
          <cell r="I528">
            <v>-17.5</v>
          </cell>
        </row>
        <row r="529">
          <cell r="B529">
            <v>235</v>
          </cell>
          <cell r="C529">
            <v>100</v>
          </cell>
          <cell r="G529">
            <v>-641655.84</v>
          </cell>
          <cell r="I529">
            <v>-33002300.010000002</v>
          </cell>
        </row>
        <row r="530">
          <cell r="B530">
            <v>236</v>
          </cell>
          <cell r="C530">
            <v>1</v>
          </cell>
          <cell r="G530">
            <v>-26156</v>
          </cell>
          <cell r="I530">
            <v>0</v>
          </cell>
        </row>
        <row r="531">
          <cell r="B531">
            <v>236</v>
          </cell>
          <cell r="C531">
            <v>9</v>
          </cell>
          <cell r="G531">
            <v>2796162.15</v>
          </cell>
          <cell r="I531">
            <v>0</v>
          </cell>
        </row>
        <row r="532">
          <cell r="B532">
            <v>236</v>
          </cell>
          <cell r="C532">
            <v>11</v>
          </cell>
          <cell r="G532">
            <v>-93162.21</v>
          </cell>
          <cell r="I532">
            <v>0</v>
          </cell>
        </row>
        <row r="533">
          <cell r="B533">
            <v>236</v>
          </cell>
          <cell r="C533">
            <v>12</v>
          </cell>
          <cell r="G533">
            <v>-721853.91</v>
          </cell>
          <cell r="I533">
            <v>0</v>
          </cell>
        </row>
        <row r="534">
          <cell r="B534">
            <v>236</v>
          </cell>
          <cell r="C534">
            <v>20</v>
          </cell>
          <cell r="G534">
            <v>-16307.92</v>
          </cell>
          <cell r="I534">
            <v>0</v>
          </cell>
        </row>
        <row r="535">
          <cell r="B535">
            <v>236</v>
          </cell>
          <cell r="C535">
            <v>21</v>
          </cell>
          <cell r="G535">
            <v>835865.94</v>
          </cell>
          <cell r="I535">
            <v>0</v>
          </cell>
        </row>
        <row r="536">
          <cell r="B536">
            <v>236</v>
          </cell>
          <cell r="C536">
            <v>25</v>
          </cell>
          <cell r="G536">
            <v>-5115.21</v>
          </cell>
          <cell r="I536">
            <v>0</v>
          </cell>
        </row>
        <row r="537">
          <cell r="B537">
            <v>236</v>
          </cell>
          <cell r="C537">
            <v>28</v>
          </cell>
          <cell r="G537">
            <v>142524</v>
          </cell>
          <cell r="I537">
            <v>0</v>
          </cell>
        </row>
        <row r="538">
          <cell r="B538">
            <v>236</v>
          </cell>
          <cell r="C538">
            <v>30</v>
          </cell>
          <cell r="G538">
            <v>1952.12</v>
          </cell>
          <cell r="I538">
            <v>0</v>
          </cell>
        </row>
        <row r="539">
          <cell r="B539">
            <v>236</v>
          </cell>
          <cell r="C539">
            <v>38</v>
          </cell>
          <cell r="G539">
            <v>558702.73</v>
          </cell>
          <cell r="I539">
            <v>0</v>
          </cell>
        </row>
        <row r="540">
          <cell r="B540">
            <v>236</v>
          </cell>
          <cell r="C540">
            <v>50</v>
          </cell>
          <cell r="G540">
            <v>-84870.95</v>
          </cell>
          <cell r="I540">
            <v>-523238.72</v>
          </cell>
        </row>
        <row r="541">
          <cell r="B541">
            <v>236</v>
          </cell>
          <cell r="C541">
            <v>112</v>
          </cell>
          <cell r="G541">
            <v>-664035.80000000005</v>
          </cell>
          <cell r="I541">
            <v>-2924885.92</v>
          </cell>
        </row>
        <row r="542">
          <cell r="B542">
            <v>236</v>
          </cell>
          <cell r="C542">
            <v>211</v>
          </cell>
          <cell r="G542">
            <v>-122643.46</v>
          </cell>
          <cell r="I542">
            <v>-519393.59</v>
          </cell>
        </row>
        <row r="543">
          <cell r="B543">
            <v>236</v>
          </cell>
          <cell r="C543">
            <v>214</v>
          </cell>
          <cell r="G543">
            <v>6855.23</v>
          </cell>
          <cell r="I543">
            <v>0</v>
          </cell>
        </row>
        <row r="544">
          <cell r="B544">
            <v>236</v>
          </cell>
          <cell r="C544">
            <v>215</v>
          </cell>
          <cell r="G544">
            <v>-16586.28</v>
          </cell>
          <cell r="I544">
            <v>-16586.28</v>
          </cell>
        </row>
        <row r="545">
          <cell r="B545">
            <v>236</v>
          </cell>
          <cell r="C545">
            <v>216</v>
          </cell>
          <cell r="G545">
            <v>-3026.01</v>
          </cell>
          <cell r="I545">
            <v>-27446</v>
          </cell>
        </row>
        <row r="546">
          <cell r="B546">
            <v>236</v>
          </cell>
          <cell r="C546">
            <v>221</v>
          </cell>
          <cell r="G546">
            <v>-22320.33</v>
          </cell>
          <cell r="I546">
            <v>-66481.41</v>
          </cell>
        </row>
        <row r="547">
          <cell r="B547">
            <v>236</v>
          </cell>
          <cell r="C547">
            <v>231</v>
          </cell>
          <cell r="G547">
            <v>-9927.39</v>
          </cell>
          <cell r="I547">
            <v>-27341.759999999998</v>
          </cell>
        </row>
        <row r="548">
          <cell r="B548">
            <v>236</v>
          </cell>
          <cell r="C548">
            <v>232</v>
          </cell>
          <cell r="G548">
            <v>-3909.37</v>
          </cell>
          <cell r="I548">
            <v>-6610.08</v>
          </cell>
        </row>
        <row r="549">
          <cell r="B549">
            <v>236</v>
          </cell>
          <cell r="C549">
            <v>233</v>
          </cell>
          <cell r="G549">
            <v>-1190.31</v>
          </cell>
          <cell r="I549">
            <v>-8604.14</v>
          </cell>
        </row>
        <row r="550">
          <cell r="B550">
            <v>236</v>
          </cell>
          <cell r="C550">
            <v>234</v>
          </cell>
          <cell r="G550">
            <v>-823.66</v>
          </cell>
          <cell r="I550">
            <v>-1610.66</v>
          </cell>
        </row>
        <row r="551">
          <cell r="B551">
            <v>236</v>
          </cell>
          <cell r="C551">
            <v>235</v>
          </cell>
          <cell r="G551">
            <v>-2311.94</v>
          </cell>
          <cell r="I551">
            <v>-12658.39</v>
          </cell>
        </row>
        <row r="552">
          <cell r="B552">
            <v>236</v>
          </cell>
          <cell r="C552">
            <v>236</v>
          </cell>
          <cell r="G552">
            <v>-798.66</v>
          </cell>
          <cell r="I552">
            <v>-3556.2</v>
          </cell>
        </row>
        <row r="553">
          <cell r="B553">
            <v>236</v>
          </cell>
          <cell r="C553">
            <v>241</v>
          </cell>
          <cell r="G553">
            <v>-35486.19</v>
          </cell>
          <cell r="I553">
            <v>-185192.02</v>
          </cell>
        </row>
        <row r="554">
          <cell r="B554">
            <v>236</v>
          </cell>
          <cell r="C554">
            <v>242</v>
          </cell>
          <cell r="G554">
            <v>-14851.06</v>
          </cell>
          <cell r="I554">
            <v>-49066.45</v>
          </cell>
        </row>
        <row r="555">
          <cell r="B555">
            <v>236</v>
          </cell>
          <cell r="C555">
            <v>244</v>
          </cell>
          <cell r="G555">
            <v>-37203.11</v>
          </cell>
          <cell r="I555">
            <v>-123448.16</v>
          </cell>
        </row>
        <row r="556">
          <cell r="B556">
            <v>236</v>
          </cell>
          <cell r="C556">
            <v>245</v>
          </cell>
          <cell r="G556">
            <v>-57679.199999999997</v>
          </cell>
          <cell r="I556">
            <v>-198924.98</v>
          </cell>
        </row>
        <row r="557">
          <cell r="B557">
            <v>236</v>
          </cell>
          <cell r="C557">
            <v>246</v>
          </cell>
          <cell r="G557">
            <v>-22267.21</v>
          </cell>
          <cell r="I557">
            <v>-38089.61</v>
          </cell>
        </row>
        <row r="558">
          <cell r="B558">
            <v>236</v>
          </cell>
          <cell r="C558">
            <v>247</v>
          </cell>
          <cell r="G558">
            <v>-25785.27</v>
          </cell>
          <cell r="I558">
            <v>-74113.69</v>
          </cell>
        </row>
        <row r="559">
          <cell r="B559">
            <v>236</v>
          </cell>
          <cell r="C559">
            <v>251</v>
          </cell>
          <cell r="G559">
            <v>-4937.92</v>
          </cell>
          <cell r="I559">
            <v>-23242.57</v>
          </cell>
        </row>
        <row r="560">
          <cell r="B560">
            <v>236</v>
          </cell>
          <cell r="C560">
            <v>252</v>
          </cell>
          <cell r="G560">
            <v>-684.8</v>
          </cell>
          <cell r="I560">
            <v>-2147.2600000000002</v>
          </cell>
        </row>
        <row r="561">
          <cell r="B561">
            <v>236</v>
          </cell>
          <cell r="C561">
            <v>253</v>
          </cell>
          <cell r="G561">
            <v>-4329.93</v>
          </cell>
          <cell r="I561">
            <v>-11083.15</v>
          </cell>
        </row>
        <row r="562">
          <cell r="B562">
            <v>236</v>
          </cell>
          <cell r="C562">
            <v>261</v>
          </cell>
          <cell r="G562">
            <v>-21381.08</v>
          </cell>
          <cell r="I562">
            <v>-100849.05</v>
          </cell>
        </row>
        <row r="563">
          <cell r="B563">
            <v>236</v>
          </cell>
          <cell r="C563">
            <v>262</v>
          </cell>
          <cell r="G563">
            <v>-559.52</v>
          </cell>
          <cell r="I563">
            <v>-1833.23</v>
          </cell>
        </row>
        <row r="564">
          <cell r="B564">
            <v>236</v>
          </cell>
          <cell r="C564">
            <v>271</v>
          </cell>
          <cell r="G564">
            <v>-20122.14</v>
          </cell>
          <cell r="I564">
            <v>-90192.8</v>
          </cell>
        </row>
        <row r="565">
          <cell r="B565">
            <v>236</v>
          </cell>
          <cell r="C565">
            <v>272</v>
          </cell>
          <cell r="G565">
            <v>-4770.47</v>
          </cell>
          <cell r="I565">
            <v>-22311.759999999998</v>
          </cell>
        </row>
        <row r="566">
          <cell r="B566">
            <v>236</v>
          </cell>
          <cell r="C566">
            <v>273</v>
          </cell>
          <cell r="G566">
            <v>-702.8</v>
          </cell>
          <cell r="I566">
            <v>-2905.14</v>
          </cell>
        </row>
        <row r="567">
          <cell r="B567">
            <v>236</v>
          </cell>
          <cell r="C567">
            <v>274</v>
          </cell>
          <cell r="G567">
            <v>-46510.09</v>
          </cell>
          <cell r="I567">
            <v>-171860.62</v>
          </cell>
        </row>
        <row r="568">
          <cell r="B568">
            <v>236</v>
          </cell>
          <cell r="C568">
            <v>275</v>
          </cell>
          <cell r="G568">
            <v>-1462.55</v>
          </cell>
          <cell r="I568">
            <v>-5224.3999999999996</v>
          </cell>
        </row>
        <row r="569">
          <cell r="B569">
            <v>236</v>
          </cell>
          <cell r="C569">
            <v>276</v>
          </cell>
          <cell r="G569">
            <v>-1651.36</v>
          </cell>
          <cell r="I569">
            <v>-16925.7</v>
          </cell>
        </row>
        <row r="570">
          <cell r="B570">
            <v>236</v>
          </cell>
          <cell r="C570">
            <v>277</v>
          </cell>
          <cell r="G570">
            <v>-44049.57</v>
          </cell>
          <cell r="I570">
            <v>-139529.60999999999</v>
          </cell>
        </row>
        <row r="571">
          <cell r="B571">
            <v>236</v>
          </cell>
          <cell r="C571">
            <v>481</v>
          </cell>
          <cell r="G571">
            <v>64858.1</v>
          </cell>
          <cell r="I571">
            <v>0</v>
          </cell>
        </row>
        <row r="572">
          <cell r="B572">
            <v>236</v>
          </cell>
          <cell r="C572">
            <v>482</v>
          </cell>
          <cell r="G572">
            <v>2216</v>
          </cell>
          <cell r="I572">
            <v>0</v>
          </cell>
        </row>
        <row r="573">
          <cell r="B573">
            <v>236</v>
          </cell>
          <cell r="C573">
            <v>483</v>
          </cell>
          <cell r="G573">
            <v>-64858.1</v>
          </cell>
          <cell r="I573">
            <v>-1279856.3999999999</v>
          </cell>
        </row>
        <row r="574">
          <cell r="B574">
            <v>236</v>
          </cell>
          <cell r="C574">
            <v>484</v>
          </cell>
          <cell r="G574">
            <v>-2216</v>
          </cell>
          <cell r="I574">
            <v>-359180.82</v>
          </cell>
        </row>
        <row r="575">
          <cell r="B575">
            <v>236</v>
          </cell>
          <cell r="C575">
            <v>501</v>
          </cell>
          <cell r="G575">
            <v>-1648873</v>
          </cell>
          <cell r="I575">
            <v>0</v>
          </cell>
        </row>
        <row r="576">
          <cell r="B576">
            <v>236</v>
          </cell>
          <cell r="C576">
            <v>509</v>
          </cell>
          <cell r="G576">
            <v>-5121763.8</v>
          </cell>
          <cell r="I576">
            <v>0</v>
          </cell>
        </row>
        <row r="577">
          <cell r="B577">
            <v>236</v>
          </cell>
          <cell r="C577">
            <v>510</v>
          </cell>
          <cell r="G577">
            <v>393426.72</v>
          </cell>
          <cell r="I577">
            <v>0</v>
          </cell>
        </row>
        <row r="578">
          <cell r="B578">
            <v>236</v>
          </cell>
          <cell r="C578">
            <v>520</v>
          </cell>
          <cell r="G578">
            <v>6182.45</v>
          </cell>
          <cell r="I578">
            <v>0</v>
          </cell>
        </row>
        <row r="579">
          <cell r="B579">
            <v>236</v>
          </cell>
          <cell r="C579">
            <v>611</v>
          </cell>
          <cell r="G579">
            <v>-180210.06</v>
          </cell>
          <cell r="I579">
            <v>-985287.22</v>
          </cell>
        </row>
        <row r="580">
          <cell r="B580">
            <v>236</v>
          </cell>
          <cell r="C580">
            <v>621</v>
          </cell>
          <cell r="G580">
            <v>-33356.99</v>
          </cell>
          <cell r="I580">
            <v>-473334.99</v>
          </cell>
        </row>
        <row r="581">
          <cell r="B581">
            <v>236</v>
          </cell>
          <cell r="C581">
            <v>631</v>
          </cell>
          <cell r="G581">
            <v>-298.23</v>
          </cell>
          <cell r="I581">
            <v>-9898.11</v>
          </cell>
        </row>
        <row r="582">
          <cell r="B582">
            <v>236</v>
          </cell>
          <cell r="C582">
            <v>8109</v>
          </cell>
          <cell r="G582">
            <v>5121763.8</v>
          </cell>
          <cell r="I582">
            <v>5121763.8</v>
          </cell>
        </row>
        <row r="583">
          <cell r="B583">
            <v>236</v>
          </cell>
          <cell r="C583">
            <v>8110</v>
          </cell>
          <cell r="G583">
            <v>-5016144.28</v>
          </cell>
          <cell r="I583">
            <v>-5016144.28</v>
          </cell>
        </row>
        <row r="584">
          <cell r="B584">
            <v>236</v>
          </cell>
          <cell r="C584">
            <v>8150</v>
          </cell>
          <cell r="G584">
            <v>1648873</v>
          </cell>
          <cell r="I584">
            <v>1648873</v>
          </cell>
        </row>
        <row r="585">
          <cell r="B585">
            <v>236</v>
          </cell>
          <cell r="C585">
            <v>8708</v>
          </cell>
          <cell r="G585">
            <v>-592193.73</v>
          </cell>
          <cell r="I585">
            <v>-592193.73</v>
          </cell>
        </row>
        <row r="586">
          <cell r="B586">
            <v>236</v>
          </cell>
          <cell r="C586">
            <v>8710</v>
          </cell>
          <cell r="G586">
            <v>-2417</v>
          </cell>
          <cell r="I586">
            <v>-2417</v>
          </cell>
        </row>
        <row r="587">
          <cell r="B587">
            <v>236</v>
          </cell>
          <cell r="C587">
            <v>8740</v>
          </cell>
          <cell r="G587">
            <v>-1313394.79</v>
          </cell>
          <cell r="I587">
            <v>-1313394.79</v>
          </cell>
        </row>
        <row r="588">
          <cell r="B588">
            <v>236</v>
          </cell>
          <cell r="C588">
            <v>8750</v>
          </cell>
          <cell r="G588">
            <v>-376217.79</v>
          </cell>
          <cell r="I588">
            <v>-376217.79</v>
          </cell>
        </row>
        <row r="589">
          <cell r="B589">
            <v>236</v>
          </cell>
          <cell r="C589">
            <v>8760</v>
          </cell>
          <cell r="G589">
            <v>-945865.94</v>
          </cell>
          <cell r="I589">
            <v>-945865.94</v>
          </cell>
        </row>
        <row r="590">
          <cell r="B590">
            <v>236</v>
          </cell>
          <cell r="C590">
            <v>8850</v>
          </cell>
          <cell r="G590">
            <v>-156084</v>
          </cell>
          <cell r="I590">
            <v>-156084</v>
          </cell>
        </row>
        <row r="591">
          <cell r="B591">
            <v>236</v>
          </cell>
          <cell r="C591">
            <v>8911</v>
          </cell>
          <cell r="G591">
            <v>-533601.79</v>
          </cell>
          <cell r="I591">
            <v>-533601.79</v>
          </cell>
        </row>
        <row r="592">
          <cell r="B592">
            <v>236</v>
          </cell>
          <cell r="C592">
            <v>8920</v>
          </cell>
          <cell r="G592">
            <v>-21788.36</v>
          </cell>
          <cell r="I592">
            <v>-21788.36</v>
          </cell>
        </row>
        <row r="593">
          <cell r="B593">
            <v>236</v>
          </cell>
          <cell r="C593">
            <v>8940</v>
          </cell>
          <cell r="G593">
            <v>-4358.32</v>
          </cell>
          <cell r="I593">
            <v>-4358.32</v>
          </cell>
        </row>
        <row r="594">
          <cell r="B594">
            <v>236</v>
          </cell>
          <cell r="C594">
            <v>41409</v>
          </cell>
          <cell r="G594">
            <v>-2796162.15</v>
          </cell>
          <cell r="I594">
            <v>-2796162.15</v>
          </cell>
        </row>
        <row r="595">
          <cell r="B595">
            <v>236</v>
          </cell>
          <cell r="C595">
            <v>41410</v>
          </cell>
          <cell r="G595">
            <v>-698653.89</v>
          </cell>
          <cell r="I595">
            <v>-698653.89</v>
          </cell>
        </row>
        <row r="596">
          <cell r="B596">
            <v>236</v>
          </cell>
          <cell r="C596">
            <v>41450</v>
          </cell>
          <cell r="G596">
            <v>26156</v>
          </cell>
          <cell r="I596">
            <v>26156</v>
          </cell>
        </row>
        <row r="597">
          <cell r="B597">
            <v>236</v>
          </cell>
          <cell r="C597">
            <v>41510</v>
          </cell>
          <cell r="G597">
            <v>-21603.19</v>
          </cell>
          <cell r="I597">
            <v>-21603.19</v>
          </cell>
        </row>
        <row r="598">
          <cell r="B598">
            <v>236</v>
          </cell>
          <cell r="C598">
            <v>41550</v>
          </cell>
          <cell r="G598">
            <v>93162.21</v>
          </cell>
          <cell r="I598">
            <v>93162.21</v>
          </cell>
        </row>
        <row r="599">
          <cell r="B599">
            <v>236</v>
          </cell>
          <cell r="C599">
            <v>41610</v>
          </cell>
          <cell r="G599">
            <v>83333</v>
          </cell>
          <cell r="I599">
            <v>83333</v>
          </cell>
        </row>
        <row r="600">
          <cell r="B600">
            <v>236</v>
          </cell>
          <cell r="C600">
            <v>41650</v>
          </cell>
          <cell r="G600">
            <v>721853.91</v>
          </cell>
          <cell r="I600">
            <v>721853.91</v>
          </cell>
        </row>
        <row r="601">
          <cell r="B601">
            <v>237</v>
          </cell>
          <cell r="C601">
            <v>200</v>
          </cell>
          <cell r="G601">
            <v>-142325.85999999999</v>
          </cell>
          <cell r="I601">
            <v>-1083913.21</v>
          </cell>
        </row>
        <row r="602">
          <cell r="B602">
            <v>237</v>
          </cell>
          <cell r="C602">
            <v>400</v>
          </cell>
          <cell r="G602">
            <v>12243.94</v>
          </cell>
          <cell r="I602">
            <v>0</v>
          </cell>
        </row>
        <row r="603">
          <cell r="B603">
            <v>237</v>
          </cell>
          <cell r="C603">
            <v>450</v>
          </cell>
          <cell r="G603">
            <v>867187.5</v>
          </cell>
          <cell r="I603">
            <v>-173437.5</v>
          </cell>
        </row>
        <row r="604">
          <cell r="B604">
            <v>237</v>
          </cell>
          <cell r="C604">
            <v>458</v>
          </cell>
          <cell r="G604">
            <v>-94791.67</v>
          </cell>
          <cell r="I604">
            <v>-376006.98</v>
          </cell>
        </row>
        <row r="605">
          <cell r="B605">
            <v>237</v>
          </cell>
          <cell r="C605">
            <v>459</v>
          </cell>
          <cell r="G605">
            <v>2544.35</v>
          </cell>
          <cell r="I605">
            <v>-9424.75</v>
          </cell>
        </row>
        <row r="606">
          <cell r="B606">
            <v>237</v>
          </cell>
          <cell r="C606">
            <v>481</v>
          </cell>
          <cell r="G606">
            <v>9467</v>
          </cell>
          <cell r="I606">
            <v>0</v>
          </cell>
        </row>
        <row r="607">
          <cell r="B607">
            <v>237</v>
          </cell>
          <cell r="C607">
            <v>482</v>
          </cell>
          <cell r="G607">
            <v>467</v>
          </cell>
          <cell r="I607">
            <v>0</v>
          </cell>
        </row>
        <row r="608">
          <cell r="B608">
            <v>237</v>
          </cell>
          <cell r="C608">
            <v>483</v>
          </cell>
          <cell r="G608">
            <v>-9467</v>
          </cell>
          <cell r="I608">
            <v>-66461</v>
          </cell>
        </row>
        <row r="609">
          <cell r="B609">
            <v>237</v>
          </cell>
          <cell r="C609">
            <v>484</v>
          </cell>
          <cell r="G609">
            <v>-467</v>
          </cell>
          <cell r="I609">
            <v>-23127</v>
          </cell>
        </row>
        <row r="610">
          <cell r="B610">
            <v>237</v>
          </cell>
          <cell r="C610">
            <v>719</v>
          </cell>
          <cell r="G610">
            <v>160.41999999999999</v>
          </cell>
          <cell r="I610">
            <v>-587.87</v>
          </cell>
        </row>
        <row r="611">
          <cell r="B611">
            <v>237</v>
          </cell>
          <cell r="C611">
            <v>721</v>
          </cell>
          <cell r="G611">
            <v>1087500</v>
          </cell>
          <cell r="I611">
            <v>-116000</v>
          </cell>
        </row>
        <row r="612">
          <cell r="B612">
            <v>237</v>
          </cell>
          <cell r="C612">
            <v>722</v>
          </cell>
          <cell r="G612">
            <v>525000</v>
          </cell>
          <cell r="I612">
            <v>-140000</v>
          </cell>
        </row>
        <row r="613">
          <cell r="B613">
            <v>237</v>
          </cell>
          <cell r="C613">
            <v>723</v>
          </cell>
          <cell r="G613">
            <v>-191666.67</v>
          </cell>
          <cell r="I613">
            <v>-293888.89</v>
          </cell>
        </row>
        <row r="614">
          <cell r="B614">
            <v>237</v>
          </cell>
          <cell r="C614">
            <v>746</v>
          </cell>
          <cell r="G614">
            <v>-183750</v>
          </cell>
          <cell r="I614">
            <v>-918750.02</v>
          </cell>
        </row>
        <row r="615">
          <cell r="B615">
            <v>237</v>
          </cell>
          <cell r="C615">
            <v>748</v>
          </cell>
          <cell r="G615">
            <v>-52000</v>
          </cell>
          <cell r="I615">
            <v>-260000</v>
          </cell>
        </row>
        <row r="616">
          <cell r="B616">
            <v>237</v>
          </cell>
          <cell r="C616">
            <v>749</v>
          </cell>
          <cell r="G616">
            <v>583279.67000000004</v>
          </cell>
          <cell r="I616">
            <v>-294217</v>
          </cell>
        </row>
        <row r="617">
          <cell r="B617">
            <v>237</v>
          </cell>
          <cell r="C617">
            <v>751</v>
          </cell>
          <cell r="G617">
            <v>-40687.5</v>
          </cell>
          <cell r="I617">
            <v>-81375</v>
          </cell>
        </row>
        <row r="618">
          <cell r="B618">
            <v>237</v>
          </cell>
          <cell r="C618">
            <v>752</v>
          </cell>
          <cell r="G618">
            <v>-145375</v>
          </cell>
          <cell r="I618">
            <v>-872726.6</v>
          </cell>
        </row>
        <row r="619">
          <cell r="B619">
            <v>237</v>
          </cell>
          <cell r="C619">
            <v>753</v>
          </cell>
          <cell r="G619">
            <v>342708.34</v>
          </cell>
          <cell r="I619">
            <v>-171354.17</v>
          </cell>
        </row>
        <row r="620">
          <cell r="B620">
            <v>237</v>
          </cell>
          <cell r="C620">
            <v>754</v>
          </cell>
          <cell r="G620">
            <v>-306250</v>
          </cell>
          <cell r="I620">
            <v>-1225000</v>
          </cell>
        </row>
        <row r="621">
          <cell r="B621">
            <v>237</v>
          </cell>
          <cell r="C621">
            <v>756</v>
          </cell>
          <cell r="G621">
            <v>-282500</v>
          </cell>
          <cell r="I621">
            <v>-1412500</v>
          </cell>
        </row>
        <row r="622">
          <cell r="B622">
            <v>237</v>
          </cell>
          <cell r="C622">
            <v>758</v>
          </cell>
          <cell r="G622">
            <v>-485833.33</v>
          </cell>
          <cell r="I622">
            <v>-971666.66</v>
          </cell>
        </row>
        <row r="623">
          <cell r="B623">
            <v>237</v>
          </cell>
          <cell r="C623">
            <v>759</v>
          </cell>
          <cell r="G623">
            <v>-417916.67</v>
          </cell>
          <cell r="I623">
            <v>-626875</v>
          </cell>
        </row>
        <row r="624">
          <cell r="B624">
            <v>237</v>
          </cell>
          <cell r="C624">
            <v>761</v>
          </cell>
          <cell r="G624">
            <v>-1842.9</v>
          </cell>
          <cell r="I624">
            <v>-66550.490000000005</v>
          </cell>
        </row>
        <row r="625">
          <cell r="B625">
            <v>237</v>
          </cell>
          <cell r="C625">
            <v>763</v>
          </cell>
          <cell r="G625">
            <v>-40906.83</v>
          </cell>
          <cell r="I625">
            <v>-43633.95</v>
          </cell>
        </row>
        <row r="626">
          <cell r="B626">
            <v>237</v>
          </cell>
          <cell r="C626">
            <v>912</v>
          </cell>
          <cell r="G626">
            <v>-9852.2800000000007</v>
          </cell>
          <cell r="I626">
            <v>-49179.44</v>
          </cell>
        </row>
        <row r="627">
          <cell r="B627">
            <v>237</v>
          </cell>
          <cell r="C627">
            <v>9000</v>
          </cell>
          <cell r="G627">
            <v>-7791.11</v>
          </cell>
          <cell r="I627">
            <v>-7791.11</v>
          </cell>
        </row>
        <row r="628">
          <cell r="B628">
            <v>238</v>
          </cell>
          <cell r="C628">
            <v>100</v>
          </cell>
          <cell r="G628">
            <v>-26075000</v>
          </cell>
          <cell r="I628">
            <v>-26075000</v>
          </cell>
        </row>
        <row r="629">
          <cell r="B629">
            <v>238</v>
          </cell>
          <cell r="C629">
            <v>516</v>
          </cell>
          <cell r="G629">
            <v>0</v>
          </cell>
          <cell r="I629">
            <v>-825000</v>
          </cell>
        </row>
        <row r="630">
          <cell r="B630">
            <v>238</v>
          </cell>
          <cell r="C630">
            <v>517</v>
          </cell>
          <cell r="G630">
            <v>0</v>
          </cell>
          <cell r="I630">
            <v>-725625</v>
          </cell>
        </row>
        <row r="631">
          <cell r="B631">
            <v>241</v>
          </cell>
          <cell r="C631">
            <v>106</v>
          </cell>
          <cell r="G631">
            <v>27628.22</v>
          </cell>
          <cell r="I631">
            <v>0</v>
          </cell>
        </row>
        <row r="632">
          <cell r="B632">
            <v>241</v>
          </cell>
          <cell r="C632">
            <v>107</v>
          </cell>
          <cell r="G632">
            <v>104229.49</v>
          </cell>
          <cell r="I632">
            <v>0</v>
          </cell>
        </row>
        <row r="633">
          <cell r="B633">
            <v>241</v>
          </cell>
          <cell r="C633">
            <v>108</v>
          </cell>
          <cell r="G633">
            <v>1346386.17</v>
          </cell>
          <cell r="I633">
            <v>0</v>
          </cell>
        </row>
        <row r="634">
          <cell r="B634">
            <v>241</v>
          </cell>
          <cell r="C634">
            <v>115</v>
          </cell>
          <cell r="G634">
            <v>-0.9</v>
          </cell>
          <cell r="I634">
            <v>-2.61</v>
          </cell>
        </row>
        <row r="635">
          <cell r="B635">
            <v>241</v>
          </cell>
          <cell r="C635">
            <v>117</v>
          </cell>
          <cell r="G635">
            <v>0.37</v>
          </cell>
          <cell r="I635">
            <v>0</v>
          </cell>
        </row>
        <row r="636">
          <cell r="B636">
            <v>241</v>
          </cell>
          <cell r="C636">
            <v>119</v>
          </cell>
          <cell r="G636">
            <v>119.05</v>
          </cell>
          <cell r="I636">
            <v>-84.41</v>
          </cell>
        </row>
        <row r="637">
          <cell r="B637">
            <v>241</v>
          </cell>
          <cell r="C637">
            <v>120</v>
          </cell>
          <cell r="G637">
            <v>28.76</v>
          </cell>
          <cell r="I637">
            <v>-19.5</v>
          </cell>
        </row>
        <row r="638">
          <cell r="B638">
            <v>241</v>
          </cell>
          <cell r="C638">
            <v>203</v>
          </cell>
          <cell r="G638">
            <v>-266261.28999999998</v>
          </cell>
          <cell r="I638">
            <v>-631868.49</v>
          </cell>
        </row>
        <row r="639">
          <cell r="B639">
            <v>241</v>
          </cell>
          <cell r="C639">
            <v>206</v>
          </cell>
          <cell r="G639">
            <v>-55195.05</v>
          </cell>
          <cell r="I639">
            <v>-55195.05</v>
          </cell>
        </row>
        <row r="640">
          <cell r="B640">
            <v>241</v>
          </cell>
          <cell r="C640">
            <v>207</v>
          </cell>
          <cell r="G640">
            <v>-232008.88</v>
          </cell>
          <cell r="I640">
            <v>-232008.88</v>
          </cell>
        </row>
        <row r="641">
          <cell r="B641">
            <v>241</v>
          </cell>
          <cell r="C641">
            <v>208</v>
          </cell>
          <cell r="G641">
            <v>-3036832.81</v>
          </cell>
          <cell r="I641">
            <v>-3036832.81</v>
          </cell>
        </row>
        <row r="642">
          <cell r="B642">
            <v>241</v>
          </cell>
          <cell r="C642">
            <v>214</v>
          </cell>
          <cell r="G642">
            <v>5447.23</v>
          </cell>
          <cell r="I642">
            <v>0</v>
          </cell>
        </row>
        <row r="643">
          <cell r="B643">
            <v>241</v>
          </cell>
          <cell r="C643">
            <v>216</v>
          </cell>
          <cell r="G643">
            <v>366.94</v>
          </cell>
          <cell r="I643">
            <v>0</v>
          </cell>
        </row>
        <row r="644">
          <cell r="B644">
            <v>241</v>
          </cell>
          <cell r="C644">
            <v>217</v>
          </cell>
          <cell r="G644">
            <v>116.06</v>
          </cell>
          <cell r="I644">
            <v>0</v>
          </cell>
        </row>
        <row r="645">
          <cell r="B645">
            <v>241</v>
          </cell>
          <cell r="C645">
            <v>219</v>
          </cell>
          <cell r="G645">
            <v>-0.46</v>
          </cell>
          <cell r="I645">
            <v>-0.46</v>
          </cell>
        </row>
        <row r="646">
          <cell r="B646">
            <v>241</v>
          </cell>
          <cell r="C646">
            <v>250</v>
          </cell>
          <cell r="G646">
            <v>1933227.98</v>
          </cell>
          <cell r="I646">
            <v>1933227.98</v>
          </cell>
        </row>
        <row r="647">
          <cell r="B647">
            <v>241</v>
          </cell>
          <cell r="C647">
            <v>251</v>
          </cell>
          <cell r="G647">
            <v>161612.03</v>
          </cell>
          <cell r="I647">
            <v>1212266.49</v>
          </cell>
        </row>
        <row r="648">
          <cell r="B648">
            <v>241</v>
          </cell>
          <cell r="C648">
            <v>273</v>
          </cell>
          <cell r="G648">
            <v>-21851.88</v>
          </cell>
          <cell r="I648">
            <v>-42558.14</v>
          </cell>
        </row>
        <row r="649">
          <cell r="B649">
            <v>241</v>
          </cell>
          <cell r="C649">
            <v>711</v>
          </cell>
          <cell r="G649">
            <v>-139190.12</v>
          </cell>
          <cell r="I649">
            <v>-439392.11</v>
          </cell>
        </row>
        <row r="650">
          <cell r="B650">
            <v>241</v>
          </cell>
          <cell r="C650">
            <v>716</v>
          </cell>
          <cell r="G650">
            <v>-6995.83</v>
          </cell>
          <cell r="I650">
            <v>-20525.14</v>
          </cell>
        </row>
        <row r="651">
          <cell r="B651">
            <v>241</v>
          </cell>
          <cell r="C651">
            <v>721</v>
          </cell>
          <cell r="G651">
            <v>-23504.39</v>
          </cell>
          <cell r="I651">
            <v>-56975.49</v>
          </cell>
        </row>
        <row r="652">
          <cell r="B652">
            <v>241</v>
          </cell>
          <cell r="C652">
            <v>731</v>
          </cell>
          <cell r="G652">
            <v>-11069.53</v>
          </cell>
          <cell r="I652">
            <v>-23976.41</v>
          </cell>
        </row>
        <row r="653">
          <cell r="B653">
            <v>241</v>
          </cell>
          <cell r="C653">
            <v>732</v>
          </cell>
          <cell r="G653">
            <v>-1755.76</v>
          </cell>
          <cell r="I653">
            <v>-4363.08</v>
          </cell>
        </row>
        <row r="654">
          <cell r="B654">
            <v>241</v>
          </cell>
          <cell r="C654">
            <v>733</v>
          </cell>
          <cell r="G654">
            <v>-2660.68</v>
          </cell>
          <cell r="I654">
            <v>-13658.53</v>
          </cell>
        </row>
        <row r="655">
          <cell r="B655">
            <v>241</v>
          </cell>
          <cell r="C655">
            <v>735</v>
          </cell>
          <cell r="G655">
            <v>-4291.0600000000004</v>
          </cell>
          <cell r="I655">
            <v>-18040.82</v>
          </cell>
        </row>
        <row r="656">
          <cell r="B656">
            <v>241</v>
          </cell>
          <cell r="C656">
            <v>736</v>
          </cell>
          <cell r="G656">
            <v>-918.6</v>
          </cell>
          <cell r="I656">
            <v>-1170.81</v>
          </cell>
        </row>
        <row r="657">
          <cell r="B657">
            <v>241</v>
          </cell>
          <cell r="C657">
            <v>741</v>
          </cell>
          <cell r="G657">
            <v>-97512.76</v>
          </cell>
          <cell r="I657">
            <v>-300825.71000000002</v>
          </cell>
        </row>
        <row r="658">
          <cell r="B658">
            <v>241</v>
          </cell>
          <cell r="C658">
            <v>742</v>
          </cell>
          <cell r="G658">
            <v>-21460.23</v>
          </cell>
          <cell r="I658">
            <v>-51336.94</v>
          </cell>
        </row>
        <row r="659">
          <cell r="B659">
            <v>241</v>
          </cell>
          <cell r="C659">
            <v>743</v>
          </cell>
          <cell r="G659">
            <v>-52.92</v>
          </cell>
          <cell r="I659">
            <v>521.69000000000005</v>
          </cell>
        </row>
        <row r="660">
          <cell r="B660">
            <v>241</v>
          </cell>
          <cell r="C660">
            <v>744</v>
          </cell>
          <cell r="G660">
            <v>-41881.629999999997</v>
          </cell>
          <cell r="I660">
            <v>-110110.38</v>
          </cell>
        </row>
        <row r="661">
          <cell r="B661">
            <v>241</v>
          </cell>
          <cell r="C661">
            <v>745</v>
          </cell>
          <cell r="G661">
            <v>-65403.66</v>
          </cell>
          <cell r="I661">
            <v>-198678.9</v>
          </cell>
        </row>
        <row r="662">
          <cell r="B662">
            <v>241</v>
          </cell>
          <cell r="C662">
            <v>746</v>
          </cell>
          <cell r="G662">
            <v>-22403.95</v>
          </cell>
          <cell r="I662">
            <v>-38128.269999999997</v>
          </cell>
        </row>
        <row r="663">
          <cell r="B663">
            <v>241</v>
          </cell>
          <cell r="C663">
            <v>747</v>
          </cell>
          <cell r="G663">
            <v>-31246.43</v>
          </cell>
          <cell r="I663">
            <v>-79443.58</v>
          </cell>
        </row>
        <row r="664">
          <cell r="B664">
            <v>241</v>
          </cell>
          <cell r="C664">
            <v>751</v>
          </cell>
          <cell r="G664">
            <v>-11851.95</v>
          </cell>
          <cell r="I664">
            <v>-39015.660000000003</v>
          </cell>
        </row>
        <row r="665">
          <cell r="B665">
            <v>241</v>
          </cell>
          <cell r="C665">
            <v>752</v>
          </cell>
          <cell r="G665">
            <v>-313.70999999999998</v>
          </cell>
          <cell r="I665">
            <v>-1050.83</v>
          </cell>
        </row>
        <row r="666">
          <cell r="B666">
            <v>241</v>
          </cell>
          <cell r="C666">
            <v>753</v>
          </cell>
          <cell r="G666">
            <v>-940.32</v>
          </cell>
          <cell r="I666">
            <v>-3377.92</v>
          </cell>
        </row>
        <row r="667">
          <cell r="B667">
            <v>241</v>
          </cell>
          <cell r="C667">
            <v>761</v>
          </cell>
          <cell r="G667">
            <v>-39362.28</v>
          </cell>
          <cell r="I667">
            <v>-140968.67000000001</v>
          </cell>
        </row>
        <row r="668">
          <cell r="B668">
            <v>241</v>
          </cell>
          <cell r="C668">
            <v>762</v>
          </cell>
          <cell r="G668">
            <v>-658.46</v>
          </cell>
          <cell r="I668">
            <v>-1776.28</v>
          </cell>
        </row>
        <row r="669">
          <cell r="B669">
            <v>241</v>
          </cell>
          <cell r="C669">
            <v>771</v>
          </cell>
          <cell r="G669">
            <v>-26643.22</v>
          </cell>
          <cell r="I669">
            <v>-83196.13</v>
          </cell>
        </row>
        <row r="670">
          <cell r="B670">
            <v>241</v>
          </cell>
          <cell r="C670">
            <v>772</v>
          </cell>
          <cell r="G670">
            <v>-1830.64</v>
          </cell>
          <cell r="I670">
            <v>-15072.78</v>
          </cell>
        </row>
        <row r="671">
          <cell r="B671">
            <v>241</v>
          </cell>
          <cell r="C671">
            <v>773</v>
          </cell>
          <cell r="G671">
            <v>-1447.88</v>
          </cell>
          <cell r="I671">
            <v>-4344.34</v>
          </cell>
        </row>
        <row r="672">
          <cell r="B672">
            <v>241</v>
          </cell>
          <cell r="C672">
            <v>774</v>
          </cell>
          <cell r="G672">
            <v>-56541.3</v>
          </cell>
          <cell r="I672">
            <v>-169505.9</v>
          </cell>
        </row>
        <row r="673">
          <cell r="B673">
            <v>241</v>
          </cell>
          <cell r="C673">
            <v>775</v>
          </cell>
          <cell r="G673">
            <v>-765.32</v>
          </cell>
          <cell r="I673">
            <v>-2924.89</v>
          </cell>
        </row>
        <row r="674">
          <cell r="B674">
            <v>241</v>
          </cell>
          <cell r="C674">
            <v>776</v>
          </cell>
          <cell r="G674">
            <v>-1264.3800000000001</v>
          </cell>
          <cell r="I674">
            <v>-16414.7</v>
          </cell>
        </row>
        <row r="675">
          <cell r="B675">
            <v>242</v>
          </cell>
          <cell r="C675">
            <v>22</v>
          </cell>
          <cell r="G675">
            <v>-2478264.23</v>
          </cell>
          <cell r="I675">
            <v>-2478264.23</v>
          </cell>
        </row>
        <row r="676">
          <cell r="B676">
            <v>242</v>
          </cell>
          <cell r="C676">
            <v>44</v>
          </cell>
          <cell r="G676">
            <v>595367.27</v>
          </cell>
          <cell r="I676">
            <v>0</v>
          </cell>
        </row>
        <row r="677">
          <cell r="B677">
            <v>242</v>
          </cell>
          <cell r="C677">
            <v>111</v>
          </cell>
          <cell r="G677">
            <v>-17331</v>
          </cell>
          <cell r="I677">
            <v>-17331</v>
          </cell>
        </row>
        <row r="678">
          <cell r="B678">
            <v>242</v>
          </cell>
          <cell r="C678">
            <v>113</v>
          </cell>
          <cell r="G678">
            <v>-53992.59</v>
          </cell>
          <cell r="I678">
            <v>-53992.59</v>
          </cell>
        </row>
        <row r="679">
          <cell r="B679">
            <v>242</v>
          </cell>
          <cell r="C679">
            <v>118</v>
          </cell>
          <cell r="G679">
            <v>-130614</v>
          </cell>
          <cell r="I679">
            <v>-1349224</v>
          </cell>
        </row>
        <row r="680">
          <cell r="B680">
            <v>242</v>
          </cell>
          <cell r="C680">
            <v>125</v>
          </cell>
          <cell r="G680">
            <v>-158008</v>
          </cell>
          <cell r="I680">
            <v>-1293736</v>
          </cell>
        </row>
        <row r="681">
          <cell r="B681">
            <v>242</v>
          </cell>
          <cell r="C681">
            <v>129</v>
          </cell>
          <cell r="G681">
            <v>-817033</v>
          </cell>
          <cell r="I681">
            <v>-6434893</v>
          </cell>
        </row>
        <row r="682">
          <cell r="B682">
            <v>242</v>
          </cell>
          <cell r="C682">
            <v>138</v>
          </cell>
          <cell r="G682">
            <v>-693998.59</v>
          </cell>
          <cell r="I682">
            <v>-2058526.46</v>
          </cell>
        </row>
        <row r="683">
          <cell r="B683">
            <v>242</v>
          </cell>
          <cell r="C683">
            <v>251</v>
          </cell>
          <cell r="G683">
            <v>8120000</v>
          </cell>
          <cell r="I683">
            <v>0</v>
          </cell>
        </row>
        <row r="684">
          <cell r="B684">
            <v>242</v>
          </cell>
          <cell r="C684">
            <v>310</v>
          </cell>
          <cell r="G684">
            <v>-16470</v>
          </cell>
          <cell r="I684">
            <v>-81618.5</v>
          </cell>
        </row>
        <row r="685">
          <cell r="B685">
            <v>242</v>
          </cell>
          <cell r="C685">
            <v>600</v>
          </cell>
          <cell r="G685">
            <v>63263.64</v>
          </cell>
          <cell r="I685">
            <v>0</v>
          </cell>
        </row>
        <row r="686">
          <cell r="B686">
            <v>242</v>
          </cell>
          <cell r="C686">
            <v>880</v>
          </cell>
          <cell r="G686">
            <v>-8120000</v>
          </cell>
          <cell r="I686">
            <v>-8120000</v>
          </cell>
        </row>
        <row r="687">
          <cell r="B687">
            <v>242</v>
          </cell>
          <cell r="C687">
            <v>905</v>
          </cell>
          <cell r="G687">
            <v>2101202.89</v>
          </cell>
          <cell r="I687">
            <v>0</v>
          </cell>
        </row>
        <row r="688">
          <cell r="B688">
            <v>242</v>
          </cell>
          <cell r="C688">
            <v>912</v>
          </cell>
          <cell r="G688">
            <v>1221996.97</v>
          </cell>
          <cell r="I688">
            <v>0</v>
          </cell>
        </row>
        <row r="689">
          <cell r="B689">
            <v>242</v>
          </cell>
          <cell r="C689">
            <v>921</v>
          </cell>
          <cell r="G689">
            <v>863115</v>
          </cell>
          <cell r="I689">
            <v>0</v>
          </cell>
        </row>
        <row r="690">
          <cell r="B690">
            <v>242</v>
          </cell>
          <cell r="C690">
            <v>935</v>
          </cell>
          <cell r="G690">
            <v>17519.79</v>
          </cell>
          <cell r="I690">
            <v>0</v>
          </cell>
        </row>
        <row r="691">
          <cell r="B691">
            <v>242</v>
          </cell>
          <cell r="C691">
            <v>936</v>
          </cell>
          <cell r="G691">
            <v>53596.09</v>
          </cell>
          <cell r="I691">
            <v>0</v>
          </cell>
        </row>
        <row r="692">
          <cell r="B692">
            <v>242</v>
          </cell>
          <cell r="C692">
            <v>999</v>
          </cell>
          <cell r="G692">
            <v>-1281883.43</v>
          </cell>
          <cell r="I692">
            <v>-1281883.43</v>
          </cell>
        </row>
        <row r="693">
          <cell r="B693">
            <v>242</v>
          </cell>
          <cell r="C693">
            <v>1020</v>
          </cell>
          <cell r="G693">
            <v>-910112</v>
          </cell>
          <cell r="I693">
            <v>-910112</v>
          </cell>
        </row>
        <row r="694">
          <cell r="B694">
            <v>244</v>
          </cell>
          <cell r="C694">
            <v>100</v>
          </cell>
          <cell r="G694">
            <v>253.1</v>
          </cell>
          <cell r="I694">
            <v>0</v>
          </cell>
        </row>
        <row r="695">
          <cell r="B695">
            <v>244</v>
          </cell>
          <cell r="C695">
            <v>1130</v>
          </cell>
          <cell r="G695">
            <v>-107.15</v>
          </cell>
          <cell r="I695">
            <v>-107.15</v>
          </cell>
        </row>
        <row r="696">
          <cell r="B696">
            <v>245</v>
          </cell>
          <cell r="C696">
            <v>100</v>
          </cell>
          <cell r="G696">
            <v>9441967.5199999996</v>
          </cell>
          <cell r="I696">
            <v>0</v>
          </cell>
        </row>
        <row r="697">
          <cell r="B697">
            <v>245</v>
          </cell>
          <cell r="C697">
            <v>200</v>
          </cell>
          <cell r="G697">
            <v>4446944.6399999997</v>
          </cell>
          <cell r="I697">
            <v>0</v>
          </cell>
        </row>
        <row r="698">
          <cell r="B698">
            <v>245</v>
          </cell>
          <cell r="C698">
            <v>1707</v>
          </cell>
          <cell r="G698">
            <v>-615078</v>
          </cell>
          <cell r="I698">
            <v>-615078</v>
          </cell>
        </row>
        <row r="699">
          <cell r="B699">
            <v>245</v>
          </cell>
          <cell r="C699">
            <v>2110</v>
          </cell>
          <cell r="G699">
            <v>-10366414.890000001</v>
          </cell>
          <cell r="I699">
            <v>-10366414.890000001</v>
          </cell>
        </row>
        <row r="700">
          <cell r="B700">
            <v>245</v>
          </cell>
          <cell r="C700">
            <v>6110</v>
          </cell>
          <cell r="G700">
            <v>-4931981.2300000004</v>
          </cell>
          <cell r="I700">
            <v>-4931981.2300000004</v>
          </cell>
        </row>
        <row r="701">
          <cell r="B701">
            <v>253</v>
          </cell>
          <cell r="C701">
            <v>301</v>
          </cell>
          <cell r="G701">
            <v>-540660.42000000004</v>
          </cell>
          <cell r="I701">
            <v>-10427656.550000001</v>
          </cell>
        </row>
        <row r="702">
          <cell r="B702">
            <v>253</v>
          </cell>
          <cell r="C702">
            <v>302</v>
          </cell>
          <cell r="G702">
            <v>-27458.67</v>
          </cell>
          <cell r="I702">
            <v>-3712971.86</v>
          </cell>
        </row>
        <row r="703">
          <cell r="B703">
            <v>253</v>
          </cell>
          <cell r="C703">
            <v>305</v>
          </cell>
          <cell r="G703">
            <v>-501.47</v>
          </cell>
          <cell r="I703">
            <v>-8198.73</v>
          </cell>
        </row>
        <row r="704">
          <cell r="B704">
            <v>253</v>
          </cell>
          <cell r="C704">
            <v>306</v>
          </cell>
          <cell r="G704">
            <v>-186.08</v>
          </cell>
          <cell r="I704">
            <v>-186.08</v>
          </cell>
        </row>
        <row r="705">
          <cell r="B705">
            <v>253</v>
          </cell>
          <cell r="C705">
            <v>307</v>
          </cell>
          <cell r="G705">
            <v>-63082.25</v>
          </cell>
          <cell r="I705">
            <v>-63082.25</v>
          </cell>
        </row>
        <row r="706">
          <cell r="B706">
            <v>253</v>
          </cell>
          <cell r="C706">
            <v>326</v>
          </cell>
          <cell r="G706">
            <v>-351174.05</v>
          </cell>
          <cell r="I706">
            <v>-4493010.3499999996</v>
          </cell>
        </row>
        <row r="707">
          <cell r="B707">
            <v>253</v>
          </cell>
          <cell r="C707">
            <v>328</v>
          </cell>
          <cell r="G707">
            <v>0</v>
          </cell>
          <cell r="I707">
            <v>-280433.13</v>
          </cell>
        </row>
        <row r="708">
          <cell r="B708">
            <v>253</v>
          </cell>
          <cell r="C708">
            <v>329</v>
          </cell>
          <cell r="G708">
            <v>-53860.78</v>
          </cell>
          <cell r="I708">
            <v>-1241014.03</v>
          </cell>
        </row>
        <row r="709">
          <cell r="B709">
            <v>253</v>
          </cell>
          <cell r="C709">
            <v>330</v>
          </cell>
          <cell r="G709">
            <v>0</v>
          </cell>
          <cell r="I709">
            <v>-5626.63</v>
          </cell>
        </row>
        <row r="710">
          <cell r="B710">
            <v>253</v>
          </cell>
          <cell r="C710">
            <v>331</v>
          </cell>
          <cell r="G710">
            <v>-1764363.09</v>
          </cell>
          <cell r="I710">
            <v>-43128552.140000001</v>
          </cell>
        </row>
        <row r="711">
          <cell r="B711">
            <v>253</v>
          </cell>
          <cell r="C711">
            <v>333</v>
          </cell>
          <cell r="G711">
            <v>-447215.01</v>
          </cell>
          <cell r="I711">
            <v>-9915766.4900000002</v>
          </cell>
        </row>
        <row r="712">
          <cell r="B712">
            <v>253</v>
          </cell>
          <cell r="C712">
            <v>334</v>
          </cell>
          <cell r="G712">
            <v>-32074.38</v>
          </cell>
          <cell r="I712">
            <v>-4319778.4800000004</v>
          </cell>
        </row>
        <row r="713">
          <cell r="B713">
            <v>253</v>
          </cell>
          <cell r="C713">
            <v>338</v>
          </cell>
          <cell r="G713">
            <v>0</v>
          </cell>
          <cell r="I713">
            <v>-276762</v>
          </cell>
        </row>
        <row r="714">
          <cell r="B714">
            <v>253</v>
          </cell>
          <cell r="C714">
            <v>341</v>
          </cell>
          <cell r="G714">
            <v>-461647.93</v>
          </cell>
          <cell r="I714">
            <v>-10566871.9</v>
          </cell>
        </row>
        <row r="715">
          <cell r="B715">
            <v>253</v>
          </cell>
          <cell r="C715">
            <v>342</v>
          </cell>
          <cell r="G715">
            <v>-24017.77</v>
          </cell>
          <cell r="I715">
            <v>-580008.72</v>
          </cell>
        </row>
        <row r="716">
          <cell r="B716">
            <v>253</v>
          </cell>
          <cell r="C716">
            <v>344</v>
          </cell>
          <cell r="G716">
            <v>-17390.330000000002</v>
          </cell>
          <cell r="I716">
            <v>-20213.54</v>
          </cell>
        </row>
        <row r="717">
          <cell r="B717">
            <v>253</v>
          </cell>
          <cell r="C717">
            <v>345</v>
          </cell>
          <cell r="G717">
            <v>0</v>
          </cell>
          <cell r="I717">
            <v>-60249.75</v>
          </cell>
        </row>
        <row r="718">
          <cell r="B718">
            <v>253</v>
          </cell>
          <cell r="C718">
            <v>346</v>
          </cell>
          <cell r="G718">
            <v>0</v>
          </cell>
          <cell r="I718">
            <v>-21203.1</v>
          </cell>
        </row>
        <row r="719">
          <cell r="B719">
            <v>253</v>
          </cell>
          <cell r="C719">
            <v>362</v>
          </cell>
          <cell r="G719">
            <v>-835714.7</v>
          </cell>
          <cell r="I719">
            <v>-835714.7</v>
          </cell>
        </row>
        <row r="720">
          <cell r="B720">
            <v>253</v>
          </cell>
          <cell r="C720">
            <v>364</v>
          </cell>
          <cell r="G720">
            <v>-40250</v>
          </cell>
          <cell r="I720">
            <v>-40250</v>
          </cell>
        </row>
        <row r="721">
          <cell r="B721">
            <v>253</v>
          </cell>
          <cell r="C721">
            <v>380</v>
          </cell>
          <cell r="G721">
            <v>-3648.14</v>
          </cell>
          <cell r="I721">
            <v>-3648.14</v>
          </cell>
        </row>
        <row r="722">
          <cell r="B722">
            <v>253</v>
          </cell>
          <cell r="C722">
            <v>390</v>
          </cell>
          <cell r="G722">
            <v>-300</v>
          </cell>
          <cell r="I722">
            <v>-300</v>
          </cell>
        </row>
        <row r="723">
          <cell r="B723">
            <v>253</v>
          </cell>
          <cell r="C723">
            <v>415</v>
          </cell>
          <cell r="G723">
            <v>0</v>
          </cell>
          <cell r="I723">
            <v>-265308</v>
          </cell>
        </row>
        <row r="724">
          <cell r="B724">
            <v>253</v>
          </cell>
          <cell r="C724">
            <v>524</v>
          </cell>
          <cell r="G724">
            <v>-62533.1</v>
          </cell>
          <cell r="I724">
            <v>-146520.22</v>
          </cell>
        </row>
        <row r="725">
          <cell r="B725">
            <v>253</v>
          </cell>
          <cell r="C725">
            <v>540</v>
          </cell>
          <cell r="G725">
            <v>0</v>
          </cell>
          <cell r="I725">
            <v>-72260.42</v>
          </cell>
        </row>
        <row r="726">
          <cell r="B726">
            <v>253</v>
          </cell>
          <cell r="C726">
            <v>543</v>
          </cell>
          <cell r="G726">
            <v>0</v>
          </cell>
          <cell r="I726">
            <v>-93759.14</v>
          </cell>
        </row>
        <row r="727">
          <cell r="B727">
            <v>253</v>
          </cell>
          <cell r="C727">
            <v>544</v>
          </cell>
          <cell r="G727">
            <v>0</v>
          </cell>
          <cell r="I727">
            <v>-156004.32</v>
          </cell>
        </row>
        <row r="728">
          <cell r="B728">
            <v>253</v>
          </cell>
          <cell r="C728">
            <v>545</v>
          </cell>
          <cell r="G728">
            <v>0</v>
          </cell>
          <cell r="I728">
            <v>-106907.91</v>
          </cell>
        </row>
        <row r="729">
          <cell r="B729">
            <v>253</v>
          </cell>
          <cell r="C729">
            <v>550</v>
          </cell>
          <cell r="G729">
            <v>94749</v>
          </cell>
          <cell r="I729">
            <v>0</v>
          </cell>
        </row>
        <row r="730">
          <cell r="B730">
            <v>253</v>
          </cell>
          <cell r="C730">
            <v>551</v>
          </cell>
          <cell r="G730">
            <v>16089.56</v>
          </cell>
          <cell r="I730">
            <v>-32046.25</v>
          </cell>
        </row>
        <row r="731">
          <cell r="B731">
            <v>253</v>
          </cell>
          <cell r="C731">
            <v>552</v>
          </cell>
          <cell r="G731">
            <v>0</v>
          </cell>
          <cell r="I731">
            <v>-94638.34</v>
          </cell>
        </row>
        <row r="732">
          <cell r="B732">
            <v>253</v>
          </cell>
          <cell r="C732">
            <v>556</v>
          </cell>
          <cell r="G732">
            <v>0</v>
          </cell>
          <cell r="I732">
            <v>-15318.43</v>
          </cell>
        </row>
        <row r="733">
          <cell r="B733">
            <v>253</v>
          </cell>
          <cell r="C733">
            <v>557</v>
          </cell>
          <cell r="G733">
            <v>0</v>
          </cell>
          <cell r="I733">
            <v>-13473.48</v>
          </cell>
        </row>
        <row r="734">
          <cell r="B734">
            <v>253</v>
          </cell>
          <cell r="C734">
            <v>561</v>
          </cell>
          <cell r="G734">
            <v>99527.98</v>
          </cell>
          <cell r="I734">
            <v>-204949.96</v>
          </cell>
        </row>
        <row r="735">
          <cell r="B735">
            <v>253</v>
          </cell>
          <cell r="C735">
            <v>562</v>
          </cell>
          <cell r="G735">
            <v>0</v>
          </cell>
          <cell r="I735">
            <v>-323156.96999999997</v>
          </cell>
        </row>
        <row r="736">
          <cell r="B736">
            <v>253</v>
          </cell>
          <cell r="C736">
            <v>566</v>
          </cell>
          <cell r="G736">
            <v>0</v>
          </cell>
          <cell r="I736">
            <v>-107286.41</v>
          </cell>
        </row>
        <row r="737">
          <cell r="B737">
            <v>253</v>
          </cell>
          <cell r="C737">
            <v>567</v>
          </cell>
          <cell r="G737">
            <v>18716.2</v>
          </cell>
          <cell r="I737">
            <v>-37277.839999999997</v>
          </cell>
        </row>
        <row r="738">
          <cell r="B738">
            <v>253</v>
          </cell>
          <cell r="C738">
            <v>568</v>
          </cell>
          <cell r="G738">
            <v>0</v>
          </cell>
          <cell r="I738">
            <v>-52476.67</v>
          </cell>
        </row>
        <row r="739">
          <cell r="B739">
            <v>253</v>
          </cell>
          <cell r="C739">
            <v>570</v>
          </cell>
          <cell r="G739">
            <v>3873558.82</v>
          </cell>
          <cell r="I739">
            <v>0</v>
          </cell>
        </row>
        <row r="740">
          <cell r="B740">
            <v>253</v>
          </cell>
          <cell r="C740">
            <v>640</v>
          </cell>
          <cell r="G740">
            <v>-3827.1</v>
          </cell>
          <cell r="I740">
            <v>-142748.38</v>
          </cell>
        </row>
        <row r="741">
          <cell r="B741">
            <v>253</v>
          </cell>
          <cell r="C741">
            <v>643</v>
          </cell>
          <cell r="G741">
            <v>-2827.1</v>
          </cell>
          <cell r="I741">
            <v>-100678.23</v>
          </cell>
        </row>
        <row r="742">
          <cell r="B742">
            <v>253</v>
          </cell>
          <cell r="C742">
            <v>644</v>
          </cell>
          <cell r="G742">
            <v>-3827.1</v>
          </cell>
          <cell r="I742">
            <v>-196294.82</v>
          </cell>
        </row>
        <row r="743">
          <cell r="B743">
            <v>253</v>
          </cell>
          <cell r="C743">
            <v>645</v>
          </cell>
          <cell r="G743">
            <v>-3827.1</v>
          </cell>
          <cell r="I743">
            <v>-200634.69</v>
          </cell>
        </row>
        <row r="744">
          <cell r="B744">
            <v>253</v>
          </cell>
          <cell r="C744">
            <v>662</v>
          </cell>
          <cell r="G744">
            <v>0</v>
          </cell>
          <cell r="I744">
            <v>-58359.86</v>
          </cell>
        </row>
        <row r="745">
          <cell r="B745">
            <v>253</v>
          </cell>
          <cell r="C745">
            <v>710</v>
          </cell>
          <cell r="G745">
            <v>7761720.3399999999</v>
          </cell>
          <cell r="I745">
            <v>0</v>
          </cell>
        </row>
        <row r="746">
          <cell r="B746">
            <v>253</v>
          </cell>
          <cell r="C746">
            <v>711</v>
          </cell>
          <cell r="G746">
            <v>156811.07999999999</v>
          </cell>
          <cell r="I746">
            <v>0</v>
          </cell>
        </row>
        <row r="747">
          <cell r="B747">
            <v>253</v>
          </cell>
          <cell r="C747">
            <v>712</v>
          </cell>
          <cell r="G747">
            <v>6909317</v>
          </cell>
          <cell r="I747">
            <v>0</v>
          </cell>
        </row>
        <row r="748">
          <cell r="B748">
            <v>253</v>
          </cell>
          <cell r="C748">
            <v>736</v>
          </cell>
          <cell r="G748">
            <v>-3944139.69</v>
          </cell>
          <cell r="I748">
            <v>-3944139.69</v>
          </cell>
        </row>
        <row r="749">
          <cell r="B749">
            <v>253</v>
          </cell>
          <cell r="C749">
            <v>750</v>
          </cell>
          <cell r="G749">
            <v>86531</v>
          </cell>
          <cell r="I749">
            <v>0</v>
          </cell>
        </row>
        <row r="750">
          <cell r="B750">
            <v>253</v>
          </cell>
          <cell r="C750">
            <v>901</v>
          </cell>
          <cell r="G750">
            <v>65223273</v>
          </cell>
          <cell r="I750">
            <v>0</v>
          </cell>
        </row>
        <row r="751">
          <cell r="B751">
            <v>253</v>
          </cell>
          <cell r="C751">
            <v>902</v>
          </cell>
          <cell r="G751">
            <v>-65223273</v>
          </cell>
          <cell r="I751">
            <v>-65223273</v>
          </cell>
        </row>
        <row r="752">
          <cell r="B752">
            <v>253</v>
          </cell>
          <cell r="C752">
            <v>905</v>
          </cell>
          <cell r="G752">
            <v>848571.84</v>
          </cell>
          <cell r="I752">
            <v>0</v>
          </cell>
        </row>
        <row r="753">
          <cell r="B753">
            <v>253</v>
          </cell>
          <cell r="C753">
            <v>915</v>
          </cell>
          <cell r="G753">
            <v>3648.14</v>
          </cell>
          <cell r="I753">
            <v>0</v>
          </cell>
        </row>
        <row r="754">
          <cell r="B754">
            <v>253</v>
          </cell>
          <cell r="C754">
            <v>916</v>
          </cell>
          <cell r="G754">
            <v>300</v>
          </cell>
          <cell r="I754">
            <v>0</v>
          </cell>
        </row>
        <row r="755">
          <cell r="B755">
            <v>253</v>
          </cell>
          <cell r="C755">
            <v>932</v>
          </cell>
          <cell r="G755">
            <v>42000</v>
          </cell>
          <cell r="I755">
            <v>0</v>
          </cell>
        </row>
        <row r="756">
          <cell r="B756">
            <v>253</v>
          </cell>
          <cell r="C756">
            <v>949</v>
          </cell>
          <cell r="G756">
            <v>13150</v>
          </cell>
          <cell r="I756">
            <v>-144624</v>
          </cell>
        </row>
        <row r="757">
          <cell r="B757">
            <v>253</v>
          </cell>
          <cell r="C757">
            <v>989</v>
          </cell>
          <cell r="G757">
            <v>-86531</v>
          </cell>
          <cell r="I757">
            <v>-86531</v>
          </cell>
        </row>
        <row r="758">
          <cell r="B758">
            <v>253</v>
          </cell>
          <cell r="C758">
            <v>1950</v>
          </cell>
          <cell r="G758">
            <v>-12043709.82</v>
          </cell>
          <cell r="I758">
            <v>-12043709.82</v>
          </cell>
        </row>
        <row r="759">
          <cell r="B759">
            <v>253</v>
          </cell>
          <cell r="C759">
            <v>1953</v>
          </cell>
          <cell r="G759">
            <v>10803.99</v>
          </cell>
          <cell r="I759">
            <v>-40802.28</v>
          </cell>
        </row>
        <row r="760">
          <cell r="B760">
            <v>253</v>
          </cell>
          <cell r="C760">
            <v>1954</v>
          </cell>
          <cell r="G760">
            <v>3634.4</v>
          </cell>
          <cell r="I760">
            <v>-14543.24</v>
          </cell>
        </row>
        <row r="761">
          <cell r="B761">
            <v>253</v>
          </cell>
          <cell r="C761">
            <v>1956</v>
          </cell>
          <cell r="G761">
            <v>29666.17</v>
          </cell>
          <cell r="I761">
            <v>-195544.17</v>
          </cell>
        </row>
        <row r="762">
          <cell r="B762">
            <v>253</v>
          </cell>
          <cell r="C762">
            <v>30950</v>
          </cell>
          <cell r="G762">
            <v>8141239.8799999999</v>
          </cell>
          <cell r="I762">
            <v>0</v>
          </cell>
        </row>
        <row r="763">
          <cell r="B763">
            <v>254</v>
          </cell>
          <cell r="C763">
            <v>109</v>
          </cell>
          <cell r="G763">
            <v>0.01</v>
          </cell>
          <cell r="I763">
            <v>0</v>
          </cell>
        </row>
        <row r="764">
          <cell r="B764">
            <v>254</v>
          </cell>
          <cell r="C764">
            <v>110</v>
          </cell>
          <cell r="G764">
            <v>76732.61</v>
          </cell>
          <cell r="I764">
            <v>0</v>
          </cell>
        </row>
        <row r="765">
          <cell r="B765">
            <v>254</v>
          </cell>
          <cell r="C765">
            <v>111</v>
          </cell>
          <cell r="G765">
            <v>113676.22</v>
          </cell>
          <cell r="I765">
            <v>0</v>
          </cell>
        </row>
        <row r="766">
          <cell r="B766">
            <v>254</v>
          </cell>
          <cell r="C766">
            <v>112</v>
          </cell>
          <cell r="G766">
            <v>264194.69</v>
          </cell>
          <cell r="I766">
            <v>0</v>
          </cell>
        </row>
        <row r="767">
          <cell r="B767">
            <v>254</v>
          </cell>
          <cell r="C767">
            <v>113</v>
          </cell>
          <cell r="G767">
            <v>244342.38</v>
          </cell>
          <cell r="I767">
            <v>0</v>
          </cell>
        </row>
        <row r="768">
          <cell r="B768">
            <v>254</v>
          </cell>
          <cell r="C768">
            <v>114</v>
          </cell>
          <cell r="G768">
            <v>171715.33</v>
          </cell>
          <cell r="I768">
            <v>0</v>
          </cell>
        </row>
        <row r="769">
          <cell r="B769">
            <v>254</v>
          </cell>
          <cell r="C769">
            <v>127</v>
          </cell>
          <cell r="G769">
            <v>-171715.33</v>
          </cell>
          <cell r="I769">
            <v>-171715.33</v>
          </cell>
        </row>
        <row r="770">
          <cell r="B770">
            <v>254</v>
          </cell>
          <cell r="C770">
            <v>200</v>
          </cell>
          <cell r="G770">
            <v>-312.88</v>
          </cell>
          <cell r="I770">
            <v>-5987264.5800000001</v>
          </cell>
        </row>
        <row r="771">
          <cell r="B771">
            <v>254</v>
          </cell>
          <cell r="C771">
            <v>201</v>
          </cell>
          <cell r="G771">
            <v>78154.8</v>
          </cell>
          <cell r="I771">
            <v>-5346494.7699999996</v>
          </cell>
        </row>
        <row r="772">
          <cell r="B772">
            <v>254</v>
          </cell>
          <cell r="C772">
            <v>309</v>
          </cell>
          <cell r="G772">
            <v>6394.38</v>
          </cell>
          <cell r="I772">
            <v>6394.38</v>
          </cell>
        </row>
        <row r="773">
          <cell r="B773">
            <v>254</v>
          </cell>
          <cell r="C773">
            <v>310</v>
          </cell>
          <cell r="G773">
            <v>-76732.61</v>
          </cell>
          <cell r="I773">
            <v>-76732.61</v>
          </cell>
        </row>
        <row r="774">
          <cell r="B774">
            <v>254</v>
          </cell>
          <cell r="C774">
            <v>311</v>
          </cell>
          <cell r="G774">
            <v>-113676.22</v>
          </cell>
          <cell r="I774">
            <v>-113676.22</v>
          </cell>
        </row>
        <row r="775">
          <cell r="B775">
            <v>254</v>
          </cell>
          <cell r="C775">
            <v>312</v>
          </cell>
          <cell r="G775">
            <v>-264194.69</v>
          </cell>
          <cell r="I775">
            <v>-264194.69</v>
          </cell>
        </row>
        <row r="776">
          <cell r="B776">
            <v>254</v>
          </cell>
          <cell r="C776">
            <v>313</v>
          </cell>
          <cell r="G776">
            <v>-244342.38</v>
          </cell>
          <cell r="I776">
            <v>-244342.38</v>
          </cell>
        </row>
        <row r="777">
          <cell r="B777">
            <v>254</v>
          </cell>
          <cell r="C777">
            <v>315</v>
          </cell>
          <cell r="G777">
            <v>0</v>
          </cell>
          <cell r="I777">
            <v>-110419.23</v>
          </cell>
        </row>
        <row r="778">
          <cell r="B778">
            <v>254</v>
          </cell>
          <cell r="C778">
            <v>316</v>
          </cell>
          <cell r="G778">
            <v>0</v>
          </cell>
          <cell r="I778">
            <v>-4229.2700000000004</v>
          </cell>
        </row>
        <row r="779">
          <cell r="B779">
            <v>254</v>
          </cell>
          <cell r="C779">
            <v>450</v>
          </cell>
          <cell r="G779">
            <v>426.01</v>
          </cell>
          <cell r="I779">
            <v>0</v>
          </cell>
        </row>
        <row r="780">
          <cell r="B780">
            <v>254</v>
          </cell>
          <cell r="C780">
            <v>500</v>
          </cell>
          <cell r="G780">
            <v>11727003.73</v>
          </cell>
          <cell r="I780">
            <v>0</v>
          </cell>
        </row>
        <row r="781">
          <cell r="B781">
            <v>254</v>
          </cell>
          <cell r="C781">
            <v>501</v>
          </cell>
          <cell r="G781">
            <v>1510805</v>
          </cell>
          <cell r="I781">
            <v>0</v>
          </cell>
        </row>
        <row r="782">
          <cell r="B782">
            <v>254</v>
          </cell>
          <cell r="C782">
            <v>503</v>
          </cell>
          <cell r="G782">
            <v>1272569.44</v>
          </cell>
          <cell r="I782">
            <v>0</v>
          </cell>
        </row>
        <row r="783">
          <cell r="B783">
            <v>254</v>
          </cell>
          <cell r="C783">
            <v>510</v>
          </cell>
          <cell r="G783">
            <v>142198.16</v>
          </cell>
          <cell r="I783">
            <v>0</v>
          </cell>
        </row>
        <row r="784">
          <cell r="B784">
            <v>254</v>
          </cell>
          <cell r="C784">
            <v>512</v>
          </cell>
          <cell r="G784">
            <v>27507.27</v>
          </cell>
          <cell r="I784">
            <v>-20112.75</v>
          </cell>
        </row>
        <row r="785">
          <cell r="B785">
            <v>254</v>
          </cell>
          <cell r="C785">
            <v>561</v>
          </cell>
          <cell r="G785">
            <v>-49662.05</v>
          </cell>
          <cell r="I785">
            <v>-49662.05</v>
          </cell>
        </row>
        <row r="786">
          <cell r="B786">
            <v>254</v>
          </cell>
          <cell r="C786">
            <v>600</v>
          </cell>
          <cell r="G786">
            <v>11479482.710000001</v>
          </cell>
          <cell r="I786">
            <v>0</v>
          </cell>
        </row>
        <row r="787">
          <cell r="B787">
            <v>254</v>
          </cell>
          <cell r="C787">
            <v>660</v>
          </cell>
          <cell r="G787">
            <v>-7619.16</v>
          </cell>
          <cell r="I787">
            <v>0</v>
          </cell>
        </row>
        <row r="788">
          <cell r="B788">
            <v>254</v>
          </cell>
          <cell r="C788">
            <v>670</v>
          </cell>
          <cell r="G788">
            <v>-21762.1</v>
          </cell>
          <cell r="I788">
            <v>0</v>
          </cell>
        </row>
        <row r="789">
          <cell r="B789">
            <v>254</v>
          </cell>
          <cell r="C789">
            <v>680</v>
          </cell>
          <cell r="G789">
            <v>-15452</v>
          </cell>
          <cell r="I789">
            <v>0</v>
          </cell>
        </row>
        <row r="790">
          <cell r="B790">
            <v>254</v>
          </cell>
          <cell r="C790">
            <v>817</v>
          </cell>
          <cell r="G790">
            <v>-94319.77</v>
          </cell>
          <cell r="I790">
            <v>-94319.77</v>
          </cell>
        </row>
        <row r="791">
          <cell r="B791">
            <v>254</v>
          </cell>
          <cell r="C791">
            <v>818</v>
          </cell>
          <cell r="G791">
            <v>-134128.20000000001</v>
          </cell>
          <cell r="I791">
            <v>-134128.20000000001</v>
          </cell>
        </row>
        <row r="792">
          <cell r="B792">
            <v>254</v>
          </cell>
          <cell r="C792">
            <v>917</v>
          </cell>
          <cell r="G792">
            <v>101711.08</v>
          </cell>
          <cell r="I792">
            <v>0</v>
          </cell>
        </row>
        <row r="793">
          <cell r="B793">
            <v>254</v>
          </cell>
          <cell r="C793">
            <v>918</v>
          </cell>
          <cell r="G793">
            <v>145275</v>
          </cell>
          <cell r="I793">
            <v>0</v>
          </cell>
        </row>
        <row r="794">
          <cell r="B794">
            <v>254</v>
          </cell>
          <cell r="C794">
            <v>922</v>
          </cell>
          <cell r="G794">
            <v>-517206</v>
          </cell>
          <cell r="I794">
            <v>-3773427</v>
          </cell>
        </row>
        <row r="795">
          <cell r="B795">
            <v>254</v>
          </cell>
          <cell r="C795">
            <v>923</v>
          </cell>
          <cell r="G795">
            <v>686217</v>
          </cell>
          <cell r="I795">
            <v>-2614847</v>
          </cell>
        </row>
        <row r="796">
          <cell r="B796">
            <v>254</v>
          </cell>
          <cell r="C796">
            <v>927</v>
          </cell>
          <cell r="G796">
            <v>880301.16</v>
          </cell>
          <cell r="I796">
            <v>-3354410.73</v>
          </cell>
        </row>
        <row r="797">
          <cell r="B797">
            <v>254</v>
          </cell>
          <cell r="C797">
            <v>5110</v>
          </cell>
          <cell r="G797">
            <v>-11511853.57</v>
          </cell>
          <cell r="I797">
            <v>-11511853.57</v>
          </cell>
        </row>
        <row r="798">
          <cell r="B798">
            <v>254</v>
          </cell>
          <cell r="C798">
            <v>5150</v>
          </cell>
          <cell r="G798">
            <v>7619.16</v>
          </cell>
          <cell r="I798">
            <v>7619.16</v>
          </cell>
        </row>
        <row r="799">
          <cell r="B799">
            <v>254</v>
          </cell>
          <cell r="C799">
            <v>5160</v>
          </cell>
          <cell r="G799">
            <v>21762.1</v>
          </cell>
          <cell r="I799">
            <v>21762.1</v>
          </cell>
        </row>
        <row r="800">
          <cell r="B800">
            <v>254</v>
          </cell>
          <cell r="C800">
            <v>5190</v>
          </cell>
          <cell r="G800">
            <v>15452</v>
          </cell>
          <cell r="I800">
            <v>15452</v>
          </cell>
        </row>
        <row r="801">
          <cell r="B801">
            <v>254</v>
          </cell>
          <cell r="C801">
            <v>30660</v>
          </cell>
          <cell r="G801">
            <v>-4654195</v>
          </cell>
          <cell r="I801">
            <v>-4654195</v>
          </cell>
        </row>
        <row r="802">
          <cell r="B802">
            <v>254</v>
          </cell>
          <cell r="C802">
            <v>30710</v>
          </cell>
          <cell r="G802">
            <v>-10971603.65</v>
          </cell>
          <cell r="I802">
            <v>-10971603.65</v>
          </cell>
        </row>
        <row r="803">
          <cell r="B803">
            <v>254</v>
          </cell>
          <cell r="C803">
            <v>30712</v>
          </cell>
          <cell r="G803">
            <v>-1567573.18</v>
          </cell>
          <cell r="I803">
            <v>-1567573.18</v>
          </cell>
        </row>
        <row r="804">
          <cell r="B804">
            <v>255</v>
          </cell>
          <cell r="C804">
            <v>101</v>
          </cell>
          <cell r="G804">
            <v>0</v>
          </cell>
          <cell r="I804">
            <v>3970908</v>
          </cell>
        </row>
        <row r="805">
          <cell r="B805">
            <v>255</v>
          </cell>
          <cell r="C805">
            <v>102</v>
          </cell>
          <cell r="G805">
            <v>465</v>
          </cell>
          <cell r="I805">
            <v>5285460</v>
          </cell>
        </row>
        <row r="806">
          <cell r="B806">
            <v>255</v>
          </cell>
          <cell r="C806">
            <v>103</v>
          </cell>
          <cell r="G806">
            <v>0</v>
          </cell>
          <cell r="I806">
            <v>124076</v>
          </cell>
        </row>
        <row r="807">
          <cell r="B807">
            <v>255</v>
          </cell>
          <cell r="C807">
            <v>104</v>
          </cell>
          <cell r="G807">
            <v>54074</v>
          </cell>
          <cell r="I807">
            <v>18852820</v>
          </cell>
        </row>
        <row r="808">
          <cell r="B808">
            <v>255</v>
          </cell>
          <cell r="C808">
            <v>105</v>
          </cell>
          <cell r="G808">
            <v>79043</v>
          </cell>
          <cell r="I808">
            <v>32030806</v>
          </cell>
        </row>
        <row r="809">
          <cell r="B809">
            <v>255</v>
          </cell>
          <cell r="C809">
            <v>201</v>
          </cell>
          <cell r="G809">
            <v>0</v>
          </cell>
          <cell r="I809">
            <v>-3970908</v>
          </cell>
        </row>
        <row r="810">
          <cell r="B810">
            <v>255</v>
          </cell>
          <cell r="C810">
            <v>202</v>
          </cell>
          <cell r="G810">
            <v>0</v>
          </cell>
          <cell r="I810">
            <v>-5289351</v>
          </cell>
        </row>
        <row r="811">
          <cell r="B811">
            <v>255</v>
          </cell>
          <cell r="C811">
            <v>203</v>
          </cell>
          <cell r="G811">
            <v>0</v>
          </cell>
          <cell r="I811">
            <v>-124076</v>
          </cell>
        </row>
        <row r="812">
          <cell r="B812">
            <v>255</v>
          </cell>
          <cell r="C812">
            <v>204</v>
          </cell>
          <cell r="G812">
            <v>0</v>
          </cell>
          <cell r="I812">
            <v>-23958555</v>
          </cell>
        </row>
        <row r="813">
          <cell r="B813">
            <v>255</v>
          </cell>
          <cell r="C813">
            <v>205</v>
          </cell>
          <cell r="G813">
            <v>0</v>
          </cell>
          <cell r="I813">
            <v>-36440014</v>
          </cell>
        </row>
        <row r="814">
          <cell r="B814">
            <v>255</v>
          </cell>
          <cell r="C814">
            <v>301</v>
          </cell>
          <cell r="G814">
            <v>0</v>
          </cell>
          <cell r="I814">
            <v>-78424</v>
          </cell>
        </row>
        <row r="815">
          <cell r="B815">
            <v>255</v>
          </cell>
          <cell r="C815">
            <v>302</v>
          </cell>
          <cell r="G815">
            <v>0</v>
          </cell>
          <cell r="I815">
            <v>-1526643</v>
          </cell>
        </row>
        <row r="816">
          <cell r="B816">
            <v>255</v>
          </cell>
          <cell r="C816">
            <v>351</v>
          </cell>
          <cell r="G816">
            <v>0</v>
          </cell>
          <cell r="I816">
            <v>78424</v>
          </cell>
        </row>
        <row r="817">
          <cell r="B817">
            <v>255</v>
          </cell>
          <cell r="C817">
            <v>352</v>
          </cell>
          <cell r="G817">
            <v>0</v>
          </cell>
          <cell r="I817">
            <v>1526643</v>
          </cell>
        </row>
        <row r="818">
          <cell r="B818">
            <v>281</v>
          </cell>
          <cell r="C818">
            <v>17</v>
          </cell>
          <cell r="G818">
            <v>23958617.289999999</v>
          </cell>
          <cell r="I818">
            <v>0</v>
          </cell>
        </row>
        <row r="819">
          <cell r="B819">
            <v>281</v>
          </cell>
          <cell r="C819">
            <v>18</v>
          </cell>
          <cell r="G819">
            <v>3727116.64</v>
          </cell>
          <cell r="I819">
            <v>0</v>
          </cell>
        </row>
        <row r="820">
          <cell r="B820">
            <v>281</v>
          </cell>
          <cell r="C820">
            <v>1303</v>
          </cell>
          <cell r="G820">
            <v>-25684440.170000002</v>
          </cell>
          <cell r="I820">
            <v>-25684440.170000002</v>
          </cell>
        </row>
        <row r="821">
          <cell r="B821">
            <v>281</v>
          </cell>
          <cell r="C821">
            <v>1307</v>
          </cell>
          <cell r="G821">
            <v>-3999014.96</v>
          </cell>
          <cell r="I821">
            <v>-3999014.96</v>
          </cell>
        </row>
        <row r="822">
          <cell r="B822">
            <v>282</v>
          </cell>
          <cell r="C822">
            <v>35</v>
          </cell>
          <cell r="G822">
            <v>-88626.17</v>
          </cell>
          <cell r="I822">
            <v>-20739569.170000002</v>
          </cell>
        </row>
        <row r="823">
          <cell r="B823">
            <v>282</v>
          </cell>
          <cell r="C823">
            <v>36</v>
          </cell>
          <cell r="G823">
            <v>-14752.83</v>
          </cell>
          <cell r="I823">
            <v>-3330883.83</v>
          </cell>
        </row>
        <row r="824">
          <cell r="B824">
            <v>282</v>
          </cell>
          <cell r="C824">
            <v>37</v>
          </cell>
          <cell r="G824">
            <v>-46676.53</v>
          </cell>
          <cell r="I824">
            <v>3715754.09</v>
          </cell>
        </row>
        <row r="825">
          <cell r="B825">
            <v>282</v>
          </cell>
          <cell r="C825">
            <v>38</v>
          </cell>
          <cell r="G825">
            <v>46868.67</v>
          </cell>
          <cell r="I825">
            <v>-38076.870000000003</v>
          </cell>
        </row>
        <row r="826">
          <cell r="B826">
            <v>282</v>
          </cell>
          <cell r="C826">
            <v>131</v>
          </cell>
          <cell r="G826">
            <v>-1020129.41</v>
          </cell>
          <cell r="I826">
            <v>-302578169.22000003</v>
          </cell>
        </row>
        <row r="827">
          <cell r="B827">
            <v>282</v>
          </cell>
          <cell r="C827">
            <v>132</v>
          </cell>
          <cell r="G827">
            <v>-203530.35</v>
          </cell>
          <cell r="I827">
            <v>-47189353.420000002</v>
          </cell>
        </row>
        <row r="828">
          <cell r="B828">
            <v>282</v>
          </cell>
          <cell r="C828">
            <v>141</v>
          </cell>
          <cell r="G828">
            <v>66790.080000000002</v>
          </cell>
          <cell r="I828">
            <v>61586691.93</v>
          </cell>
        </row>
        <row r="829">
          <cell r="B829">
            <v>282</v>
          </cell>
          <cell r="C829">
            <v>142</v>
          </cell>
          <cell r="G829">
            <v>10495.58</v>
          </cell>
          <cell r="I829">
            <v>9563670.9499999993</v>
          </cell>
        </row>
        <row r="830">
          <cell r="B830">
            <v>282</v>
          </cell>
          <cell r="C830">
            <v>143</v>
          </cell>
          <cell r="G830">
            <v>105657.39</v>
          </cell>
          <cell r="I830">
            <v>-12368447.880000001</v>
          </cell>
        </row>
        <row r="831">
          <cell r="B831">
            <v>282</v>
          </cell>
          <cell r="C831">
            <v>144</v>
          </cell>
          <cell r="G831">
            <v>17576.52</v>
          </cell>
          <cell r="I831">
            <v>-2604797.14</v>
          </cell>
        </row>
        <row r="832">
          <cell r="B832">
            <v>282</v>
          </cell>
          <cell r="C832">
            <v>145</v>
          </cell>
          <cell r="G832">
            <v>359248.05</v>
          </cell>
          <cell r="I832">
            <v>5552139.0499999998</v>
          </cell>
        </row>
        <row r="833">
          <cell r="B833">
            <v>282</v>
          </cell>
          <cell r="C833">
            <v>146</v>
          </cell>
          <cell r="G833">
            <v>56455.85</v>
          </cell>
          <cell r="I833">
            <v>812138.85</v>
          </cell>
        </row>
        <row r="834">
          <cell r="B834">
            <v>282</v>
          </cell>
          <cell r="C834">
            <v>147</v>
          </cell>
          <cell r="G834">
            <v>286819.46999999997</v>
          </cell>
          <cell r="I834">
            <v>15828382.359999999</v>
          </cell>
        </row>
        <row r="835">
          <cell r="B835">
            <v>282</v>
          </cell>
          <cell r="C835">
            <v>148</v>
          </cell>
          <cell r="G835">
            <v>17881.599999999999</v>
          </cell>
          <cell r="I835">
            <v>4595937.17</v>
          </cell>
        </row>
        <row r="836">
          <cell r="B836">
            <v>282</v>
          </cell>
          <cell r="C836">
            <v>400</v>
          </cell>
          <cell r="G836">
            <v>0</v>
          </cell>
          <cell r="I836">
            <v>-1042993.81</v>
          </cell>
        </row>
        <row r="837">
          <cell r="B837">
            <v>282</v>
          </cell>
          <cell r="C837">
            <v>401</v>
          </cell>
          <cell r="G837">
            <v>0</v>
          </cell>
          <cell r="I837">
            <v>356386.09</v>
          </cell>
        </row>
        <row r="838">
          <cell r="B838">
            <v>283</v>
          </cell>
          <cell r="C838">
            <v>35</v>
          </cell>
          <cell r="G838">
            <v>12905348.029999999</v>
          </cell>
          <cell r="I838">
            <v>0.03</v>
          </cell>
        </row>
        <row r="839">
          <cell r="B839">
            <v>283</v>
          </cell>
          <cell r="C839">
            <v>36</v>
          </cell>
          <cell r="G839">
            <v>2146013.9900000002</v>
          </cell>
          <cell r="I839">
            <v>-0.01</v>
          </cell>
        </row>
        <row r="840">
          <cell r="B840">
            <v>283</v>
          </cell>
          <cell r="C840">
            <v>1100</v>
          </cell>
          <cell r="G840">
            <v>22001743.23</v>
          </cell>
          <cell r="I840">
            <v>0</v>
          </cell>
        </row>
        <row r="841">
          <cell r="B841">
            <v>283</v>
          </cell>
          <cell r="C841">
            <v>1150</v>
          </cell>
          <cell r="G841">
            <v>121192.4</v>
          </cell>
          <cell r="I841">
            <v>0</v>
          </cell>
        </row>
        <row r="842">
          <cell r="B842">
            <v>283</v>
          </cell>
          <cell r="C842">
            <v>1303</v>
          </cell>
          <cell r="G842">
            <v>-23139923.510000002</v>
          </cell>
          <cell r="I842">
            <v>-23139923.510000002</v>
          </cell>
        </row>
        <row r="843">
          <cell r="B843">
            <v>283</v>
          </cell>
          <cell r="C843">
            <v>1307</v>
          </cell>
          <cell r="G843">
            <v>-3624674.14</v>
          </cell>
          <cell r="I843">
            <v>-3624674.14</v>
          </cell>
        </row>
        <row r="844">
          <cell r="B844">
            <v>283</v>
          </cell>
          <cell r="C844">
            <v>1703</v>
          </cell>
          <cell r="G844">
            <v>-121192.4</v>
          </cell>
          <cell r="I844">
            <v>-121192.4</v>
          </cell>
        </row>
        <row r="845">
          <cell r="B845">
            <v>283</v>
          </cell>
          <cell r="C845">
            <v>1707</v>
          </cell>
          <cell r="G845">
            <v>-19042.53</v>
          </cell>
          <cell r="I845">
            <v>-19042.53</v>
          </cell>
        </row>
        <row r="846">
          <cell r="B846">
            <v>283</v>
          </cell>
          <cell r="C846">
            <v>1803</v>
          </cell>
          <cell r="G846">
            <v>-12961013.609999999</v>
          </cell>
          <cell r="I846">
            <v>-12961013.609999999</v>
          </cell>
        </row>
        <row r="847">
          <cell r="B847">
            <v>283</v>
          </cell>
          <cell r="C847">
            <v>1807</v>
          </cell>
          <cell r="G847">
            <v>-2155270.5699999998</v>
          </cell>
          <cell r="I847">
            <v>-2155270.5699999998</v>
          </cell>
        </row>
        <row r="848">
          <cell r="B848">
            <v>283</v>
          </cell>
          <cell r="C848">
            <v>2100</v>
          </cell>
          <cell r="G848">
            <v>3445817.24</v>
          </cell>
          <cell r="I848">
            <v>0</v>
          </cell>
        </row>
        <row r="849">
          <cell r="B849">
            <v>283</v>
          </cell>
          <cell r="C849">
            <v>2150</v>
          </cell>
          <cell r="G849">
            <v>19042.53</v>
          </cell>
          <cell r="I849">
            <v>0</v>
          </cell>
        </row>
        <row r="850">
          <cell r="B850">
            <v>403</v>
          </cell>
          <cell r="C850">
            <v>112</v>
          </cell>
          <cell r="G850">
            <v>4776892.22</v>
          </cell>
          <cell r="I850">
            <v>4776892.22</v>
          </cell>
        </row>
        <row r="851">
          <cell r="B851">
            <v>403</v>
          </cell>
          <cell r="C851">
            <v>441</v>
          </cell>
          <cell r="G851">
            <v>30522.639999999999</v>
          </cell>
          <cell r="I851">
            <v>30522.639999999999</v>
          </cell>
        </row>
        <row r="852">
          <cell r="B852">
            <v>403</v>
          </cell>
          <cell r="C852">
            <v>442</v>
          </cell>
          <cell r="G852">
            <v>7772.37</v>
          </cell>
          <cell r="I852">
            <v>7772.37</v>
          </cell>
        </row>
        <row r="853">
          <cell r="B853">
            <v>403</v>
          </cell>
          <cell r="C853">
            <v>443</v>
          </cell>
          <cell r="G853">
            <v>290726.11</v>
          </cell>
          <cell r="I853">
            <v>290726.11</v>
          </cell>
        </row>
        <row r="854">
          <cell r="B854">
            <v>403</v>
          </cell>
          <cell r="C854">
            <v>444</v>
          </cell>
          <cell r="G854">
            <v>187667.59</v>
          </cell>
          <cell r="I854">
            <v>187667.59</v>
          </cell>
        </row>
        <row r="855">
          <cell r="B855">
            <v>403</v>
          </cell>
          <cell r="C855">
            <v>445</v>
          </cell>
          <cell r="G855">
            <v>30900.63</v>
          </cell>
          <cell r="I855">
            <v>30900.63</v>
          </cell>
        </row>
        <row r="856">
          <cell r="B856">
            <v>403</v>
          </cell>
          <cell r="C856">
            <v>446</v>
          </cell>
          <cell r="G856">
            <v>1839.17</v>
          </cell>
          <cell r="I856">
            <v>1839.17</v>
          </cell>
        </row>
        <row r="857">
          <cell r="B857">
            <v>403</v>
          </cell>
          <cell r="C857">
            <v>550</v>
          </cell>
          <cell r="G857">
            <v>18001.75</v>
          </cell>
          <cell r="I857">
            <v>18001.75</v>
          </cell>
        </row>
        <row r="858">
          <cell r="B858">
            <v>403</v>
          </cell>
          <cell r="C858">
            <v>552</v>
          </cell>
          <cell r="G858">
            <v>15234.5</v>
          </cell>
          <cell r="I858">
            <v>15234.5</v>
          </cell>
        </row>
        <row r="859">
          <cell r="B859">
            <v>403</v>
          </cell>
          <cell r="C859">
            <v>553</v>
          </cell>
          <cell r="G859">
            <v>170252.63</v>
          </cell>
          <cell r="I859">
            <v>170252.63</v>
          </cell>
        </row>
        <row r="860">
          <cell r="B860">
            <v>403</v>
          </cell>
          <cell r="C860">
            <v>554</v>
          </cell>
          <cell r="G860">
            <v>74498.7</v>
          </cell>
          <cell r="I860">
            <v>74498.7</v>
          </cell>
        </row>
        <row r="861">
          <cell r="B861">
            <v>403</v>
          </cell>
          <cell r="C861">
            <v>555</v>
          </cell>
          <cell r="G861">
            <v>260086.73</v>
          </cell>
          <cell r="I861">
            <v>260086.73</v>
          </cell>
        </row>
        <row r="862">
          <cell r="B862">
            <v>403</v>
          </cell>
          <cell r="C862">
            <v>556</v>
          </cell>
          <cell r="G862">
            <v>138352.31</v>
          </cell>
          <cell r="I862">
            <v>138352.31</v>
          </cell>
        </row>
        <row r="863">
          <cell r="B863">
            <v>403</v>
          </cell>
          <cell r="C863">
            <v>558</v>
          </cell>
          <cell r="G863">
            <v>25839.919999999998</v>
          </cell>
          <cell r="I863">
            <v>25839.919999999998</v>
          </cell>
        </row>
        <row r="864">
          <cell r="B864">
            <v>403</v>
          </cell>
          <cell r="C864">
            <v>559</v>
          </cell>
          <cell r="G864">
            <v>112.65</v>
          </cell>
          <cell r="I864">
            <v>112.65</v>
          </cell>
        </row>
        <row r="865">
          <cell r="B865">
            <v>403</v>
          </cell>
          <cell r="C865">
            <v>660</v>
          </cell>
          <cell r="G865">
            <v>340.29</v>
          </cell>
          <cell r="I865">
            <v>340.29</v>
          </cell>
        </row>
        <row r="866">
          <cell r="B866">
            <v>403</v>
          </cell>
          <cell r="C866">
            <v>661</v>
          </cell>
          <cell r="G866">
            <v>32095</v>
          </cell>
          <cell r="I866">
            <v>32095</v>
          </cell>
        </row>
        <row r="867">
          <cell r="B867">
            <v>403</v>
          </cell>
          <cell r="C867">
            <v>662</v>
          </cell>
          <cell r="G867">
            <v>318101.27</v>
          </cell>
          <cell r="I867">
            <v>318101.27</v>
          </cell>
        </row>
        <row r="868">
          <cell r="B868">
            <v>403</v>
          </cell>
          <cell r="C868">
            <v>664</v>
          </cell>
          <cell r="G868">
            <v>539972.06000000006</v>
          </cell>
          <cell r="I868">
            <v>539972.06000000006</v>
          </cell>
        </row>
        <row r="869">
          <cell r="B869">
            <v>403</v>
          </cell>
          <cell r="C869">
            <v>665</v>
          </cell>
          <cell r="G869">
            <v>276475.76</v>
          </cell>
          <cell r="I869">
            <v>276475.76</v>
          </cell>
        </row>
        <row r="870">
          <cell r="B870">
            <v>403</v>
          </cell>
          <cell r="C870">
            <v>666</v>
          </cell>
          <cell r="G870">
            <v>1420.36</v>
          </cell>
          <cell r="I870">
            <v>1420.36</v>
          </cell>
        </row>
        <row r="871">
          <cell r="B871">
            <v>403</v>
          </cell>
          <cell r="C871">
            <v>667</v>
          </cell>
          <cell r="G871">
            <v>306325.77</v>
          </cell>
          <cell r="I871">
            <v>306325.77</v>
          </cell>
        </row>
        <row r="872">
          <cell r="B872">
            <v>403</v>
          </cell>
          <cell r="C872">
            <v>668</v>
          </cell>
          <cell r="G872">
            <v>729397.63</v>
          </cell>
          <cell r="I872">
            <v>729397.63</v>
          </cell>
        </row>
        <row r="873">
          <cell r="B873">
            <v>403</v>
          </cell>
          <cell r="C873">
            <v>669</v>
          </cell>
          <cell r="G873">
            <v>237855.82</v>
          </cell>
          <cell r="I873">
            <v>237855.82</v>
          </cell>
        </row>
        <row r="874">
          <cell r="B874">
            <v>403</v>
          </cell>
          <cell r="C874">
            <v>670</v>
          </cell>
          <cell r="G874">
            <v>119628.8</v>
          </cell>
          <cell r="I874">
            <v>119628.8</v>
          </cell>
        </row>
        <row r="875">
          <cell r="B875">
            <v>403</v>
          </cell>
          <cell r="C875">
            <v>673</v>
          </cell>
          <cell r="G875">
            <v>241843.81</v>
          </cell>
          <cell r="I875">
            <v>241843.81</v>
          </cell>
        </row>
        <row r="876">
          <cell r="B876">
            <v>403</v>
          </cell>
          <cell r="C876">
            <v>790</v>
          </cell>
          <cell r="G876">
            <v>123244.55</v>
          </cell>
          <cell r="I876">
            <v>123244.55</v>
          </cell>
        </row>
        <row r="877">
          <cell r="B877">
            <v>403</v>
          </cell>
          <cell r="C877">
            <v>796</v>
          </cell>
          <cell r="G877">
            <v>2424.12</v>
          </cell>
          <cell r="I877">
            <v>2424.12</v>
          </cell>
        </row>
        <row r="878">
          <cell r="B878">
            <v>403</v>
          </cell>
          <cell r="C878">
            <v>797</v>
          </cell>
          <cell r="G878">
            <v>71912.759999999995</v>
          </cell>
          <cell r="I878">
            <v>71912.759999999995</v>
          </cell>
        </row>
        <row r="879">
          <cell r="B879">
            <v>403</v>
          </cell>
          <cell r="C879">
            <v>952</v>
          </cell>
          <cell r="G879">
            <v>503.38</v>
          </cell>
          <cell r="I879">
            <v>503.38</v>
          </cell>
        </row>
        <row r="880">
          <cell r="B880">
            <v>403</v>
          </cell>
          <cell r="C880">
            <v>953</v>
          </cell>
          <cell r="G880">
            <v>7647.85</v>
          </cell>
          <cell r="I880">
            <v>7647.85</v>
          </cell>
        </row>
        <row r="881">
          <cell r="B881">
            <v>403</v>
          </cell>
          <cell r="C881">
            <v>1952</v>
          </cell>
          <cell r="G881">
            <v>412.55</v>
          </cell>
          <cell r="I881">
            <v>412.55</v>
          </cell>
        </row>
        <row r="882">
          <cell r="B882">
            <v>403</v>
          </cell>
          <cell r="C882">
            <v>1953</v>
          </cell>
          <cell r="G882">
            <v>7060.87</v>
          </cell>
          <cell r="I882">
            <v>7060.87</v>
          </cell>
        </row>
        <row r="883">
          <cell r="B883">
            <v>403</v>
          </cell>
          <cell r="C883">
            <v>1997</v>
          </cell>
          <cell r="G883">
            <v>9.6</v>
          </cell>
          <cell r="I883">
            <v>9.6</v>
          </cell>
        </row>
        <row r="884">
          <cell r="B884">
            <v>403</v>
          </cell>
          <cell r="C884">
            <v>10117</v>
          </cell>
          <cell r="G884">
            <v>9560.2000000000007</v>
          </cell>
          <cell r="I884">
            <v>9560.2000000000007</v>
          </cell>
        </row>
        <row r="885">
          <cell r="B885">
            <v>403</v>
          </cell>
          <cell r="C885">
            <v>10447</v>
          </cell>
          <cell r="G885">
            <v>1654.97</v>
          </cell>
          <cell r="I885">
            <v>1654.97</v>
          </cell>
        </row>
        <row r="886">
          <cell r="B886">
            <v>403</v>
          </cell>
          <cell r="C886">
            <v>10557</v>
          </cell>
          <cell r="G886">
            <v>11.92</v>
          </cell>
          <cell r="I886">
            <v>11.92</v>
          </cell>
        </row>
        <row r="887">
          <cell r="B887">
            <v>403</v>
          </cell>
          <cell r="C887">
            <v>10667</v>
          </cell>
          <cell r="G887">
            <v>83.76</v>
          </cell>
          <cell r="I887">
            <v>83.76</v>
          </cell>
        </row>
        <row r="888">
          <cell r="B888">
            <v>403</v>
          </cell>
          <cell r="C888">
            <v>10777</v>
          </cell>
          <cell r="G888">
            <v>337.71</v>
          </cell>
          <cell r="I888">
            <v>337.71</v>
          </cell>
        </row>
        <row r="889">
          <cell r="B889">
            <v>403</v>
          </cell>
          <cell r="C889">
            <v>99901</v>
          </cell>
          <cell r="G889">
            <v>813570.9</v>
          </cell>
          <cell r="I889">
            <v>813570.9</v>
          </cell>
        </row>
        <row r="890">
          <cell r="B890">
            <v>403</v>
          </cell>
          <cell r="C890">
            <v>99902</v>
          </cell>
          <cell r="G890">
            <v>50732.33</v>
          </cell>
          <cell r="I890">
            <v>50732.33</v>
          </cell>
        </row>
        <row r="891">
          <cell r="B891">
            <v>403</v>
          </cell>
          <cell r="C891">
            <v>99999</v>
          </cell>
          <cell r="G891">
            <v>-864303.23</v>
          </cell>
          <cell r="I891">
            <v>-864303.23</v>
          </cell>
        </row>
        <row r="892">
          <cell r="B892">
            <v>404</v>
          </cell>
          <cell r="C892">
            <v>20</v>
          </cell>
          <cell r="G892">
            <v>71370.91</v>
          </cell>
          <cell r="I892">
            <v>71370.91</v>
          </cell>
        </row>
        <row r="893">
          <cell r="B893">
            <v>404</v>
          </cell>
          <cell r="C893">
            <v>30</v>
          </cell>
          <cell r="G893">
            <v>252090.62</v>
          </cell>
          <cell r="I893">
            <v>252090.62</v>
          </cell>
        </row>
        <row r="894">
          <cell r="B894">
            <v>404</v>
          </cell>
          <cell r="C894">
            <v>99901</v>
          </cell>
          <cell r="G894">
            <v>5898.62</v>
          </cell>
          <cell r="I894">
            <v>5898.62</v>
          </cell>
        </row>
        <row r="895">
          <cell r="B895">
            <v>404</v>
          </cell>
          <cell r="C895">
            <v>99999</v>
          </cell>
          <cell r="G895">
            <v>-5898.62</v>
          </cell>
          <cell r="I895">
            <v>-5898.62</v>
          </cell>
        </row>
        <row r="896">
          <cell r="B896">
            <v>407</v>
          </cell>
          <cell r="C896">
            <v>35100</v>
          </cell>
          <cell r="G896">
            <v>54371</v>
          </cell>
          <cell r="I896">
            <v>54371</v>
          </cell>
        </row>
        <row r="897">
          <cell r="B897">
            <v>407</v>
          </cell>
          <cell r="C897">
            <v>35500</v>
          </cell>
          <cell r="G897">
            <v>7353.63</v>
          </cell>
          <cell r="I897">
            <v>7353.63</v>
          </cell>
        </row>
        <row r="898">
          <cell r="B898">
            <v>407</v>
          </cell>
          <cell r="C898">
            <v>45100</v>
          </cell>
          <cell r="G898">
            <v>-66123.490000000005</v>
          </cell>
          <cell r="I898">
            <v>-66123.490000000005</v>
          </cell>
        </row>
        <row r="899">
          <cell r="B899">
            <v>408</v>
          </cell>
          <cell r="C899">
            <v>10105</v>
          </cell>
          <cell r="G899">
            <v>10062.61</v>
          </cell>
          <cell r="I899">
            <v>10062.61</v>
          </cell>
        </row>
        <row r="900">
          <cell r="B900">
            <v>408</v>
          </cell>
          <cell r="C900">
            <v>10107</v>
          </cell>
          <cell r="G900">
            <v>381333</v>
          </cell>
          <cell r="I900">
            <v>381333</v>
          </cell>
        </row>
        <row r="901">
          <cell r="B901">
            <v>408</v>
          </cell>
          <cell r="C901">
            <v>10109</v>
          </cell>
          <cell r="G901">
            <v>2417</v>
          </cell>
          <cell r="I901">
            <v>2417</v>
          </cell>
        </row>
        <row r="902">
          <cell r="B902">
            <v>408</v>
          </cell>
          <cell r="C902">
            <v>10121</v>
          </cell>
          <cell r="G902">
            <v>110000</v>
          </cell>
          <cell r="I902">
            <v>110000</v>
          </cell>
        </row>
        <row r="903">
          <cell r="B903">
            <v>408</v>
          </cell>
          <cell r="C903">
            <v>10124</v>
          </cell>
          <cell r="G903">
            <v>1468520.32</v>
          </cell>
          <cell r="I903">
            <v>1468520.32</v>
          </cell>
        </row>
        <row r="904">
          <cell r="B904">
            <v>408</v>
          </cell>
          <cell r="C904">
            <v>10131</v>
          </cell>
          <cell r="G904">
            <v>572.6</v>
          </cell>
          <cell r="I904">
            <v>572.6</v>
          </cell>
        </row>
        <row r="905">
          <cell r="B905">
            <v>408</v>
          </cell>
          <cell r="C905">
            <v>10200</v>
          </cell>
          <cell r="G905">
            <v>702802.04</v>
          </cell>
          <cell r="I905">
            <v>702802.04</v>
          </cell>
        </row>
        <row r="906">
          <cell r="B906">
            <v>408</v>
          </cell>
          <cell r="C906">
            <v>10210</v>
          </cell>
          <cell r="G906">
            <v>-104575.16</v>
          </cell>
          <cell r="I906">
            <v>-104575.16</v>
          </cell>
        </row>
        <row r="907">
          <cell r="B907">
            <v>408</v>
          </cell>
          <cell r="C907">
            <v>10222</v>
          </cell>
          <cell r="G907">
            <v>-1403.58</v>
          </cell>
          <cell r="I907">
            <v>-1403.58</v>
          </cell>
        </row>
        <row r="908">
          <cell r="B908">
            <v>408</v>
          </cell>
          <cell r="C908">
            <v>10310</v>
          </cell>
          <cell r="G908">
            <v>1927375.01</v>
          </cell>
          <cell r="I908">
            <v>1927375.01</v>
          </cell>
        </row>
        <row r="909">
          <cell r="B909">
            <v>408</v>
          </cell>
          <cell r="C909">
            <v>10502</v>
          </cell>
          <cell r="G909">
            <v>48799.28</v>
          </cell>
          <cell r="I909">
            <v>48799.28</v>
          </cell>
        </row>
        <row r="910">
          <cell r="B910">
            <v>408</v>
          </cell>
          <cell r="C910">
            <v>11113</v>
          </cell>
          <cell r="G910">
            <v>7348.63</v>
          </cell>
          <cell r="I910">
            <v>7348.63</v>
          </cell>
        </row>
        <row r="911">
          <cell r="B911">
            <v>408</v>
          </cell>
          <cell r="C911">
            <v>11114</v>
          </cell>
          <cell r="G911">
            <v>2924885.92</v>
          </cell>
          <cell r="I911">
            <v>2924885.92</v>
          </cell>
        </row>
        <row r="912">
          <cell r="B912">
            <v>408</v>
          </cell>
          <cell r="C912">
            <v>11116</v>
          </cell>
          <cell r="G912">
            <v>84870.95</v>
          </cell>
          <cell r="I912">
            <v>84870.95</v>
          </cell>
        </row>
        <row r="913">
          <cell r="B913">
            <v>408</v>
          </cell>
          <cell r="C913">
            <v>11118</v>
          </cell>
          <cell r="G913">
            <v>13560</v>
          </cell>
          <cell r="I913">
            <v>13560</v>
          </cell>
        </row>
        <row r="914">
          <cell r="B914">
            <v>408</v>
          </cell>
          <cell r="C914">
            <v>19106</v>
          </cell>
          <cell r="G914">
            <v>1323946</v>
          </cell>
          <cell r="I914">
            <v>1323946</v>
          </cell>
        </row>
        <row r="915">
          <cell r="B915">
            <v>408</v>
          </cell>
          <cell r="C915">
            <v>20005</v>
          </cell>
          <cell r="G915">
            <v>4748</v>
          </cell>
          <cell r="I915">
            <v>4748</v>
          </cell>
        </row>
        <row r="916">
          <cell r="B916">
            <v>408</v>
          </cell>
          <cell r="C916">
            <v>20007</v>
          </cell>
          <cell r="G916">
            <v>363.38</v>
          </cell>
          <cell r="I916">
            <v>363.38</v>
          </cell>
        </row>
        <row r="917">
          <cell r="B917">
            <v>408</v>
          </cell>
          <cell r="C917">
            <v>20008</v>
          </cell>
          <cell r="G917">
            <v>4.18</v>
          </cell>
          <cell r="I917">
            <v>4.18</v>
          </cell>
        </row>
        <row r="918">
          <cell r="B918">
            <v>408</v>
          </cell>
          <cell r="C918">
            <v>20205</v>
          </cell>
          <cell r="G918">
            <v>57</v>
          </cell>
          <cell r="I918">
            <v>57</v>
          </cell>
        </row>
        <row r="919">
          <cell r="B919">
            <v>409</v>
          </cell>
          <cell r="C919">
            <v>10002</v>
          </cell>
          <cell r="G919">
            <v>5078899.13</v>
          </cell>
          <cell r="I919">
            <v>5078899.13</v>
          </cell>
        </row>
        <row r="920">
          <cell r="B920">
            <v>409</v>
          </cell>
          <cell r="C920">
            <v>10107</v>
          </cell>
          <cell r="G920">
            <v>-83220.25</v>
          </cell>
          <cell r="I920">
            <v>-83220.25</v>
          </cell>
        </row>
        <row r="921">
          <cell r="B921">
            <v>409</v>
          </cell>
          <cell r="C921">
            <v>10405</v>
          </cell>
          <cell r="G921">
            <v>708923.97</v>
          </cell>
          <cell r="I921">
            <v>708923.97</v>
          </cell>
        </row>
        <row r="922">
          <cell r="B922">
            <v>409</v>
          </cell>
          <cell r="C922">
            <v>10506</v>
          </cell>
          <cell r="G922">
            <v>21655.18</v>
          </cell>
          <cell r="I922">
            <v>21655.18</v>
          </cell>
        </row>
        <row r="923">
          <cell r="B923">
            <v>409</v>
          </cell>
          <cell r="C923">
            <v>20206</v>
          </cell>
          <cell r="G923">
            <v>-51.99</v>
          </cell>
          <cell r="I923">
            <v>-51.99</v>
          </cell>
        </row>
        <row r="924">
          <cell r="B924">
            <v>409</v>
          </cell>
          <cell r="C924">
            <v>20240</v>
          </cell>
          <cell r="G924">
            <v>-112.75</v>
          </cell>
          <cell r="I924">
            <v>-112.75</v>
          </cell>
        </row>
        <row r="925">
          <cell r="B925">
            <v>409</v>
          </cell>
          <cell r="C925">
            <v>21001</v>
          </cell>
          <cell r="G925">
            <v>-30824.94</v>
          </cell>
          <cell r="I925">
            <v>-30824.94</v>
          </cell>
        </row>
        <row r="926">
          <cell r="B926">
            <v>409</v>
          </cell>
          <cell r="C926">
            <v>21210</v>
          </cell>
          <cell r="G926">
            <v>19175.11</v>
          </cell>
          <cell r="I926">
            <v>19175.11</v>
          </cell>
        </row>
        <row r="927">
          <cell r="B927">
            <v>409</v>
          </cell>
          <cell r="C927">
            <v>21211</v>
          </cell>
          <cell r="G927">
            <v>2916.46</v>
          </cell>
          <cell r="I927">
            <v>2916.46</v>
          </cell>
        </row>
        <row r="928">
          <cell r="B928">
            <v>409</v>
          </cell>
          <cell r="C928">
            <v>24240</v>
          </cell>
          <cell r="G928">
            <v>-4688.3500000000004</v>
          </cell>
          <cell r="I928">
            <v>-4688.3500000000004</v>
          </cell>
        </row>
        <row r="929">
          <cell r="B929">
            <v>410</v>
          </cell>
          <cell r="C929">
            <v>10017</v>
          </cell>
          <cell r="G929">
            <v>1725822.88</v>
          </cell>
          <cell r="I929">
            <v>1725822.88</v>
          </cell>
        </row>
        <row r="930">
          <cell r="B930">
            <v>410</v>
          </cell>
          <cell r="C930">
            <v>10018</v>
          </cell>
          <cell r="G930">
            <v>271898.32</v>
          </cell>
          <cell r="I930">
            <v>271898.32</v>
          </cell>
        </row>
        <row r="931">
          <cell r="B931">
            <v>410</v>
          </cell>
          <cell r="C931">
            <v>10031</v>
          </cell>
          <cell r="G931">
            <v>1621391.29</v>
          </cell>
          <cell r="I931">
            <v>1621391.29</v>
          </cell>
        </row>
        <row r="932">
          <cell r="B932">
            <v>410</v>
          </cell>
          <cell r="C932">
            <v>10032</v>
          </cell>
          <cell r="G932">
            <v>289742.55</v>
          </cell>
          <cell r="I932">
            <v>289742.55</v>
          </cell>
        </row>
        <row r="933">
          <cell r="B933">
            <v>410</v>
          </cell>
          <cell r="C933">
            <v>10153</v>
          </cell>
          <cell r="G933">
            <v>268725.09999999998</v>
          </cell>
          <cell r="I933">
            <v>268725.09999999998</v>
          </cell>
        </row>
        <row r="934">
          <cell r="B934">
            <v>410</v>
          </cell>
          <cell r="C934">
            <v>10184</v>
          </cell>
          <cell r="G934">
            <v>11900.92</v>
          </cell>
          <cell r="I934">
            <v>11900.92</v>
          </cell>
        </row>
        <row r="935">
          <cell r="B935">
            <v>410</v>
          </cell>
          <cell r="C935">
            <v>10185</v>
          </cell>
          <cell r="G935">
            <v>3662.68</v>
          </cell>
          <cell r="I935">
            <v>3662.68</v>
          </cell>
        </row>
        <row r="936">
          <cell r="B936">
            <v>410</v>
          </cell>
          <cell r="C936">
            <v>10186</v>
          </cell>
          <cell r="G936">
            <v>271725.31</v>
          </cell>
          <cell r="I936">
            <v>271725.31</v>
          </cell>
        </row>
        <row r="937">
          <cell r="B937">
            <v>410</v>
          </cell>
          <cell r="C937">
            <v>10187</v>
          </cell>
          <cell r="G937">
            <v>69889.72</v>
          </cell>
          <cell r="I937">
            <v>69889.72</v>
          </cell>
        </row>
        <row r="938">
          <cell r="B938">
            <v>410</v>
          </cell>
          <cell r="C938">
            <v>10188</v>
          </cell>
          <cell r="G938">
            <v>66790.080000000002</v>
          </cell>
          <cell r="I938">
            <v>66790.080000000002</v>
          </cell>
        </row>
        <row r="939">
          <cell r="B939">
            <v>410</v>
          </cell>
          <cell r="C939">
            <v>10189</v>
          </cell>
          <cell r="G939">
            <v>10495.58</v>
          </cell>
          <cell r="I939">
            <v>10495.58</v>
          </cell>
        </row>
        <row r="940">
          <cell r="B940">
            <v>410</v>
          </cell>
          <cell r="C940">
            <v>10308</v>
          </cell>
          <cell r="G940">
            <v>245234.63</v>
          </cell>
          <cell r="I940">
            <v>245234.63</v>
          </cell>
        </row>
        <row r="941">
          <cell r="B941">
            <v>410</v>
          </cell>
          <cell r="C941">
            <v>11100</v>
          </cell>
          <cell r="G941">
            <v>1560584</v>
          </cell>
          <cell r="I941">
            <v>1560584</v>
          </cell>
        </row>
        <row r="942">
          <cell r="B942">
            <v>410</v>
          </cell>
          <cell r="C942">
            <v>20160</v>
          </cell>
          <cell r="G942">
            <v>11.37</v>
          </cell>
          <cell r="I942">
            <v>11.37</v>
          </cell>
        </row>
        <row r="943">
          <cell r="B943">
            <v>411</v>
          </cell>
          <cell r="C943">
            <v>10031</v>
          </cell>
          <cell r="G943">
            <v>-601261.88</v>
          </cell>
          <cell r="I943">
            <v>-601261.88</v>
          </cell>
        </row>
        <row r="944">
          <cell r="B944">
            <v>411</v>
          </cell>
          <cell r="C944">
            <v>10032</v>
          </cell>
          <cell r="G944">
            <v>-86212.2</v>
          </cell>
          <cell r="I944">
            <v>-86212.2</v>
          </cell>
        </row>
        <row r="945">
          <cell r="B945">
            <v>411</v>
          </cell>
          <cell r="C945">
            <v>10041</v>
          </cell>
          <cell r="G945">
            <v>-66790.080000000002</v>
          </cell>
          <cell r="I945">
            <v>-66790.080000000002</v>
          </cell>
        </row>
        <row r="946">
          <cell r="B946">
            <v>411</v>
          </cell>
          <cell r="C946">
            <v>10042</v>
          </cell>
          <cell r="G946">
            <v>-10495.58</v>
          </cell>
          <cell r="I946">
            <v>-10495.58</v>
          </cell>
        </row>
        <row r="947">
          <cell r="B947">
            <v>411</v>
          </cell>
          <cell r="C947">
            <v>10153</v>
          </cell>
          <cell r="G947">
            <v>-310513.91999999998</v>
          </cell>
          <cell r="I947">
            <v>-310513.91999999998</v>
          </cell>
        </row>
        <row r="948">
          <cell r="B948">
            <v>411</v>
          </cell>
          <cell r="C948">
            <v>10184</v>
          </cell>
          <cell r="G948">
            <v>-117558.31</v>
          </cell>
          <cell r="I948">
            <v>-117558.31</v>
          </cell>
        </row>
        <row r="949">
          <cell r="B949">
            <v>411</v>
          </cell>
          <cell r="C949">
            <v>10185</v>
          </cell>
          <cell r="G949">
            <v>-21239.200000000001</v>
          </cell>
          <cell r="I949">
            <v>-21239.200000000001</v>
          </cell>
        </row>
        <row r="950">
          <cell r="B950">
            <v>411</v>
          </cell>
          <cell r="C950">
            <v>10186</v>
          </cell>
          <cell r="G950">
            <v>-558544.78</v>
          </cell>
          <cell r="I950">
            <v>-558544.78</v>
          </cell>
        </row>
        <row r="951">
          <cell r="B951">
            <v>411</v>
          </cell>
          <cell r="C951">
            <v>10187</v>
          </cell>
          <cell r="G951">
            <v>-87771.32</v>
          </cell>
          <cell r="I951">
            <v>-87771.32</v>
          </cell>
        </row>
        <row r="952">
          <cell r="B952">
            <v>411</v>
          </cell>
          <cell r="C952">
            <v>10188</v>
          </cell>
          <cell r="G952">
            <v>-426038.13</v>
          </cell>
          <cell r="I952">
            <v>-426038.13</v>
          </cell>
        </row>
        <row r="953">
          <cell r="B953">
            <v>411</v>
          </cell>
          <cell r="C953">
            <v>10189</v>
          </cell>
          <cell r="G953">
            <v>-66951.429999999993</v>
          </cell>
          <cell r="I953">
            <v>-66951.429999999993</v>
          </cell>
        </row>
        <row r="954">
          <cell r="B954">
            <v>411</v>
          </cell>
          <cell r="C954">
            <v>10307</v>
          </cell>
          <cell r="G954">
            <v>-3112861.68</v>
          </cell>
          <cell r="I954">
            <v>-3112861.68</v>
          </cell>
        </row>
        <row r="955">
          <cell r="B955">
            <v>411</v>
          </cell>
          <cell r="C955">
            <v>12100</v>
          </cell>
          <cell r="G955">
            <v>-489163.98</v>
          </cell>
          <cell r="I955">
            <v>-489163.98</v>
          </cell>
        </row>
        <row r="956">
          <cell r="B956">
            <v>411</v>
          </cell>
          <cell r="C956">
            <v>20347</v>
          </cell>
          <cell r="G956">
            <v>-206.77</v>
          </cell>
          <cell r="I956">
            <v>-206.77</v>
          </cell>
        </row>
        <row r="957">
          <cell r="B957">
            <v>411</v>
          </cell>
          <cell r="C957">
            <v>20348</v>
          </cell>
          <cell r="G957">
            <v>-32.49</v>
          </cell>
          <cell r="I957">
            <v>-32.49</v>
          </cell>
        </row>
        <row r="958">
          <cell r="B958">
            <v>411</v>
          </cell>
          <cell r="C958">
            <v>10117</v>
          </cell>
          <cell r="G958">
            <v>44294.15</v>
          </cell>
          <cell r="I958">
            <v>44294.15</v>
          </cell>
        </row>
        <row r="959">
          <cell r="B959">
            <v>411</v>
          </cell>
          <cell r="C959">
            <v>10447</v>
          </cell>
          <cell r="G959">
            <v>4675.1099999999997</v>
          </cell>
          <cell r="I959">
            <v>4675.1099999999997</v>
          </cell>
        </row>
        <row r="960">
          <cell r="B960">
            <v>411</v>
          </cell>
          <cell r="C960">
            <v>10557</v>
          </cell>
          <cell r="G960">
            <v>264.63</v>
          </cell>
          <cell r="I960">
            <v>264.63</v>
          </cell>
        </row>
        <row r="961">
          <cell r="B961">
            <v>411</v>
          </cell>
          <cell r="C961">
            <v>10667</v>
          </cell>
          <cell r="G961">
            <v>1085.49</v>
          </cell>
          <cell r="I961">
            <v>1085.49</v>
          </cell>
        </row>
        <row r="962">
          <cell r="B962">
            <v>411</v>
          </cell>
          <cell r="C962">
            <v>10777</v>
          </cell>
          <cell r="G962">
            <v>4155.55</v>
          </cell>
          <cell r="I962">
            <v>4155.55</v>
          </cell>
        </row>
        <row r="963">
          <cell r="B963">
            <v>411</v>
          </cell>
          <cell r="C963">
            <v>40420</v>
          </cell>
          <cell r="G963">
            <v>-133117</v>
          </cell>
          <cell r="I963">
            <v>-133117</v>
          </cell>
        </row>
        <row r="964">
          <cell r="B964">
            <v>411</v>
          </cell>
          <cell r="C964">
            <v>40422</v>
          </cell>
          <cell r="G964">
            <v>-465</v>
          </cell>
          <cell r="I964">
            <v>-465</v>
          </cell>
        </row>
        <row r="965">
          <cell r="B965">
            <v>411</v>
          </cell>
          <cell r="C965">
            <v>80000</v>
          </cell>
          <cell r="G965">
            <v>-6394.39</v>
          </cell>
          <cell r="I965">
            <v>-6394.39</v>
          </cell>
        </row>
        <row r="966">
          <cell r="B966">
            <v>415</v>
          </cell>
          <cell r="C966">
            <v>1</v>
          </cell>
          <cell r="G966">
            <v>-101356.24</v>
          </cell>
          <cell r="I966">
            <v>-101356.24</v>
          </cell>
        </row>
        <row r="967">
          <cell r="B967">
            <v>415</v>
          </cell>
          <cell r="C967">
            <v>2</v>
          </cell>
          <cell r="G967">
            <v>-424.83</v>
          </cell>
          <cell r="I967">
            <v>-424.83</v>
          </cell>
        </row>
        <row r="968">
          <cell r="B968">
            <v>416</v>
          </cell>
          <cell r="C968">
            <v>1</v>
          </cell>
          <cell r="G968">
            <v>10387.36</v>
          </cell>
          <cell r="I968">
            <v>10387.36</v>
          </cell>
        </row>
        <row r="969">
          <cell r="B969">
            <v>416</v>
          </cell>
          <cell r="C969">
            <v>3</v>
          </cell>
          <cell r="G969">
            <v>28162.1</v>
          </cell>
          <cell r="I969">
            <v>28162.1</v>
          </cell>
        </row>
        <row r="970">
          <cell r="B970">
            <v>416</v>
          </cell>
          <cell r="C970">
            <v>5</v>
          </cell>
          <cell r="G970">
            <v>285</v>
          </cell>
          <cell r="I970">
            <v>285</v>
          </cell>
        </row>
        <row r="971">
          <cell r="B971">
            <v>416</v>
          </cell>
          <cell r="C971">
            <v>9</v>
          </cell>
          <cell r="G971">
            <v>5075</v>
          </cell>
          <cell r="I971">
            <v>5075</v>
          </cell>
        </row>
        <row r="972">
          <cell r="B972">
            <v>418</v>
          </cell>
          <cell r="C972">
            <v>31</v>
          </cell>
          <cell r="G972">
            <v>281.70999999999998</v>
          </cell>
          <cell r="I972">
            <v>281.70999999999998</v>
          </cell>
        </row>
        <row r="973">
          <cell r="B973">
            <v>418</v>
          </cell>
          <cell r="C973">
            <v>10105</v>
          </cell>
          <cell r="G973">
            <v>-64405.01</v>
          </cell>
          <cell r="I973">
            <v>-64405.01</v>
          </cell>
        </row>
        <row r="974">
          <cell r="B974">
            <v>418</v>
          </cell>
          <cell r="C974">
            <v>11700</v>
          </cell>
          <cell r="G974">
            <v>211.23</v>
          </cell>
          <cell r="I974">
            <v>211.23</v>
          </cell>
        </row>
        <row r="975">
          <cell r="B975">
            <v>418</v>
          </cell>
          <cell r="C975">
            <v>11800</v>
          </cell>
          <cell r="G975">
            <v>3690.12</v>
          </cell>
          <cell r="I975">
            <v>3690.12</v>
          </cell>
        </row>
        <row r="976">
          <cell r="B976">
            <v>419</v>
          </cell>
          <cell r="C976">
            <v>1</v>
          </cell>
          <cell r="G976">
            <v>-647.48</v>
          </cell>
          <cell r="I976">
            <v>-647.48</v>
          </cell>
        </row>
        <row r="977">
          <cell r="B977">
            <v>419</v>
          </cell>
          <cell r="C977">
            <v>15</v>
          </cell>
          <cell r="G977">
            <v>-686.72</v>
          </cell>
          <cell r="I977">
            <v>-686.72</v>
          </cell>
        </row>
        <row r="978">
          <cell r="B978">
            <v>419</v>
          </cell>
          <cell r="C978">
            <v>32</v>
          </cell>
          <cell r="G978">
            <v>-464.22</v>
          </cell>
          <cell r="I978">
            <v>-464.22</v>
          </cell>
        </row>
        <row r="979">
          <cell r="B979">
            <v>419</v>
          </cell>
          <cell r="C979">
            <v>44</v>
          </cell>
          <cell r="G979">
            <v>-15</v>
          </cell>
          <cell r="I979">
            <v>-15</v>
          </cell>
        </row>
        <row r="980">
          <cell r="B980">
            <v>419</v>
          </cell>
          <cell r="C980">
            <v>46</v>
          </cell>
          <cell r="G980">
            <v>-101</v>
          </cell>
          <cell r="I980">
            <v>-101</v>
          </cell>
        </row>
        <row r="981">
          <cell r="B981">
            <v>419</v>
          </cell>
          <cell r="C981">
            <v>50</v>
          </cell>
          <cell r="G981">
            <v>-46</v>
          </cell>
          <cell r="I981">
            <v>-46</v>
          </cell>
        </row>
        <row r="982">
          <cell r="B982">
            <v>419</v>
          </cell>
          <cell r="C982">
            <v>1955</v>
          </cell>
          <cell r="G982">
            <v>-8.1999999999999993</v>
          </cell>
          <cell r="I982">
            <v>-8.1999999999999993</v>
          </cell>
        </row>
        <row r="983">
          <cell r="B983">
            <v>419</v>
          </cell>
          <cell r="C983">
            <v>10000</v>
          </cell>
          <cell r="G983">
            <v>-418341.93</v>
          </cell>
          <cell r="I983">
            <v>-418341.93</v>
          </cell>
        </row>
        <row r="984">
          <cell r="B984">
            <v>421</v>
          </cell>
          <cell r="C984">
            <v>55</v>
          </cell>
          <cell r="G984">
            <v>6351.17</v>
          </cell>
          <cell r="I984">
            <v>6351.17</v>
          </cell>
        </row>
        <row r="985">
          <cell r="B985">
            <v>425</v>
          </cell>
          <cell r="C985">
            <v>100</v>
          </cell>
          <cell r="G985">
            <v>21276</v>
          </cell>
          <cell r="I985">
            <v>21276</v>
          </cell>
        </row>
        <row r="986">
          <cell r="B986">
            <v>426</v>
          </cell>
          <cell r="C986">
            <v>10000</v>
          </cell>
          <cell r="G986">
            <v>28134.21</v>
          </cell>
          <cell r="I986">
            <v>28134.21</v>
          </cell>
        </row>
        <row r="987">
          <cell r="B987">
            <v>426</v>
          </cell>
          <cell r="C987">
            <v>40000</v>
          </cell>
          <cell r="G987">
            <v>95947.55</v>
          </cell>
          <cell r="I987">
            <v>95947.55</v>
          </cell>
        </row>
        <row r="988">
          <cell r="B988">
            <v>426</v>
          </cell>
          <cell r="C988">
            <v>40200</v>
          </cell>
          <cell r="G988">
            <v>495.5</v>
          </cell>
          <cell r="I988">
            <v>495.5</v>
          </cell>
        </row>
        <row r="989">
          <cell r="B989">
            <v>426</v>
          </cell>
          <cell r="C989">
            <v>50000</v>
          </cell>
          <cell r="G989">
            <v>46641.1</v>
          </cell>
          <cell r="I989">
            <v>46641.1</v>
          </cell>
        </row>
        <row r="990">
          <cell r="B990">
            <v>426</v>
          </cell>
          <cell r="C990">
            <v>50100</v>
          </cell>
          <cell r="G990">
            <v>6225.37</v>
          </cell>
          <cell r="I990">
            <v>6225.37</v>
          </cell>
        </row>
        <row r="991">
          <cell r="B991">
            <v>426</v>
          </cell>
          <cell r="C991">
            <v>50750</v>
          </cell>
          <cell r="G991">
            <v>5118.6099999999997</v>
          </cell>
          <cell r="I991">
            <v>5118.6099999999997</v>
          </cell>
        </row>
        <row r="992">
          <cell r="B992">
            <v>426</v>
          </cell>
          <cell r="C992">
            <v>50786</v>
          </cell>
          <cell r="G992">
            <v>-145.94999999999999</v>
          </cell>
          <cell r="I992">
            <v>-145.94999999999999</v>
          </cell>
        </row>
        <row r="993">
          <cell r="B993">
            <v>427</v>
          </cell>
          <cell r="C993">
            <v>450</v>
          </cell>
          <cell r="G993">
            <v>173437.5</v>
          </cell>
          <cell r="I993">
            <v>173437.5</v>
          </cell>
        </row>
        <row r="994">
          <cell r="B994">
            <v>427</v>
          </cell>
          <cell r="C994">
            <v>452</v>
          </cell>
          <cell r="G994">
            <v>587.88</v>
          </cell>
          <cell r="I994">
            <v>587.88</v>
          </cell>
        </row>
        <row r="995">
          <cell r="B995">
            <v>427</v>
          </cell>
          <cell r="C995">
            <v>453</v>
          </cell>
          <cell r="G995">
            <v>183750</v>
          </cell>
          <cell r="I995">
            <v>183750</v>
          </cell>
        </row>
        <row r="996">
          <cell r="B996">
            <v>427</v>
          </cell>
          <cell r="C996">
            <v>455</v>
          </cell>
          <cell r="G996">
            <v>52000</v>
          </cell>
          <cell r="I996">
            <v>52000</v>
          </cell>
        </row>
        <row r="997">
          <cell r="B997">
            <v>427</v>
          </cell>
          <cell r="C997">
            <v>456</v>
          </cell>
          <cell r="G997">
            <v>40687.5</v>
          </cell>
          <cell r="I997">
            <v>40687.5</v>
          </cell>
        </row>
        <row r="998">
          <cell r="B998">
            <v>427</v>
          </cell>
          <cell r="C998">
            <v>457</v>
          </cell>
          <cell r="G998">
            <v>145375</v>
          </cell>
          <cell r="I998">
            <v>145375</v>
          </cell>
        </row>
        <row r="999">
          <cell r="B999">
            <v>427</v>
          </cell>
          <cell r="C999">
            <v>458</v>
          </cell>
          <cell r="G999">
            <v>94791.67</v>
          </cell>
          <cell r="I999">
            <v>94791.67</v>
          </cell>
        </row>
        <row r="1000">
          <cell r="B1000">
            <v>427</v>
          </cell>
          <cell r="C1000">
            <v>459</v>
          </cell>
          <cell r="G1000">
            <v>9424.77</v>
          </cell>
          <cell r="I1000">
            <v>9424.77</v>
          </cell>
        </row>
        <row r="1001">
          <cell r="B1001">
            <v>427</v>
          </cell>
          <cell r="C1001">
            <v>721</v>
          </cell>
          <cell r="G1001">
            <v>244717</v>
          </cell>
          <cell r="I1001">
            <v>244717</v>
          </cell>
        </row>
        <row r="1002">
          <cell r="B1002">
            <v>427</v>
          </cell>
          <cell r="C1002">
            <v>722</v>
          </cell>
          <cell r="G1002">
            <v>262500</v>
          </cell>
          <cell r="I1002">
            <v>262500</v>
          </cell>
        </row>
        <row r="1003">
          <cell r="B1003">
            <v>427</v>
          </cell>
          <cell r="C1003">
            <v>723</v>
          </cell>
          <cell r="G1003">
            <v>191666.67</v>
          </cell>
          <cell r="I1003">
            <v>191666.67</v>
          </cell>
        </row>
        <row r="1004">
          <cell r="B1004">
            <v>427</v>
          </cell>
          <cell r="C1004">
            <v>749</v>
          </cell>
          <cell r="G1004">
            <v>291601.33</v>
          </cell>
          <cell r="I1004">
            <v>291601.33</v>
          </cell>
        </row>
        <row r="1005">
          <cell r="B1005">
            <v>427</v>
          </cell>
          <cell r="C1005">
            <v>753</v>
          </cell>
          <cell r="G1005">
            <v>171354.16</v>
          </cell>
          <cell r="I1005">
            <v>171354.16</v>
          </cell>
        </row>
        <row r="1006">
          <cell r="B1006">
            <v>427</v>
          </cell>
          <cell r="C1006">
            <v>754</v>
          </cell>
          <cell r="G1006">
            <v>306250</v>
          </cell>
          <cell r="I1006">
            <v>306250</v>
          </cell>
        </row>
        <row r="1007">
          <cell r="B1007">
            <v>427</v>
          </cell>
          <cell r="C1007">
            <v>756</v>
          </cell>
          <cell r="G1007">
            <v>282500</v>
          </cell>
          <cell r="I1007">
            <v>282500</v>
          </cell>
        </row>
        <row r="1008">
          <cell r="B1008">
            <v>427</v>
          </cell>
          <cell r="C1008">
            <v>758</v>
          </cell>
          <cell r="G1008">
            <v>530822.32999999996</v>
          </cell>
          <cell r="I1008">
            <v>530822.32999999996</v>
          </cell>
        </row>
        <row r="1009">
          <cell r="B1009">
            <v>427</v>
          </cell>
          <cell r="C1009">
            <v>759</v>
          </cell>
          <cell r="G1009">
            <v>392666.67</v>
          </cell>
          <cell r="I1009">
            <v>392666.67</v>
          </cell>
        </row>
        <row r="1010">
          <cell r="B1010">
            <v>427</v>
          </cell>
          <cell r="C1010">
            <v>761</v>
          </cell>
          <cell r="G1010">
            <v>110050.49</v>
          </cell>
          <cell r="I1010">
            <v>110050.49</v>
          </cell>
        </row>
        <row r="1011">
          <cell r="B1011">
            <v>427</v>
          </cell>
          <cell r="C1011">
            <v>763</v>
          </cell>
          <cell r="G1011">
            <v>40906.83</v>
          </cell>
          <cell r="I1011">
            <v>40906.83</v>
          </cell>
        </row>
        <row r="1012">
          <cell r="B1012">
            <v>428</v>
          </cell>
          <cell r="C1012">
            <v>450</v>
          </cell>
          <cell r="G1012">
            <v>5355.51</v>
          </cell>
          <cell r="I1012">
            <v>5355.51</v>
          </cell>
        </row>
        <row r="1013">
          <cell r="B1013">
            <v>428</v>
          </cell>
          <cell r="C1013">
            <v>452</v>
          </cell>
          <cell r="G1013">
            <v>179.72</v>
          </cell>
          <cell r="I1013">
            <v>179.72</v>
          </cell>
        </row>
        <row r="1014">
          <cell r="B1014">
            <v>428</v>
          </cell>
          <cell r="C1014">
            <v>453</v>
          </cell>
          <cell r="G1014">
            <v>4870.93</v>
          </cell>
          <cell r="I1014">
            <v>4870.93</v>
          </cell>
        </row>
        <row r="1015">
          <cell r="B1015">
            <v>428</v>
          </cell>
          <cell r="C1015">
            <v>455</v>
          </cell>
          <cell r="G1015">
            <v>2836.24</v>
          </cell>
          <cell r="I1015">
            <v>2836.24</v>
          </cell>
        </row>
        <row r="1016">
          <cell r="B1016">
            <v>428</v>
          </cell>
          <cell r="C1016">
            <v>456</v>
          </cell>
          <cell r="G1016">
            <v>3132.3</v>
          </cell>
          <cell r="I1016">
            <v>3132.3</v>
          </cell>
        </row>
        <row r="1017">
          <cell r="B1017">
            <v>428</v>
          </cell>
          <cell r="C1017">
            <v>457</v>
          </cell>
          <cell r="G1017">
            <v>6203.84</v>
          </cell>
          <cell r="I1017">
            <v>6203.84</v>
          </cell>
        </row>
        <row r="1018">
          <cell r="B1018">
            <v>428</v>
          </cell>
          <cell r="C1018">
            <v>458</v>
          </cell>
          <cell r="G1018">
            <v>1775.52</v>
          </cell>
          <cell r="I1018">
            <v>1775.52</v>
          </cell>
        </row>
        <row r="1019">
          <cell r="B1019">
            <v>428</v>
          </cell>
          <cell r="C1019">
            <v>459</v>
          </cell>
          <cell r="G1019">
            <v>1748.44</v>
          </cell>
          <cell r="I1019">
            <v>1748.44</v>
          </cell>
        </row>
        <row r="1020">
          <cell r="B1020">
            <v>428</v>
          </cell>
          <cell r="C1020">
            <v>721</v>
          </cell>
          <cell r="G1020">
            <v>5441.39</v>
          </cell>
          <cell r="I1020">
            <v>5441.39</v>
          </cell>
        </row>
        <row r="1021">
          <cell r="B1021">
            <v>428</v>
          </cell>
          <cell r="C1021">
            <v>722</v>
          </cell>
          <cell r="G1021">
            <v>8662.67</v>
          </cell>
          <cell r="I1021">
            <v>8662.67</v>
          </cell>
        </row>
        <row r="1022">
          <cell r="B1022">
            <v>428</v>
          </cell>
          <cell r="C1022">
            <v>723</v>
          </cell>
          <cell r="G1022">
            <v>5975.03</v>
          </cell>
          <cell r="I1022">
            <v>5975.03</v>
          </cell>
        </row>
        <row r="1023">
          <cell r="B1023">
            <v>428</v>
          </cell>
          <cell r="C1023">
            <v>749</v>
          </cell>
          <cell r="G1023">
            <v>9041.82</v>
          </cell>
          <cell r="I1023">
            <v>9041.82</v>
          </cell>
        </row>
        <row r="1024">
          <cell r="B1024">
            <v>428</v>
          </cell>
          <cell r="C1024">
            <v>753</v>
          </cell>
          <cell r="G1024">
            <v>2592.66</v>
          </cell>
          <cell r="I1024">
            <v>2592.66</v>
          </cell>
        </row>
        <row r="1025">
          <cell r="B1025">
            <v>428</v>
          </cell>
          <cell r="C1025">
            <v>754</v>
          </cell>
          <cell r="G1025">
            <v>5921.46</v>
          </cell>
          <cell r="I1025">
            <v>5921.46</v>
          </cell>
        </row>
        <row r="1026">
          <cell r="B1026">
            <v>428</v>
          </cell>
          <cell r="C1026">
            <v>756</v>
          </cell>
          <cell r="G1026">
            <v>2725.19</v>
          </cell>
          <cell r="I1026">
            <v>2725.19</v>
          </cell>
        </row>
        <row r="1027">
          <cell r="B1027">
            <v>428</v>
          </cell>
          <cell r="C1027">
            <v>758</v>
          </cell>
          <cell r="G1027">
            <v>8233.32</v>
          </cell>
          <cell r="I1027">
            <v>8233.32</v>
          </cell>
        </row>
        <row r="1028">
          <cell r="B1028">
            <v>428</v>
          </cell>
          <cell r="C1028">
            <v>759</v>
          </cell>
          <cell r="G1028">
            <v>6627.89</v>
          </cell>
          <cell r="I1028">
            <v>6627.89</v>
          </cell>
        </row>
        <row r="1029">
          <cell r="B1029">
            <v>428</v>
          </cell>
          <cell r="C1029">
            <v>761</v>
          </cell>
          <cell r="G1029">
            <v>3079.52</v>
          </cell>
          <cell r="I1029">
            <v>3079.52</v>
          </cell>
        </row>
        <row r="1030">
          <cell r="B1030">
            <v>428</v>
          </cell>
          <cell r="C1030">
            <v>763</v>
          </cell>
          <cell r="G1030">
            <v>46419.6</v>
          </cell>
          <cell r="I1030">
            <v>46419.6</v>
          </cell>
        </row>
        <row r="1031">
          <cell r="B1031">
            <v>428</v>
          </cell>
          <cell r="C1031">
            <v>1029</v>
          </cell>
          <cell r="G1031">
            <v>5452.97</v>
          </cell>
          <cell r="I1031">
            <v>5452.97</v>
          </cell>
        </row>
        <row r="1032">
          <cell r="B1032">
            <v>428</v>
          </cell>
          <cell r="C1032">
            <v>1030</v>
          </cell>
          <cell r="G1032">
            <v>20219</v>
          </cell>
          <cell r="I1032">
            <v>20219</v>
          </cell>
        </row>
        <row r="1033">
          <cell r="B1033">
            <v>428</v>
          </cell>
          <cell r="C1033">
            <v>1033</v>
          </cell>
          <cell r="G1033">
            <v>714.34</v>
          </cell>
          <cell r="I1033">
            <v>714.34</v>
          </cell>
        </row>
        <row r="1034">
          <cell r="B1034">
            <v>428</v>
          </cell>
          <cell r="C1034">
            <v>1034</v>
          </cell>
          <cell r="G1034">
            <v>961.12</v>
          </cell>
          <cell r="I1034">
            <v>961.12</v>
          </cell>
        </row>
        <row r="1035">
          <cell r="B1035">
            <v>428</v>
          </cell>
          <cell r="C1035">
            <v>1039</v>
          </cell>
          <cell r="G1035">
            <v>6279.14</v>
          </cell>
          <cell r="I1035">
            <v>6279.14</v>
          </cell>
        </row>
        <row r="1036">
          <cell r="B1036">
            <v>428</v>
          </cell>
          <cell r="C1036">
            <v>1040</v>
          </cell>
          <cell r="G1036">
            <v>4597.67</v>
          </cell>
          <cell r="I1036">
            <v>4597.67</v>
          </cell>
        </row>
        <row r="1037">
          <cell r="B1037">
            <v>428</v>
          </cell>
          <cell r="C1037">
            <v>1042</v>
          </cell>
          <cell r="G1037">
            <v>14121.68</v>
          </cell>
          <cell r="I1037">
            <v>14121.68</v>
          </cell>
        </row>
        <row r="1038">
          <cell r="B1038">
            <v>428</v>
          </cell>
          <cell r="C1038">
            <v>1049</v>
          </cell>
          <cell r="G1038">
            <v>4270.92</v>
          </cell>
          <cell r="I1038">
            <v>4270.92</v>
          </cell>
        </row>
        <row r="1039">
          <cell r="B1039">
            <v>428</v>
          </cell>
          <cell r="C1039">
            <v>1056</v>
          </cell>
          <cell r="G1039">
            <v>6072.64</v>
          </cell>
          <cell r="I1039">
            <v>6072.64</v>
          </cell>
        </row>
        <row r="1040">
          <cell r="B1040">
            <v>428</v>
          </cell>
          <cell r="C1040">
            <v>1057</v>
          </cell>
          <cell r="G1040">
            <v>3104.72</v>
          </cell>
          <cell r="I1040">
            <v>3104.72</v>
          </cell>
        </row>
        <row r="1041">
          <cell r="B1041">
            <v>428</v>
          </cell>
          <cell r="C1041">
            <v>1059</v>
          </cell>
          <cell r="G1041">
            <v>12633.41</v>
          </cell>
          <cell r="I1041">
            <v>12633.41</v>
          </cell>
        </row>
        <row r="1042">
          <cell r="B1042">
            <v>428</v>
          </cell>
          <cell r="C1042">
            <v>1061</v>
          </cell>
          <cell r="G1042">
            <v>1244.72</v>
          </cell>
          <cell r="I1042">
            <v>1244.72</v>
          </cell>
        </row>
        <row r="1043">
          <cell r="B1043">
            <v>428</v>
          </cell>
          <cell r="C1043">
            <v>1062</v>
          </cell>
          <cell r="G1043">
            <v>1628.16</v>
          </cell>
          <cell r="I1043">
            <v>1628.16</v>
          </cell>
        </row>
        <row r="1044">
          <cell r="B1044">
            <v>428</v>
          </cell>
          <cell r="C1044">
            <v>1063</v>
          </cell>
          <cell r="G1044">
            <v>733.04</v>
          </cell>
          <cell r="I1044">
            <v>733.04</v>
          </cell>
        </row>
        <row r="1045">
          <cell r="B1045">
            <v>428</v>
          </cell>
          <cell r="C1045">
            <v>1065</v>
          </cell>
          <cell r="G1045">
            <v>2941.75</v>
          </cell>
          <cell r="I1045">
            <v>2941.75</v>
          </cell>
        </row>
        <row r="1046">
          <cell r="B1046">
            <v>428</v>
          </cell>
          <cell r="C1046">
            <v>1066</v>
          </cell>
          <cell r="G1046">
            <v>10723.47</v>
          </cell>
          <cell r="I1046">
            <v>10723.47</v>
          </cell>
        </row>
        <row r="1047">
          <cell r="B1047">
            <v>428</v>
          </cell>
          <cell r="C1047">
            <v>1067</v>
          </cell>
          <cell r="G1047">
            <v>1542.27</v>
          </cell>
          <cell r="I1047">
            <v>1542.27</v>
          </cell>
        </row>
        <row r="1048">
          <cell r="B1048">
            <v>428</v>
          </cell>
          <cell r="C1048">
            <v>1068</v>
          </cell>
          <cell r="G1048">
            <v>2109.41</v>
          </cell>
          <cell r="I1048">
            <v>2109.41</v>
          </cell>
        </row>
        <row r="1049">
          <cell r="B1049">
            <v>428</v>
          </cell>
          <cell r="C1049">
            <v>1069</v>
          </cell>
          <cell r="G1049">
            <v>896.28</v>
          </cell>
          <cell r="I1049">
            <v>896.28</v>
          </cell>
        </row>
        <row r="1050">
          <cell r="B1050">
            <v>428</v>
          </cell>
          <cell r="C1050">
            <v>1070</v>
          </cell>
          <cell r="G1050">
            <v>1537.59</v>
          </cell>
          <cell r="I1050">
            <v>1537.59</v>
          </cell>
        </row>
        <row r="1051">
          <cell r="B1051">
            <v>428</v>
          </cell>
          <cell r="C1051">
            <v>1072</v>
          </cell>
          <cell r="G1051">
            <v>3392.74</v>
          </cell>
          <cell r="I1051">
            <v>3392.74</v>
          </cell>
        </row>
        <row r="1052">
          <cell r="B1052">
            <v>428</v>
          </cell>
          <cell r="C1052">
            <v>1073</v>
          </cell>
          <cell r="G1052">
            <v>3306.53</v>
          </cell>
          <cell r="I1052">
            <v>3306.53</v>
          </cell>
        </row>
        <row r="1053">
          <cell r="B1053">
            <v>428</v>
          </cell>
          <cell r="C1053">
            <v>1074</v>
          </cell>
          <cell r="G1053">
            <v>10455.06</v>
          </cell>
          <cell r="I1053">
            <v>10455.06</v>
          </cell>
        </row>
        <row r="1054">
          <cell r="B1054">
            <v>428</v>
          </cell>
          <cell r="C1054">
            <v>1075</v>
          </cell>
          <cell r="G1054">
            <v>8211.7900000000009</v>
          </cell>
          <cell r="I1054">
            <v>8211.7900000000009</v>
          </cell>
        </row>
        <row r="1055">
          <cell r="B1055">
            <v>428</v>
          </cell>
          <cell r="C1055">
            <v>1076</v>
          </cell>
          <cell r="G1055">
            <v>2397.1999999999998</v>
          </cell>
          <cell r="I1055">
            <v>2397.1999999999998</v>
          </cell>
        </row>
        <row r="1056">
          <cell r="B1056">
            <v>428</v>
          </cell>
          <cell r="C1056">
            <v>1077</v>
          </cell>
          <cell r="G1056">
            <v>1276.26</v>
          </cell>
          <cell r="I1056">
            <v>1276.26</v>
          </cell>
        </row>
        <row r="1057">
          <cell r="B1057">
            <v>428</v>
          </cell>
          <cell r="C1057">
            <v>1078</v>
          </cell>
          <cell r="G1057">
            <v>3621.06</v>
          </cell>
          <cell r="I1057">
            <v>3621.06</v>
          </cell>
        </row>
        <row r="1058">
          <cell r="B1058">
            <v>431</v>
          </cell>
          <cell r="C1058">
            <v>0</v>
          </cell>
          <cell r="G1058">
            <v>2093.96</v>
          </cell>
          <cell r="I1058">
            <v>2093.96</v>
          </cell>
        </row>
        <row r="1059">
          <cell r="B1059">
            <v>431</v>
          </cell>
          <cell r="C1059">
            <v>34</v>
          </cell>
          <cell r="G1059">
            <v>263.12</v>
          </cell>
          <cell r="I1059">
            <v>263.12</v>
          </cell>
        </row>
        <row r="1060">
          <cell r="B1060">
            <v>431</v>
          </cell>
          <cell r="C1060">
            <v>100</v>
          </cell>
          <cell r="G1060">
            <v>161051.14000000001</v>
          </cell>
          <cell r="I1060">
            <v>161051.14000000001</v>
          </cell>
        </row>
        <row r="1061">
          <cell r="B1061">
            <v>431</v>
          </cell>
          <cell r="C1061">
            <v>200</v>
          </cell>
          <cell r="G1061">
            <v>9852.2800000000007</v>
          </cell>
          <cell r="I1061">
            <v>9852.2800000000007</v>
          </cell>
        </row>
        <row r="1062">
          <cell r="B1062">
            <v>431</v>
          </cell>
          <cell r="C1062">
            <v>250</v>
          </cell>
          <cell r="G1062">
            <v>13033.86</v>
          </cell>
          <cell r="I1062">
            <v>13033.86</v>
          </cell>
        </row>
        <row r="1063">
          <cell r="B1063">
            <v>431</v>
          </cell>
          <cell r="C1063">
            <v>996</v>
          </cell>
          <cell r="G1063">
            <v>1864.47</v>
          </cell>
          <cell r="I1063">
            <v>1864.47</v>
          </cell>
        </row>
        <row r="1064">
          <cell r="B1064">
            <v>431</v>
          </cell>
          <cell r="C1064">
            <v>997</v>
          </cell>
          <cell r="G1064">
            <v>236.66</v>
          </cell>
          <cell r="I1064">
            <v>236.66</v>
          </cell>
        </row>
        <row r="1065">
          <cell r="B1065">
            <v>431</v>
          </cell>
          <cell r="C1065">
            <v>999</v>
          </cell>
          <cell r="G1065">
            <v>515</v>
          </cell>
          <cell r="I1065">
            <v>515</v>
          </cell>
        </row>
        <row r="1066">
          <cell r="B1066">
            <v>431</v>
          </cell>
          <cell r="C1066">
            <v>1953</v>
          </cell>
          <cell r="G1066">
            <v>15.14</v>
          </cell>
          <cell r="I1066">
            <v>15.14</v>
          </cell>
        </row>
        <row r="1067">
          <cell r="B1067">
            <v>431</v>
          </cell>
          <cell r="C1067">
            <v>1954</v>
          </cell>
          <cell r="G1067">
            <v>2.6</v>
          </cell>
          <cell r="I1067">
            <v>2.6</v>
          </cell>
        </row>
        <row r="1068">
          <cell r="B1068">
            <v>431</v>
          </cell>
          <cell r="C1068">
            <v>1956</v>
          </cell>
          <cell r="G1068">
            <v>33.880000000000003</v>
          </cell>
          <cell r="I1068">
            <v>33.880000000000003</v>
          </cell>
        </row>
        <row r="1069">
          <cell r="B1069">
            <v>432</v>
          </cell>
          <cell r="C1069">
            <v>0</v>
          </cell>
          <cell r="G1069">
            <v>-166724.96</v>
          </cell>
          <cell r="I1069">
            <v>-166724.96</v>
          </cell>
        </row>
        <row r="1070">
          <cell r="B1070">
            <v>437</v>
          </cell>
          <cell r="C1070">
            <v>16</v>
          </cell>
          <cell r="G1070">
            <v>825000</v>
          </cell>
          <cell r="I1070">
            <v>825000</v>
          </cell>
        </row>
        <row r="1071">
          <cell r="B1071">
            <v>437</v>
          </cell>
          <cell r="C1071">
            <v>17</v>
          </cell>
          <cell r="G1071">
            <v>725625</v>
          </cell>
          <cell r="I1071">
            <v>725625</v>
          </cell>
        </row>
        <row r="1072">
          <cell r="B1072">
            <v>437</v>
          </cell>
          <cell r="C1072">
            <v>910</v>
          </cell>
          <cell r="G1072">
            <v>-516875</v>
          </cell>
          <cell r="I1072">
            <v>-516875</v>
          </cell>
        </row>
        <row r="1073">
          <cell r="B1073">
            <v>437</v>
          </cell>
          <cell r="C1073">
            <v>43131</v>
          </cell>
          <cell r="G1073">
            <v>516875</v>
          </cell>
          <cell r="I1073">
            <v>516875</v>
          </cell>
        </row>
        <row r="1074">
          <cell r="B1074">
            <v>438</v>
          </cell>
          <cell r="C1074">
            <v>0</v>
          </cell>
          <cell r="G1074">
            <v>26075000</v>
          </cell>
          <cell r="I1074">
            <v>26075000</v>
          </cell>
        </row>
        <row r="1075">
          <cell r="B1075">
            <v>440</v>
          </cell>
          <cell r="C1075">
            <v>90</v>
          </cell>
          <cell r="G1075">
            <v>-311414</v>
          </cell>
          <cell r="I1075">
            <v>-311414</v>
          </cell>
        </row>
        <row r="1076">
          <cell r="B1076">
            <v>440</v>
          </cell>
          <cell r="C1076">
            <v>100</v>
          </cell>
          <cell r="G1076">
            <v>-64321629.170000002</v>
          </cell>
          <cell r="I1076">
            <v>-64321629.170000002</v>
          </cell>
        </row>
        <row r="1077">
          <cell r="B1077">
            <v>440</v>
          </cell>
          <cell r="C1077">
            <v>140</v>
          </cell>
          <cell r="G1077">
            <v>-1976651.87</v>
          </cell>
          <cell r="I1077">
            <v>-1976651.87</v>
          </cell>
        </row>
        <row r="1078">
          <cell r="B1078">
            <v>440</v>
          </cell>
          <cell r="C1078">
            <v>146</v>
          </cell>
          <cell r="G1078">
            <v>-43433.3</v>
          </cell>
          <cell r="I1078">
            <v>-43433.3</v>
          </cell>
        </row>
        <row r="1079">
          <cell r="B1079">
            <v>440</v>
          </cell>
          <cell r="C1079">
            <v>147</v>
          </cell>
          <cell r="G1079">
            <v>-18510.740000000002</v>
          </cell>
          <cell r="I1079">
            <v>-18510.740000000002</v>
          </cell>
        </row>
        <row r="1080">
          <cell r="B1080">
            <v>440</v>
          </cell>
          <cell r="C1080">
            <v>150</v>
          </cell>
          <cell r="G1080">
            <v>-1284285.81</v>
          </cell>
          <cell r="I1080">
            <v>-1284285.81</v>
          </cell>
        </row>
        <row r="1081">
          <cell r="B1081">
            <v>440</v>
          </cell>
          <cell r="C1081">
            <v>170</v>
          </cell>
          <cell r="G1081">
            <v>-315172.65999999997</v>
          </cell>
          <cell r="I1081">
            <v>-315172.65999999997</v>
          </cell>
        </row>
        <row r="1082">
          <cell r="B1082">
            <v>440</v>
          </cell>
          <cell r="C1082">
            <v>600</v>
          </cell>
          <cell r="G1082">
            <v>-92469.48</v>
          </cell>
          <cell r="I1082">
            <v>-92469.48</v>
          </cell>
        </row>
        <row r="1083">
          <cell r="B1083">
            <v>440</v>
          </cell>
          <cell r="C1083">
            <v>990</v>
          </cell>
          <cell r="G1083">
            <v>-5598.77</v>
          </cell>
          <cell r="I1083">
            <v>-5598.77</v>
          </cell>
        </row>
        <row r="1084">
          <cell r="B1084">
            <v>442</v>
          </cell>
          <cell r="C1084">
            <v>100</v>
          </cell>
          <cell r="G1084">
            <v>-3628287.12</v>
          </cell>
          <cell r="I1084">
            <v>-3628287.12</v>
          </cell>
        </row>
        <row r="1085">
          <cell r="B1085">
            <v>442</v>
          </cell>
          <cell r="C1085">
            <v>130</v>
          </cell>
          <cell r="G1085">
            <v>-270301.44</v>
          </cell>
          <cell r="I1085">
            <v>-270301.44</v>
          </cell>
        </row>
        <row r="1086">
          <cell r="B1086">
            <v>442</v>
          </cell>
          <cell r="C1086">
            <v>140</v>
          </cell>
          <cell r="G1086">
            <v>-22362518.449999999</v>
          </cell>
          <cell r="I1086">
            <v>-22362518.449999999</v>
          </cell>
        </row>
        <row r="1087">
          <cell r="B1087">
            <v>442</v>
          </cell>
          <cell r="C1087">
            <v>150</v>
          </cell>
          <cell r="G1087">
            <v>-35440.29</v>
          </cell>
          <cell r="I1087">
            <v>-35440.29</v>
          </cell>
        </row>
        <row r="1088">
          <cell r="B1088">
            <v>442</v>
          </cell>
          <cell r="C1088">
            <v>160</v>
          </cell>
          <cell r="G1088">
            <v>-204840.73</v>
          </cell>
          <cell r="I1088">
            <v>-204840.73</v>
          </cell>
        </row>
        <row r="1089">
          <cell r="B1089">
            <v>442</v>
          </cell>
          <cell r="C1089">
            <v>224</v>
          </cell>
          <cell r="G1089">
            <v>3813234</v>
          </cell>
          <cell r="I1089">
            <v>3813234</v>
          </cell>
        </row>
        <row r="1090">
          <cell r="B1090">
            <v>442</v>
          </cell>
          <cell r="C1090">
            <v>300</v>
          </cell>
          <cell r="G1090">
            <v>-3458369.05</v>
          </cell>
          <cell r="I1090">
            <v>-3458369.05</v>
          </cell>
        </row>
        <row r="1091">
          <cell r="B1091">
            <v>442</v>
          </cell>
          <cell r="C1091">
            <v>320</v>
          </cell>
          <cell r="G1091">
            <v>-3251504.07</v>
          </cell>
          <cell r="I1091">
            <v>-3251504.07</v>
          </cell>
        </row>
        <row r="1092">
          <cell r="B1092">
            <v>442</v>
          </cell>
          <cell r="C1092">
            <v>400</v>
          </cell>
          <cell r="G1092">
            <v>-417731.22</v>
          </cell>
          <cell r="I1092">
            <v>-417731.22</v>
          </cell>
        </row>
        <row r="1093">
          <cell r="B1093">
            <v>442</v>
          </cell>
          <cell r="C1093">
            <v>600</v>
          </cell>
          <cell r="G1093">
            <v>-401.71</v>
          </cell>
          <cell r="I1093">
            <v>-401.71</v>
          </cell>
        </row>
        <row r="1094">
          <cell r="B1094">
            <v>442</v>
          </cell>
          <cell r="C1094">
            <v>700</v>
          </cell>
          <cell r="G1094">
            <v>-777224.41</v>
          </cell>
          <cell r="I1094">
            <v>-777224.41</v>
          </cell>
        </row>
        <row r="1095">
          <cell r="B1095">
            <v>442</v>
          </cell>
          <cell r="C1095">
            <v>720</v>
          </cell>
          <cell r="G1095">
            <v>-44904.47</v>
          </cell>
          <cell r="I1095">
            <v>-44904.47</v>
          </cell>
        </row>
        <row r="1096">
          <cell r="B1096">
            <v>442</v>
          </cell>
          <cell r="C1096">
            <v>740</v>
          </cell>
          <cell r="G1096">
            <v>-356954.71</v>
          </cell>
          <cell r="I1096">
            <v>-356954.71</v>
          </cell>
        </row>
        <row r="1097">
          <cell r="B1097">
            <v>442</v>
          </cell>
          <cell r="C1097">
            <v>990</v>
          </cell>
          <cell r="G1097">
            <v>-113.1</v>
          </cell>
          <cell r="I1097">
            <v>-113.1</v>
          </cell>
        </row>
        <row r="1098">
          <cell r="B1098">
            <v>442</v>
          </cell>
          <cell r="C1098">
            <v>290</v>
          </cell>
          <cell r="G1098">
            <v>-184296</v>
          </cell>
          <cell r="I1098">
            <v>-184296</v>
          </cell>
        </row>
        <row r="1099">
          <cell r="B1099">
            <v>442</v>
          </cell>
          <cell r="C1099">
            <v>1100</v>
          </cell>
          <cell r="G1099">
            <v>-4651</v>
          </cell>
          <cell r="I1099">
            <v>-4651</v>
          </cell>
        </row>
        <row r="1100">
          <cell r="B1100">
            <v>442</v>
          </cell>
          <cell r="C1100">
            <v>1130</v>
          </cell>
          <cell r="G1100">
            <v>-2552.5300000000002</v>
          </cell>
          <cell r="I1100">
            <v>-2552.5300000000002</v>
          </cell>
        </row>
        <row r="1101">
          <cell r="B1101">
            <v>442</v>
          </cell>
          <cell r="C1101">
            <v>1140</v>
          </cell>
          <cell r="G1101">
            <v>-551029.92000000004</v>
          </cell>
          <cell r="I1101">
            <v>-551029.92000000004</v>
          </cell>
        </row>
        <row r="1102">
          <cell r="B1102">
            <v>442</v>
          </cell>
          <cell r="C1102">
            <v>1160</v>
          </cell>
          <cell r="G1102">
            <v>-10930.48</v>
          </cell>
          <cell r="I1102">
            <v>-10930.48</v>
          </cell>
        </row>
        <row r="1103">
          <cell r="B1103">
            <v>442</v>
          </cell>
          <cell r="C1103">
            <v>1300</v>
          </cell>
          <cell r="G1103">
            <v>-812725.87</v>
          </cell>
          <cell r="I1103">
            <v>-812725.87</v>
          </cell>
        </row>
        <row r="1104">
          <cell r="B1104">
            <v>442</v>
          </cell>
          <cell r="C1104">
            <v>1320</v>
          </cell>
          <cell r="G1104">
            <v>-5078835.55</v>
          </cell>
          <cell r="I1104">
            <v>-5078835.55</v>
          </cell>
        </row>
        <row r="1105">
          <cell r="B1105">
            <v>442</v>
          </cell>
          <cell r="C1105">
            <v>1400</v>
          </cell>
          <cell r="G1105">
            <v>-4539757.32</v>
          </cell>
          <cell r="I1105">
            <v>-4539757.32</v>
          </cell>
        </row>
        <row r="1106">
          <cell r="B1106">
            <v>442</v>
          </cell>
          <cell r="C1106">
            <v>1420</v>
          </cell>
          <cell r="G1106">
            <v>-294204.61</v>
          </cell>
          <cell r="I1106">
            <v>-294204.61</v>
          </cell>
        </row>
        <row r="1107">
          <cell r="B1107">
            <v>442</v>
          </cell>
          <cell r="C1107">
            <v>1500</v>
          </cell>
          <cell r="G1107">
            <v>-77017.850000000006</v>
          </cell>
          <cell r="I1107">
            <v>-77017.850000000006</v>
          </cell>
        </row>
        <row r="1108">
          <cell r="B1108">
            <v>442</v>
          </cell>
          <cell r="C1108">
            <v>1520</v>
          </cell>
          <cell r="G1108">
            <v>-29082.51</v>
          </cell>
          <cell r="I1108">
            <v>-29082.51</v>
          </cell>
        </row>
        <row r="1109">
          <cell r="B1109">
            <v>442</v>
          </cell>
          <cell r="C1109">
            <v>1700</v>
          </cell>
          <cell r="G1109">
            <v>-9967.83</v>
          </cell>
          <cell r="I1109">
            <v>-9967.83</v>
          </cell>
        </row>
        <row r="1110">
          <cell r="B1110">
            <v>442</v>
          </cell>
          <cell r="C1110">
            <v>1740</v>
          </cell>
          <cell r="G1110">
            <v>-2.12</v>
          </cell>
          <cell r="I1110">
            <v>-2.12</v>
          </cell>
        </row>
        <row r="1111">
          <cell r="B1111">
            <v>444</v>
          </cell>
          <cell r="C1111">
            <v>100</v>
          </cell>
          <cell r="G1111">
            <v>-370390.84</v>
          </cell>
          <cell r="I1111">
            <v>-370390.84</v>
          </cell>
        </row>
        <row r="1112">
          <cell r="B1112">
            <v>447</v>
          </cell>
          <cell r="C1112">
            <v>2100</v>
          </cell>
          <cell r="G1112">
            <v>-7308331.4299999997</v>
          </cell>
          <cell r="I1112">
            <v>-7308331.4299999997</v>
          </cell>
        </row>
        <row r="1113">
          <cell r="B1113">
            <v>447</v>
          </cell>
          <cell r="C1113">
            <v>2200</v>
          </cell>
          <cell r="G1113">
            <v>-22150</v>
          </cell>
          <cell r="I1113">
            <v>-22150</v>
          </cell>
        </row>
        <row r="1114">
          <cell r="B1114">
            <v>447</v>
          </cell>
          <cell r="C1114">
            <v>2290</v>
          </cell>
          <cell r="G1114">
            <v>-5334.36</v>
          </cell>
          <cell r="I1114">
            <v>-5334.36</v>
          </cell>
        </row>
        <row r="1115">
          <cell r="B1115">
            <v>447</v>
          </cell>
          <cell r="C1115">
            <v>2291</v>
          </cell>
          <cell r="G1115">
            <v>-5914.78</v>
          </cell>
          <cell r="I1115">
            <v>-5914.78</v>
          </cell>
        </row>
        <row r="1116">
          <cell r="B1116">
            <v>447</v>
          </cell>
          <cell r="C1116">
            <v>2293</v>
          </cell>
          <cell r="G1116">
            <v>-742.38</v>
          </cell>
          <cell r="I1116">
            <v>-742.38</v>
          </cell>
        </row>
        <row r="1117">
          <cell r="B1117">
            <v>447</v>
          </cell>
          <cell r="C1117">
            <v>2294</v>
          </cell>
          <cell r="G1117">
            <v>-646.92999999999995</v>
          </cell>
          <cell r="I1117">
            <v>-646.92999999999995</v>
          </cell>
        </row>
        <row r="1118">
          <cell r="B1118">
            <v>447</v>
          </cell>
          <cell r="C1118">
            <v>2297</v>
          </cell>
          <cell r="G1118">
            <v>-85.82</v>
          </cell>
          <cell r="I1118">
            <v>-85.82</v>
          </cell>
        </row>
        <row r="1119">
          <cell r="B1119">
            <v>447</v>
          </cell>
          <cell r="C1119">
            <v>2298</v>
          </cell>
          <cell r="G1119">
            <v>-66.61</v>
          </cell>
          <cell r="I1119">
            <v>-66.61</v>
          </cell>
        </row>
        <row r="1120">
          <cell r="B1120">
            <v>447</v>
          </cell>
          <cell r="C1120">
            <v>3100</v>
          </cell>
          <cell r="G1120">
            <v>-2634997.9300000002</v>
          </cell>
          <cell r="I1120">
            <v>-2634997.9300000002</v>
          </cell>
        </row>
        <row r="1121">
          <cell r="B1121">
            <v>447</v>
          </cell>
          <cell r="C1121">
            <v>3200</v>
          </cell>
          <cell r="G1121">
            <v>-921937.25</v>
          </cell>
          <cell r="I1121">
            <v>-921937.25</v>
          </cell>
        </row>
        <row r="1122">
          <cell r="B1122">
            <v>447</v>
          </cell>
          <cell r="C1122">
            <v>4100</v>
          </cell>
          <cell r="G1122">
            <v>-3947743.98</v>
          </cell>
          <cell r="I1122">
            <v>-3947743.98</v>
          </cell>
        </row>
        <row r="1123">
          <cell r="B1123">
            <v>447</v>
          </cell>
          <cell r="C1123">
            <v>4200</v>
          </cell>
          <cell r="G1123">
            <v>-2261293.9</v>
          </cell>
          <cell r="I1123">
            <v>-2261293.9</v>
          </cell>
        </row>
        <row r="1124">
          <cell r="B1124">
            <v>447</v>
          </cell>
          <cell r="C1124">
            <v>4301</v>
          </cell>
          <cell r="G1124">
            <v>-9644.9500000000007</v>
          </cell>
          <cell r="I1124">
            <v>-9644.9500000000007</v>
          </cell>
        </row>
        <row r="1125">
          <cell r="B1125">
            <v>451</v>
          </cell>
          <cell r="C1125">
            <v>8</v>
          </cell>
          <cell r="G1125">
            <v>-3485584.47</v>
          </cell>
          <cell r="I1125">
            <v>-3485584.47</v>
          </cell>
        </row>
        <row r="1126">
          <cell r="B1126">
            <v>451</v>
          </cell>
          <cell r="C1126">
            <v>12</v>
          </cell>
          <cell r="G1126">
            <v>-4850.24</v>
          </cell>
          <cell r="I1126">
            <v>-4850.24</v>
          </cell>
        </row>
        <row r="1127">
          <cell r="B1127">
            <v>451</v>
          </cell>
          <cell r="C1127">
            <v>23</v>
          </cell>
          <cell r="G1127">
            <v>-219571.32</v>
          </cell>
          <cell r="I1127">
            <v>-219571.32</v>
          </cell>
        </row>
        <row r="1128">
          <cell r="B1128">
            <v>451</v>
          </cell>
          <cell r="C1128">
            <v>28</v>
          </cell>
          <cell r="G1128">
            <v>-28986.3</v>
          </cell>
          <cell r="I1128">
            <v>-28986.3</v>
          </cell>
        </row>
        <row r="1129">
          <cell r="B1129">
            <v>451</v>
          </cell>
          <cell r="C1129">
            <v>30</v>
          </cell>
          <cell r="G1129">
            <v>-454.84</v>
          </cell>
          <cell r="I1129">
            <v>-454.84</v>
          </cell>
        </row>
        <row r="1130">
          <cell r="B1130">
            <v>451</v>
          </cell>
          <cell r="C1130">
            <v>33</v>
          </cell>
          <cell r="G1130">
            <v>-45962.03</v>
          </cell>
          <cell r="I1130">
            <v>-45962.03</v>
          </cell>
        </row>
        <row r="1131">
          <cell r="B1131">
            <v>451</v>
          </cell>
          <cell r="C1131">
            <v>34</v>
          </cell>
          <cell r="G1131">
            <v>-4320</v>
          </cell>
          <cell r="I1131">
            <v>-4320</v>
          </cell>
        </row>
        <row r="1132">
          <cell r="B1132">
            <v>451</v>
          </cell>
          <cell r="C1132">
            <v>35</v>
          </cell>
          <cell r="G1132">
            <v>-2280</v>
          </cell>
          <cell r="I1132">
            <v>-2280</v>
          </cell>
        </row>
        <row r="1133">
          <cell r="B1133">
            <v>451</v>
          </cell>
          <cell r="C1133">
            <v>80</v>
          </cell>
          <cell r="G1133">
            <v>-9261</v>
          </cell>
          <cell r="I1133">
            <v>-9261</v>
          </cell>
        </row>
        <row r="1134">
          <cell r="B1134">
            <v>451</v>
          </cell>
          <cell r="C1134">
            <v>90</v>
          </cell>
          <cell r="G1134">
            <v>-4720</v>
          </cell>
          <cell r="I1134">
            <v>-4720</v>
          </cell>
        </row>
        <row r="1135">
          <cell r="B1135">
            <v>454</v>
          </cell>
          <cell r="C1135">
            <v>100</v>
          </cell>
          <cell r="G1135">
            <v>-183876.03</v>
          </cell>
          <cell r="I1135">
            <v>-183876.03</v>
          </cell>
        </row>
        <row r="1136">
          <cell r="B1136">
            <v>454</v>
          </cell>
          <cell r="C1136">
            <v>200</v>
          </cell>
          <cell r="G1136">
            <v>-141390.92000000001</v>
          </cell>
          <cell r="I1136">
            <v>-141390.92000000001</v>
          </cell>
        </row>
        <row r="1137">
          <cell r="B1137">
            <v>454</v>
          </cell>
          <cell r="C1137">
            <v>203</v>
          </cell>
          <cell r="G1137">
            <v>-25422.9</v>
          </cell>
          <cell r="I1137">
            <v>-25422.9</v>
          </cell>
        </row>
        <row r="1138">
          <cell r="B1138">
            <v>454</v>
          </cell>
          <cell r="C1138">
            <v>410</v>
          </cell>
          <cell r="G1138">
            <v>-54204</v>
          </cell>
          <cell r="I1138">
            <v>-54204</v>
          </cell>
        </row>
        <row r="1139">
          <cell r="B1139">
            <v>454</v>
          </cell>
          <cell r="C1139">
            <v>900</v>
          </cell>
          <cell r="G1139">
            <v>-30018.14</v>
          </cell>
          <cell r="I1139">
            <v>-30018.14</v>
          </cell>
        </row>
        <row r="1140">
          <cell r="B1140">
            <v>456</v>
          </cell>
          <cell r="C1140">
            <v>0</v>
          </cell>
          <cell r="G1140">
            <v>-180457.17</v>
          </cell>
          <cell r="I1140">
            <v>-180457.17</v>
          </cell>
        </row>
        <row r="1141">
          <cell r="B1141">
            <v>456</v>
          </cell>
          <cell r="C1141">
            <v>946</v>
          </cell>
          <cell r="G1141">
            <v>-753277.22</v>
          </cell>
          <cell r="I1141">
            <v>-753277.22</v>
          </cell>
        </row>
        <row r="1142">
          <cell r="B1142">
            <v>456</v>
          </cell>
          <cell r="C1142">
            <v>947</v>
          </cell>
          <cell r="G1142">
            <v>-3456854.63</v>
          </cell>
          <cell r="I1142">
            <v>-3456854.63</v>
          </cell>
        </row>
        <row r="1143">
          <cell r="B1143">
            <v>456</v>
          </cell>
          <cell r="C1143">
            <v>948</v>
          </cell>
          <cell r="G1143">
            <v>294767.08</v>
          </cell>
          <cell r="I1143">
            <v>294767.08</v>
          </cell>
        </row>
        <row r="1144">
          <cell r="B1144">
            <v>456</v>
          </cell>
          <cell r="C1144">
            <v>949</v>
          </cell>
          <cell r="G1144">
            <v>3142875</v>
          </cell>
          <cell r="I1144">
            <v>3142875</v>
          </cell>
        </row>
        <row r="1145">
          <cell r="B1145">
            <v>456</v>
          </cell>
          <cell r="C1145">
            <v>951</v>
          </cell>
          <cell r="G1145">
            <v>-757264.55</v>
          </cell>
          <cell r="I1145">
            <v>-757264.55</v>
          </cell>
        </row>
        <row r="1146">
          <cell r="B1146">
            <v>456</v>
          </cell>
          <cell r="C1146">
            <v>1953</v>
          </cell>
          <cell r="G1146">
            <v>-10819.13</v>
          </cell>
          <cell r="I1146">
            <v>-10819.13</v>
          </cell>
        </row>
        <row r="1147">
          <cell r="B1147">
            <v>456</v>
          </cell>
          <cell r="C1147">
            <v>1954</v>
          </cell>
          <cell r="G1147">
            <v>-3637</v>
          </cell>
          <cell r="I1147">
            <v>-3637</v>
          </cell>
        </row>
        <row r="1148">
          <cell r="B1148">
            <v>456</v>
          </cell>
          <cell r="C1148">
            <v>1955</v>
          </cell>
          <cell r="G1148">
            <v>-23096.69</v>
          </cell>
          <cell r="I1148">
            <v>-23096.69</v>
          </cell>
        </row>
        <row r="1149">
          <cell r="B1149">
            <v>456</v>
          </cell>
          <cell r="C1149">
            <v>1956</v>
          </cell>
          <cell r="G1149">
            <v>-29700.05</v>
          </cell>
          <cell r="I1149">
            <v>-29700.05</v>
          </cell>
        </row>
        <row r="1150">
          <cell r="B1150">
            <v>456</v>
          </cell>
          <cell r="C1150">
            <v>12068</v>
          </cell>
          <cell r="G1150">
            <v>-2508.8000000000002</v>
          </cell>
          <cell r="I1150">
            <v>-2508.8000000000002</v>
          </cell>
        </row>
        <row r="1151">
          <cell r="B1151">
            <v>456</v>
          </cell>
          <cell r="C1151">
            <v>13011</v>
          </cell>
          <cell r="G1151">
            <v>4521.5</v>
          </cell>
          <cell r="I1151">
            <v>4521.5</v>
          </cell>
        </row>
        <row r="1152">
          <cell r="B1152">
            <v>456</v>
          </cell>
          <cell r="C1152">
            <v>13100</v>
          </cell>
          <cell r="G1152">
            <v>-56.48</v>
          </cell>
          <cell r="I1152">
            <v>-56.48</v>
          </cell>
        </row>
        <row r="1153">
          <cell r="B1153">
            <v>456</v>
          </cell>
          <cell r="C1153">
            <v>14020</v>
          </cell>
          <cell r="G1153">
            <v>-8414.24</v>
          </cell>
          <cell r="I1153">
            <v>-8414.24</v>
          </cell>
        </row>
        <row r="1154">
          <cell r="B1154">
            <v>456</v>
          </cell>
          <cell r="C1154">
            <v>14022</v>
          </cell>
          <cell r="G1154">
            <v>-3796.08</v>
          </cell>
          <cell r="I1154">
            <v>-3796.08</v>
          </cell>
        </row>
        <row r="1155">
          <cell r="B1155">
            <v>456</v>
          </cell>
          <cell r="C1155">
            <v>14024</v>
          </cell>
          <cell r="G1155">
            <v>-43586.17</v>
          </cell>
          <cell r="I1155">
            <v>-43586.17</v>
          </cell>
        </row>
        <row r="1156">
          <cell r="B1156">
            <v>456</v>
          </cell>
          <cell r="C1156">
            <v>14030</v>
          </cell>
          <cell r="G1156">
            <v>-85777.91</v>
          </cell>
          <cell r="I1156">
            <v>-85777.91</v>
          </cell>
        </row>
        <row r="1157">
          <cell r="B1157">
            <v>456</v>
          </cell>
          <cell r="C1157">
            <v>14040</v>
          </cell>
          <cell r="G1157">
            <v>-1023.65</v>
          </cell>
          <cell r="I1157">
            <v>-1023.65</v>
          </cell>
        </row>
        <row r="1158">
          <cell r="B1158">
            <v>456</v>
          </cell>
          <cell r="C1158">
            <v>14041</v>
          </cell>
          <cell r="G1158">
            <v>-2582</v>
          </cell>
          <cell r="I1158">
            <v>-2582</v>
          </cell>
        </row>
        <row r="1159">
          <cell r="B1159">
            <v>456</v>
          </cell>
          <cell r="C1159">
            <v>14042</v>
          </cell>
          <cell r="G1159">
            <v>-454.95</v>
          </cell>
          <cell r="I1159">
            <v>-454.95</v>
          </cell>
        </row>
        <row r="1160">
          <cell r="B1160">
            <v>456</v>
          </cell>
          <cell r="C1160">
            <v>14044</v>
          </cell>
          <cell r="G1160">
            <v>-4753.46</v>
          </cell>
          <cell r="I1160">
            <v>-4753.46</v>
          </cell>
        </row>
        <row r="1161">
          <cell r="B1161">
            <v>456</v>
          </cell>
          <cell r="C1161">
            <v>14071</v>
          </cell>
          <cell r="G1161">
            <v>-3582.32</v>
          </cell>
          <cell r="I1161">
            <v>-3582.32</v>
          </cell>
        </row>
        <row r="1162">
          <cell r="B1162">
            <v>456</v>
          </cell>
          <cell r="C1162">
            <v>14080</v>
          </cell>
          <cell r="G1162">
            <v>-5124.38</v>
          </cell>
          <cell r="I1162">
            <v>-5124.38</v>
          </cell>
        </row>
        <row r="1163">
          <cell r="B1163">
            <v>456</v>
          </cell>
          <cell r="C1163">
            <v>14094</v>
          </cell>
          <cell r="G1163">
            <v>-13232.39</v>
          </cell>
          <cell r="I1163">
            <v>-13232.39</v>
          </cell>
        </row>
        <row r="1164">
          <cell r="B1164">
            <v>456</v>
          </cell>
          <cell r="C1164">
            <v>14200</v>
          </cell>
          <cell r="G1164">
            <v>-8936.34</v>
          </cell>
          <cell r="I1164">
            <v>-8936.34</v>
          </cell>
        </row>
        <row r="1165">
          <cell r="B1165">
            <v>456</v>
          </cell>
          <cell r="C1165">
            <v>14210</v>
          </cell>
          <cell r="G1165">
            <v>-53589.26</v>
          </cell>
          <cell r="I1165">
            <v>-53589.26</v>
          </cell>
        </row>
        <row r="1166">
          <cell r="B1166">
            <v>456</v>
          </cell>
          <cell r="C1166">
            <v>14212</v>
          </cell>
          <cell r="G1166">
            <v>-32162.23</v>
          </cell>
          <cell r="I1166">
            <v>-32162.23</v>
          </cell>
        </row>
        <row r="1167">
          <cell r="B1167">
            <v>456</v>
          </cell>
          <cell r="C1167">
            <v>14214</v>
          </cell>
          <cell r="G1167">
            <v>-355792.45</v>
          </cell>
          <cell r="I1167">
            <v>-355792.45</v>
          </cell>
        </row>
        <row r="1168">
          <cell r="B1168">
            <v>500</v>
          </cell>
          <cell r="C1168">
            <v>0</v>
          </cell>
          <cell r="G1168">
            <v>616306.86</v>
          </cell>
          <cell r="I1168">
            <v>616306.86</v>
          </cell>
        </row>
        <row r="1169">
          <cell r="B1169">
            <v>501</v>
          </cell>
          <cell r="C1169">
            <v>0</v>
          </cell>
          <cell r="G1169">
            <v>165897.46</v>
          </cell>
          <cell r="I1169">
            <v>165897.46</v>
          </cell>
        </row>
        <row r="1170">
          <cell r="B1170">
            <v>501</v>
          </cell>
          <cell r="C1170">
            <v>1</v>
          </cell>
          <cell r="G1170">
            <v>51510906.060000002</v>
          </cell>
          <cell r="I1170">
            <v>51510906.060000002</v>
          </cell>
        </row>
        <row r="1171">
          <cell r="B1171">
            <v>501</v>
          </cell>
          <cell r="C1171">
            <v>2</v>
          </cell>
          <cell r="G1171">
            <v>191406.63</v>
          </cell>
          <cell r="I1171">
            <v>191406.63</v>
          </cell>
        </row>
        <row r="1172">
          <cell r="B1172">
            <v>501</v>
          </cell>
          <cell r="C1172">
            <v>3</v>
          </cell>
          <cell r="G1172">
            <v>408227.11</v>
          </cell>
          <cell r="I1172">
            <v>408227.11</v>
          </cell>
        </row>
        <row r="1173">
          <cell r="B1173">
            <v>501</v>
          </cell>
          <cell r="C1173">
            <v>11</v>
          </cell>
          <cell r="G1173">
            <v>273919.14</v>
          </cell>
          <cell r="I1173">
            <v>273919.14</v>
          </cell>
        </row>
        <row r="1174">
          <cell r="B1174">
            <v>501</v>
          </cell>
          <cell r="C1174">
            <v>12</v>
          </cell>
          <cell r="G1174">
            <v>3157.46</v>
          </cell>
          <cell r="I1174">
            <v>3157.46</v>
          </cell>
        </row>
        <row r="1175">
          <cell r="B1175">
            <v>501</v>
          </cell>
          <cell r="C1175">
            <v>441</v>
          </cell>
          <cell r="G1175">
            <v>11600.31</v>
          </cell>
          <cell r="I1175">
            <v>11600.31</v>
          </cell>
        </row>
        <row r="1176">
          <cell r="B1176">
            <v>501</v>
          </cell>
          <cell r="C1176">
            <v>464</v>
          </cell>
          <cell r="G1176">
            <v>66230.81</v>
          </cell>
          <cell r="I1176">
            <v>66230.81</v>
          </cell>
        </row>
        <row r="1177">
          <cell r="B1177">
            <v>501</v>
          </cell>
          <cell r="C1177">
            <v>465</v>
          </cell>
          <cell r="G1177">
            <v>31152.21</v>
          </cell>
          <cell r="I1177">
            <v>31152.21</v>
          </cell>
        </row>
        <row r="1178">
          <cell r="B1178">
            <v>502</v>
          </cell>
          <cell r="C1178">
            <v>0</v>
          </cell>
          <cell r="G1178">
            <v>551458.13</v>
          </cell>
          <cell r="I1178">
            <v>551458.13</v>
          </cell>
        </row>
        <row r="1179">
          <cell r="B1179">
            <v>502</v>
          </cell>
          <cell r="C1179">
            <v>119</v>
          </cell>
          <cell r="G1179">
            <v>66117.98</v>
          </cell>
          <cell r="I1179">
            <v>66117.98</v>
          </cell>
        </row>
        <row r="1180">
          <cell r="B1180">
            <v>502</v>
          </cell>
          <cell r="C1180">
            <v>121</v>
          </cell>
          <cell r="G1180">
            <v>271495.58</v>
          </cell>
          <cell r="I1180">
            <v>271495.58</v>
          </cell>
        </row>
        <row r="1181">
          <cell r="B1181">
            <v>502</v>
          </cell>
          <cell r="C1181">
            <v>122</v>
          </cell>
          <cell r="G1181">
            <v>821071.89</v>
          </cell>
          <cell r="I1181">
            <v>821071.89</v>
          </cell>
        </row>
        <row r="1182">
          <cell r="B1182">
            <v>505</v>
          </cell>
          <cell r="C1182">
            <v>0</v>
          </cell>
          <cell r="G1182">
            <v>333405.11</v>
          </cell>
          <cell r="I1182">
            <v>333405.11</v>
          </cell>
        </row>
        <row r="1183">
          <cell r="B1183">
            <v>506</v>
          </cell>
          <cell r="C1183">
            <v>0</v>
          </cell>
          <cell r="G1183">
            <v>949286.42</v>
          </cell>
          <cell r="I1183">
            <v>949286.42</v>
          </cell>
        </row>
        <row r="1184">
          <cell r="B1184">
            <v>506</v>
          </cell>
          <cell r="C1184">
            <v>1</v>
          </cell>
          <cell r="G1184">
            <v>52516.26</v>
          </cell>
          <cell r="I1184">
            <v>52516.26</v>
          </cell>
        </row>
        <row r="1185">
          <cell r="B1185">
            <v>506</v>
          </cell>
          <cell r="C1185">
            <v>2</v>
          </cell>
          <cell r="G1185">
            <v>142696.23000000001</v>
          </cell>
          <cell r="I1185">
            <v>142696.23000000001</v>
          </cell>
        </row>
        <row r="1186">
          <cell r="B1186">
            <v>506</v>
          </cell>
          <cell r="C1186">
            <v>3</v>
          </cell>
          <cell r="G1186">
            <v>28660.98</v>
          </cell>
          <cell r="I1186">
            <v>28660.98</v>
          </cell>
        </row>
        <row r="1187">
          <cell r="B1187">
            <v>506</v>
          </cell>
          <cell r="C1187">
            <v>103</v>
          </cell>
          <cell r="G1187">
            <v>6129.42</v>
          </cell>
          <cell r="I1187">
            <v>6129.42</v>
          </cell>
        </row>
        <row r="1188">
          <cell r="B1188">
            <v>506</v>
          </cell>
          <cell r="C1188">
            <v>105</v>
          </cell>
          <cell r="G1188">
            <v>13194.23</v>
          </cell>
          <cell r="I1188">
            <v>13194.23</v>
          </cell>
        </row>
        <row r="1189">
          <cell r="B1189">
            <v>506</v>
          </cell>
          <cell r="C1189">
            <v>106</v>
          </cell>
          <cell r="G1189">
            <v>36999.43</v>
          </cell>
          <cell r="I1189">
            <v>36999.43</v>
          </cell>
        </row>
        <row r="1190">
          <cell r="B1190">
            <v>506</v>
          </cell>
          <cell r="C1190">
            <v>111</v>
          </cell>
          <cell r="G1190">
            <v>13085.9</v>
          </cell>
          <cell r="I1190">
            <v>13085.9</v>
          </cell>
        </row>
        <row r="1191">
          <cell r="B1191">
            <v>506</v>
          </cell>
          <cell r="C1191">
            <v>112</v>
          </cell>
          <cell r="G1191">
            <v>374.71</v>
          </cell>
          <cell r="I1191">
            <v>374.71</v>
          </cell>
        </row>
        <row r="1192">
          <cell r="B1192">
            <v>506</v>
          </cell>
          <cell r="C1192">
            <v>114</v>
          </cell>
          <cell r="G1192">
            <v>-591.17999999999995</v>
          </cell>
          <cell r="I1192">
            <v>-591.17999999999995</v>
          </cell>
        </row>
        <row r="1193">
          <cell r="B1193">
            <v>506</v>
          </cell>
          <cell r="C1193">
            <v>115</v>
          </cell>
          <cell r="G1193">
            <v>625</v>
          </cell>
          <cell r="I1193">
            <v>625</v>
          </cell>
        </row>
        <row r="1194">
          <cell r="B1194">
            <v>506</v>
          </cell>
          <cell r="C1194">
            <v>128</v>
          </cell>
          <cell r="G1194">
            <v>41.49</v>
          </cell>
          <cell r="I1194">
            <v>41.49</v>
          </cell>
        </row>
        <row r="1195">
          <cell r="B1195">
            <v>509</v>
          </cell>
          <cell r="C1195">
            <v>0</v>
          </cell>
          <cell r="G1195">
            <v>681395.31</v>
          </cell>
          <cell r="I1195">
            <v>681395.31</v>
          </cell>
        </row>
        <row r="1196">
          <cell r="B1196">
            <v>509</v>
          </cell>
          <cell r="C1196">
            <v>140</v>
          </cell>
          <cell r="G1196">
            <v>2314027.2200000002</v>
          </cell>
          <cell r="I1196">
            <v>2314027.2200000002</v>
          </cell>
        </row>
        <row r="1197">
          <cell r="B1197">
            <v>510</v>
          </cell>
          <cell r="C1197">
            <v>0</v>
          </cell>
          <cell r="G1197">
            <v>534998.02</v>
          </cell>
          <cell r="I1197">
            <v>534998.02</v>
          </cell>
        </row>
        <row r="1198">
          <cell r="B1198">
            <v>511</v>
          </cell>
          <cell r="C1198">
            <v>0</v>
          </cell>
          <cell r="G1198">
            <v>248037.83</v>
          </cell>
          <cell r="I1198">
            <v>248037.83</v>
          </cell>
        </row>
        <row r="1199">
          <cell r="B1199">
            <v>512</v>
          </cell>
          <cell r="C1199">
            <v>0</v>
          </cell>
          <cell r="G1199">
            <v>1918472.34</v>
          </cell>
          <cell r="I1199">
            <v>1918472.34</v>
          </cell>
        </row>
        <row r="1200">
          <cell r="B1200">
            <v>512</v>
          </cell>
          <cell r="C1200">
            <v>116</v>
          </cell>
          <cell r="G1200">
            <v>463.38</v>
          </cell>
          <cell r="I1200">
            <v>463.38</v>
          </cell>
        </row>
        <row r="1201">
          <cell r="B1201">
            <v>512</v>
          </cell>
          <cell r="C1201">
            <v>119</v>
          </cell>
          <cell r="G1201">
            <v>4729.03</v>
          </cell>
          <cell r="I1201">
            <v>4729.03</v>
          </cell>
        </row>
        <row r="1202">
          <cell r="B1202">
            <v>512</v>
          </cell>
          <cell r="C1202">
            <v>121</v>
          </cell>
          <cell r="G1202">
            <v>2942.34</v>
          </cell>
          <cell r="I1202">
            <v>2942.34</v>
          </cell>
        </row>
        <row r="1203">
          <cell r="B1203">
            <v>512</v>
          </cell>
          <cell r="C1203">
            <v>122</v>
          </cell>
          <cell r="G1203">
            <v>459344.37</v>
          </cell>
          <cell r="I1203">
            <v>459344.37</v>
          </cell>
        </row>
        <row r="1204">
          <cell r="B1204">
            <v>513</v>
          </cell>
          <cell r="C1204">
            <v>0</v>
          </cell>
          <cell r="G1204">
            <v>136685.71</v>
          </cell>
          <cell r="I1204">
            <v>136685.71</v>
          </cell>
        </row>
        <row r="1205">
          <cell r="B1205">
            <v>514</v>
          </cell>
          <cell r="C1205">
            <v>0</v>
          </cell>
          <cell r="G1205">
            <v>207693.64</v>
          </cell>
          <cell r="I1205">
            <v>207693.64</v>
          </cell>
        </row>
        <row r="1206">
          <cell r="B1206">
            <v>514</v>
          </cell>
          <cell r="C1206">
            <v>105</v>
          </cell>
          <cell r="G1206">
            <v>14811.63</v>
          </cell>
          <cell r="I1206">
            <v>14811.63</v>
          </cell>
        </row>
        <row r="1207">
          <cell r="B1207">
            <v>546</v>
          </cell>
          <cell r="C1207">
            <v>0</v>
          </cell>
          <cell r="G1207">
            <v>83547.64</v>
          </cell>
          <cell r="I1207">
            <v>83547.64</v>
          </cell>
        </row>
        <row r="1208">
          <cell r="B1208">
            <v>547</v>
          </cell>
          <cell r="C1208">
            <v>0</v>
          </cell>
          <cell r="G1208">
            <v>45089.18</v>
          </cell>
          <cell r="I1208">
            <v>45089.18</v>
          </cell>
        </row>
        <row r="1209">
          <cell r="B1209">
            <v>547</v>
          </cell>
          <cell r="C1209">
            <v>2</v>
          </cell>
          <cell r="G1209">
            <v>176128.41</v>
          </cell>
          <cell r="I1209">
            <v>176128.41</v>
          </cell>
        </row>
        <row r="1210">
          <cell r="B1210">
            <v>547</v>
          </cell>
          <cell r="C1210">
            <v>3</v>
          </cell>
          <cell r="G1210">
            <v>6326205.0800000001</v>
          </cell>
          <cell r="I1210">
            <v>6326205.0800000001</v>
          </cell>
        </row>
        <row r="1211">
          <cell r="B1211">
            <v>547</v>
          </cell>
          <cell r="C1211">
            <v>4</v>
          </cell>
          <cell r="G1211">
            <v>1507491</v>
          </cell>
          <cell r="I1211">
            <v>1507491</v>
          </cell>
        </row>
        <row r="1212">
          <cell r="B1212">
            <v>548</v>
          </cell>
          <cell r="C1212">
            <v>0</v>
          </cell>
          <cell r="G1212">
            <v>76572.399999999994</v>
          </cell>
          <cell r="I1212">
            <v>76572.399999999994</v>
          </cell>
        </row>
        <row r="1213">
          <cell r="B1213">
            <v>549</v>
          </cell>
          <cell r="C1213">
            <v>0</v>
          </cell>
          <cell r="G1213">
            <v>18176.45</v>
          </cell>
          <cell r="I1213">
            <v>18176.45</v>
          </cell>
        </row>
        <row r="1214">
          <cell r="B1214">
            <v>549</v>
          </cell>
          <cell r="C1214">
            <v>105</v>
          </cell>
          <cell r="G1214">
            <v>57.83</v>
          </cell>
          <cell r="I1214">
            <v>57.83</v>
          </cell>
        </row>
        <row r="1215">
          <cell r="B1215">
            <v>551</v>
          </cell>
          <cell r="C1215">
            <v>0</v>
          </cell>
          <cell r="G1215">
            <v>22813.21</v>
          </cell>
          <cell r="I1215">
            <v>22813.21</v>
          </cell>
        </row>
        <row r="1216">
          <cell r="B1216">
            <v>552</v>
          </cell>
          <cell r="C1216">
            <v>0</v>
          </cell>
          <cell r="G1216">
            <v>28687.69</v>
          </cell>
          <cell r="I1216">
            <v>28687.69</v>
          </cell>
        </row>
        <row r="1217">
          <cell r="B1217">
            <v>553</v>
          </cell>
          <cell r="C1217">
            <v>0</v>
          </cell>
          <cell r="G1217">
            <v>2066634.65</v>
          </cell>
          <cell r="I1217">
            <v>2066634.65</v>
          </cell>
        </row>
        <row r="1218">
          <cell r="B1218">
            <v>554</v>
          </cell>
          <cell r="C1218">
            <v>0</v>
          </cell>
          <cell r="G1218">
            <v>1265.3800000000001</v>
          </cell>
          <cell r="I1218">
            <v>1265.3800000000001</v>
          </cell>
        </row>
        <row r="1219">
          <cell r="B1219">
            <v>554</v>
          </cell>
          <cell r="C1219">
            <v>105</v>
          </cell>
          <cell r="G1219">
            <v>1874.13</v>
          </cell>
          <cell r="I1219">
            <v>1874.13</v>
          </cell>
        </row>
        <row r="1220">
          <cell r="B1220">
            <v>555</v>
          </cell>
          <cell r="C1220">
            <v>5100</v>
          </cell>
          <cell r="G1220">
            <v>7769421.7400000002</v>
          </cell>
          <cell r="I1220">
            <v>7769421.7400000002</v>
          </cell>
        </row>
        <row r="1221">
          <cell r="B1221">
            <v>555</v>
          </cell>
          <cell r="C1221">
            <v>5200</v>
          </cell>
          <cell r="G1221">
            <v>277989.84000000003</v>
          </cell>
          <cell r="I1221">
            <v>277989.84000000003</v>
          </cell>
        </row>
        <row r="1222">
          <cell r="B1222">
            <v>555</v>
          </cell>
          <cell r="C1222">
            <v>5300</v>
          </cell>
          <cell r="G1222">
            <v>-2110313.77</v>
          </cell>
          <cell r="I1222">
            <v>-2110313.77</v>
          </cell>
        </row>
        <row r="1223">
          <cell r="B1223">
            <v>555</v>
          </cell>
          <cell r="C1223">
            <v>6100</v>
          </cell>
          <cell r="G1223">
            <v>2674068.8199999998</v>
          </cell>
          <cell r="I1223">
            <v>2674068.8199999998</v>
          </cell>
        </row>
        <row r="1224">
          <cell r="B1224">
            <v>555</v>
          </cell>
          <cell r="C1224">
            <v>6200</v>
          </cell>
          <cell r="G1224">
            <v>747700</v>
          </cell>
          <cell r="I1224">
            <v>747700</v>
          </cell>
        </row>
        <row r="1225">
          <cell r="B1225">
            <v>555</v>
          </cell>
          <cell r="C1225">
            <v>6300</v>
          </cell>
          <cell r="G1225">
            <v>38372.79</v>
          </cell>
          <cell r="I1225">
            <v>38372.79</v>
          </cell>
        </row>
        <row r="1226">
          <cell r="B1226">
            <v>555</v>
          </cell>
          <cell r="C1226">
            <v>6301</v>
          </cell>
          <cell r="G1226">
            <v>5193.42</v>
          </cell>
          <cell r="I1226">
            <v>5193.42</v>
          </cell>
        </row>
        <row r="1227">
          <cell r="B1227">
            <v>556</v>
          </cell>
          <cell r="C1227">
            <v>10</v>
          </cell>
          <cell r="G1227">
            <v>132768.99</v>
          </cell>
          <cell r="I1227">
            <v>132768.99</v>
          </cell>
        </row>
        <row r="1228">
          <cell r="B1228">
            <v>557</v>
          </cell>
          <cell r="C1228">
            <v>10</v>
          </cell>
          <cell r="G1228">
            <v>198513.55</v>
          </cell>
          <cell r="I1228">
            <v>198513.55</v>
          </cell>
        </row>
        <row r="1229">
          <cell r="B1229">
            <v>560</v>
          </cell>
          <cell r="C1229">
            <v>0</v>
          </cell>
          <cell r="G1229">
            <v>81521.41</v>
          </cell>
          <cell r="I1229">
            <v>81521.41</v>
          </cell>
        </row>
        <row r="1230">
          <cell r="B1230">
            <v>561</v>
          </cell>
          <cell r="C1230">
            <v>10000</v>
          </cell>
          <cell r="G1230">
            <v>10081</v>
          </cell>
          <cell r="I1230">
            <v>10081</v>
          </cell>
        </row>
        <row r="1231">
          <cell r="B1231">
            <v>561</v>
          </cell>
          <cell r="C1231">
            <v>20000</v>
          </cell>
          <cell r="G1231">
            <v>192293.54</v>
          </cell>
          <cell r="I1231">
            <v>192293.54</v>
          </cell>
        </row>
        <row r="1232">
          <cell r="B1232">
            <v>561</v>
          </cell>
          <cell r="C1232">
            <v>30000</v>
          </cell>
          <cell r="G1232">
            <v>8353.49</v>
          </cell>
          <cell r="I1232">
            <v>8353.49</v>
          </cell>
        </row>
        <row r="1233">
          <cell r="B1233">
            <v>561</v>
          </cell>
          <cell r="C1233">
            <v>40000</v>
          </cell>
          <cell r="G1233">
            <v>10170.629999999999</v>
          </cell>
          <cell r="I1233">
            <v>10170.629999999999</v>
          </cell>
        </row>
        <row r="1234">
          <cell r="B1234">
            <v>561</v>
          </cell>
          <cell r="C1234">
            <v>50000</v>
          </cell>
          <cell r="G1234">
            <v>13727.56</v>
          </cell>
          <cell r="I1234">
            <v>13727.56</v>
          </cell>
        </row>
        <row r="1235">
          <cell r="B1235">
            <v>561</v>
          </cell>
          <cell r="C1235">
            <v>60000</v>
          </cell>
          <cell r="G1235">
            <v>2260.75</v>
          </cell>
          <cell r="I1235">
            <v>2260.75</v>
          </cell>
        </row>
        <row r="1236">
          <cell r="B1236">
            <v>561</v>
          </cell>
          <cell r="C1236">
            <v>70000</v>
          </cell>
          <cell r="G1236">
            <v>1072.48</v>
          </cell>
          <cell r="I1236">
            <v>1072.48</v>
          </cell>
        </row>
        <row r="1237">
          <cell r="B1237">
            <v>562</v>
          </cell>
          <cell r="C1237">
            <v>0</v>
          </cell>
          <cell r="G1237">
            <v>3406.55</v>
          </cell>
          <cell r="I1237">
            <v>3406.55</v>
          </cell>
        </row>
        <row r="1238">
          <cell r="B1238">
            <v>563</v>
          </cell>
          <cell r="C1238">
            <v>0</v>
          </cell>
          <cell r="G1238">
            <v>-2812</v>
          </cell>
          <cell r="I1238">
            <v>-2812</v>
          </cell>
        </row>
        <row r="1239">
          <cell r="B1239">
            <v>563</v>
          </cell>
          <cell r="C1239">
            <v>115</v>
          </cell>
          <cell r="G1239">
            <v>4912.25</v>
          </cell>
          <cell r="I1239">
            <v>4912.25</v>
          </cell>
        </row>
        <row r="1240">
          <cell r="B1240">
            <v>563</v>
          </cell>
          <cell r="C1240">
            <v>230</v>
          </cell>
          <cell r="G1240">
            <v>957.46</v>
          </cell>
          <cell r="I1240">
            <v>957.46</v>
          </cell>
        </row>
        <row r="1241">
          <cell r="B1241">
            <v>565</v>
          </cell>
          <cell r="C1241">
            <v>200</v>
          </cell>
          <cell r="G1241">
            <v>56308.15</v>
          </cell>
          <cell r="I1241">
            <v>56308.15</v>
          </cell>
        </row>
        <row r="1242">
          <cell r="B1242">
            <v>565</v>
          </cell>
          <cell r="C1242">
            <v>940</v>
          </cell>
          <cell r="G1242">
            <v>-36123.03</v>
          </cell>
          <cell r="I1242">
            <v>-36123.03</v>
          </cell>
        </row>
        <row r="1243">
          <cell r="B1243">
            <v>566</v>
          </cell>
          <cell r="C1243">
            <v>0</v>
          </cell>
          <cell r="G1243">
            <v>67907.86</v>
          </cell>
          <cell r="I1243">
            <v>67907.86</v>
          </cell>
        </row>
        <row r="1244">
          <cell r="B1244">
            <v>567</v>
          </cell>
          <cell r="C1244">
            <v>0</v>
          </cell>
          <cell r="G1244">
            <v>13960</v>
          </cell>
          <cell r="I1244">
            <v>13960</v>
          </cell>
        </row>
        <row r="1245">
          <cell r="B1245">
            <v>567</v>
          </cell>
          <cell r="C1245">
            <v>119</v>
          </cell>
          <cell r="G1245">
            <v>196379</v>
          </cell>
          <cell r="I1245">
            <v>196379</v>
          </cell>
        </row>
        <row r="1246">
          <cell r="B1246">
            <v>568</v>
          </cell>
          <cell r="C1246">
            <v>0</v>
          </cell>
          <cell r="G1246">
            <v>54473.42</v>
          </cell>
          <cell r="I1246">
            <v>54473.42</v>
          </cell>
        </row>
        <row r="1247">
          <cell r="B1247">
            <v>569</v>
          </cell>
          <cell r="C1247">
            <v>0</v>
          </cell>
          <cell r="G1247">
            <v>15.43</v>
          </cell>
          <cell r="I1247">
            <v>15.43</v>
          </cell>
        </row>
        <row r="1248">
          <cell r="B1248">
            <v>569</v>
          </cell>
          <cell r="C1248">
            <v>207</v>
          </cell>
          <cell r="G1248">
            <v>13342.13</v>
          </cell>
          <cell r="I1248">
            <v>13342.13</v>
          </cell>
        </row>
        <row r="1249">
          <cell r="B1249">
            <v>569</v>
          </cell>
          <cell r="C1249">
            <v>10000</v>
          </cell>
          <cell r="G1249">
            <v>2575</v>
          </cell>
          <cell r="I1249">
            <v>2575</v>
          </cell>
        </row>
        <row r="1250">
          <cell r="B1250">
            <v>569</v>
          </cell>
          <cell r="C1250">
            <v>20000</v>
          </cell>
          <cell r="G1250">
            <v>7493.4</v>
          </cell>
          <cell r="I1250">
            <v>7493.4</v>
          </cell>
        </row>
        <row r="1251">
          <cell r="B1251">
            <v>570</v>
          </cell>
          <cell r="C1251">
            <v>0</v>
          </cell>
          <cell r="G1251">
            <v>48178.02</v>
          </cell>
          <cell r="I1251">
            <v>48178.02</v>
          </cell>
        </row>
        <row r="1252">
          <cell r="B1252">
            <v>571</v>
          </cell>
          <cell r="C1252">
            <v>0</v>
          </cell>
          <cell r="G1252">
            <v>2339.39</v>
          </cell>
          <cell r="I1252">
            <v>2339.39</v>
          </cell>
        </row>
        <row r="1253">
          <cell r="B1253">
            <v>571</v>
          </cell>
          <cell r="C1253">
            <v>46</v>
          </cell>
          <cell r="G1253">
            <v>381.91</v>
          </cell>
          <cell r="I1253">
            <v>381.91</v>
          </cell>
        </row>
        <row r="1254">
          <cell r="B1254">
            <v>571</v>
          </cell>
          <cell r="C1254">
            <v>115</v>
          </cell>
          <cell r="G1254">
            <v>15341.15</v>
          </cell>
          <cell r="I1254">
            <v>15341.15</v>
          </cell>
        </row>
        <row r="1255">
          <cell r="B1255">
            <v>571</v>
          </cell>
          <cell r="C1255">
            <v>230</v>
          </cell>
          <cell r="G1255">
            <v>34190.639999999999</v>
          </cell>
          <cell r="I1255">
            <v>34190.639999999999</v>
          </cell>
        </row>
        <row r="1256">
          <cell r="B1256">
            <v>573</v>
          </cell>
          <cell r="C1256">
            <v>0</v>
          </cell>
          <cell r="G1256">
            <v>7836.85</v>
          </cell>
          <cell r="I1256">
            <v>7836.85</v>
          </cell>
        </row>
        <row r="1257">
          <cell r="B1257">
            <v>580</v>
          </cell>
          <cell r="C1257">
            <v>0</v>
          </cell>
          <cell r="G1257">
            <v>426386.18</v>
          </cell>
          <cell r="I1257">
            <v>426386.18</v>
          </cell>
        </row>
        <row r="1258">
          <cell r="B1258">
            <v>581</v>
          </cell>
          <cell r="C1258">
            <v>0</v>
          </cell>
          <cell r="G1258">
            <v>51688.39</v>
          </cell>
          <cell r="I1258">
            <v>51688.39</v>
          </cell>
        </row>
        <row r="1259">
          <cell r="B1259">
            <v>582</v>
          </cell>
          <cell r="C1259">
            <v>0</v>
          </cell>
          <cell r="G1259">
            <v>12061.47</v>
          </cell>
          <cell r="I1259">
            <v>12061.47</v>
          </cell>
        </row>
        <row r="1260">
          <cell r="B1260">
            <v>583</v>
          </cell>
          <cell r="C1260">
            <v>0</v>
          </cell>
          <cell r="G1260">
            <v>255731.07</v>
          </cell>
          <cell r="I1260">
            <v>255731.07</v>
          </cell>
        </row>
        <row r="1261">
          <cell r="B1261">
            <v>583</v>
          </cell>
          <cell r="C1261">
            <v>211</v>
          </cell>
          <cell r="G1261">
            <v>3230.55</v>
          </cell>
          <cell r="I1261">
            <v>3230.55</v>
          </cell>
        </row>
        <row r="1262">
          <cell r="B1262">
            <v>584</v>
          </cell>
          <cell r="C1262">
            <v>0</v>
          </cell>
          <cell r="G1262">
            <v>60787.22</v>
          </cell>
          <cell r="I1262">
            <v>60787.22</v>
          </cell>
        </row>
        <row r="1263">
          <cell r="B1263">
            <v>585</v>
          </cell>
          <cell r="C1263">
            <v>0</v>
          </cell>
          <cell r="G1263">
            <v>48726.21</v>
          </cell>
          <cell r="I1263">
            <v>48726.21</v>
          </cell>
        </row>
        <row r="1264">
          <cell r="B1264">
            <v>586</v>
          </cell>
          <cell r="C1264">
            <v>0</v>
          </cell>
          <cell r="G1264">
            <v>274525.18</v>
          </cell>
          <cell r="I1264">
            <v>274525.18</v>
          </cell>
        </row>
        <row r="1265">
          <cell r="B1265">
            <v>587</v>
          </cell>
          <cell r="C1265">
            <v>0</v>
          </cell>
          <cell r="G1265">
            <v>62853.15</v>
          </cell>
          <cell r="I1265">
            <v>62853.15</v>
          </cell>
        </row>
        <row r="1266">
          <cell r="B1266">
            <v>588</v>
          </cell>
          <cell r="C1266">
            <v>0</v>
          </cell>
          <cell r="G1266">
            <v>155128.35</v>
          </cell>
          <cell r="I1266">
            <v>155128.35</v>
          </cell>
        </row>
        <row r="1267">
          <cell r="B1267">
            <v>588</v>
          </cell>
          <cell r="C1267">
            <v>112</v>
          </cell>
          <cell r="G1267">
            <v>85</v>
          </cell>
          <cell r="I1267">
            <v>85</v>
          </cell>
        </row>
        <row r="1268">
          <cell r="B1268">
            <v>590</v>
          </cell>
          <cell r="C1268">
            <v>0</v>
          </cell>
          <cell r="G1268">
            <v>211174.39999999999</v>
          </cell>
          <cell r="I1268">
            <v>211174.39999999999</v>
          </cell>
        </row>
        <row r="1269">
          <cell r="B1269">
            <v>591</v>
          </cell>
          <cell r="C1269">
            <v>0</v>
          </cell>
          <cell r="G1269">
            <v>3809.71</v>
          </cell>
          <cell r="I1269">
            <v>3809.71</v>
          </cell>
        </row>
        <row r="1270">
          <cell r="B1270">
            <v>591</v>
          </cell>
          <cell r="C1270">
            <v>207</v>
          </cell>
          <cell r="G1270">
            <v>84432.24</v>
          </cell>
          <cell r="I1270">
            <v>84432.24</v>
          </cell>
        </row>
        <row r="1271">
          <cell r="B1271">
            <v>592</v>
          </cell>
          <cell r="C1271">
            <v>0</v>
          </cell>
          <cell r="G1271">
            <v>128633.35</v>
          </cell>
          <cell r="I1271">
            <v>128633.35</v>
          </cell>
        </row>
        <row r="1272">
          <cell r="B1272">
            <v>593</v>
          </cell>
          <cell r="C1272">
            <v>0</v>
          </cell>
          <cell r="G1272">
            <v>892222.08</v>
          </cell>
          <cell r="I1272">
            <v>892222.08</v>
          </cell>
        </row>
        <row r="1273">
          <cell r="B1273">
            <v>594</v>
          </cell>
          <cell r="C1273">
            <v>0</v>
          </cell>
          <cell r="G1273">
            <v>186207.13</v>
          </cell>
          <cell r="I1273">
            <v>186207.13</v>
          </cell>
        </row>
        <row r="1274">
          <cell r="B1274">
            <v>595</v>
          </cell>
          <cell r="C1274">
            <v>0</v>
          </cell>
          <cell r="G1274">
            <v>39216.629999999997</v>
          </cell>
          <cell r="I1274">
            <v>39216.629999999997</v>
          </cell>
        </row>
        <row r="1275">
          <cell r="B1275">
            <v>595</v>
          </cell>
          <cell r="C1275">
            <v>211</v>
          </cell>
          <cell r="G1275">
            <v>5990.39</v>
          </cell>
          <cell r="I1275">
            <v>5990.39</v>
          </cell>
        </row>
        <row r="1276">
          <cell r="B1276">
            <v>596</v>
          </cell>
          <cell r="C1276">
            <v>0</v>
          </cell>
          <cell r="G1276">
            <v>28903.31</v>
          </cell>
          <cell r="I1276">
            <v>28903.31</v>
          </cell>
        </row>
        <row r="1277">
          <cell r="B1277">
            <v>597</v>
          </cell>
          <cell r="C1277">
            <v>0</v>
          </cell>
          <cell r="G1277">
            <v>9040.8799999999992</v>
          </cell>
          <cell r="I1277">
            <v>9040.8799999999992</v>
          </cell>
        </row>
        <row r="1278">
          <cell r="B1278">
            <v>598</v>
          </cell>
          <cell r="C1278">
            <v>0</v>
          </cell>
          <cell r="G1278">
            <v>15612.02</v>
          </cell>
          <cell r="I1278">
            <v>15612.02</v>
          </cell>
        </row>
        <row r="1279">
          <cell r="B1279">
            <v>901</v>
          </cell>
          <cell r="C1279">
            <v>0</v>
          </cell>
          <cell r="G1279">
            <v>24000.77</v>
          </cell>
          <cell r="I1279">
            <v>24000.77</v>
          </cell>
        </row>
        <row r="1280">
          <cell r="B1280">
            <v>902</v>
          </cell>
          <cell r="C1280">
            <v>0</v>
          </cell>
          <cell r="G1280">
            <v>235924.38</v>
          </cell>
          <cell r="I1280">
            <v>235924.38</v>
          </cell>
        </row>
        <row r="1281">
          <cell r="B1281">
            <v>903</v>
          </cell>
          <cell r="C1281">
            <v>0</v>
          </cell>
          <cell r="G1281">
            <v>1092438.96</v>
          </cell>
          <cell r="I1281">
            <v>1092438.96</v>
          </cell>
        </row>
        <row r="1282">
          <cell r="B1282">
            <v>904</v>
          </cell>
          <cell r="C1282">
            <v>0</v>
          </cell>
          <cell r="G1282">
            <v>1044767.29</v>
          </cell>
          <cell r="I1282">
            <v>1044767.29</v>
          </cell>
        </row>
        <row r="1283">
          <cell r="B1283">
            <v>905</v>
          </cell>
          <cell r="C1283">
            <v>0</v>
          </cell>
          <cell r="G1283">
            <v>93366.94</v>
          </cell>
          <cell r="I1283">
            <v>93366.94</v>
          </cell>
        </row>
        <row r="1284">
          <cell r="B1284">
            <v>907</v>
          </cell>
          <cell r="C1284">
            <v>0</v>
          </cell>
          <cell r="G1284">
            <v>262542.93</v>
          </cell>
          <cell r="I1284">
            <v>262542.93</v>
          </cell>
        </row>
        <row r="1285">
          <cell r="B1285">
            <v>908</v>
          </cell>
          <cell r="C1285">
            <v>0</v>
          </cell>
          <cell r="G1285">
            <v>1083715.21</v>
          </cell>
          <cell r="I1285">
            <v>1083715.21</v>
          </cell>
        </row>
        <row r="1286">
          <cell r="B1286">
            <v>909</v>
          </cell>
          <cell r="C1286">
            <v>0</v>
          </cell>
          <cell r="G1286">
            <v>26248.06</v>
          </cell>
          <cell r="I1286">
            <v>26248.06</v>
          </cell>
        </row>
        <row r="1287">
          <cell r="B1287">
            <v>910</v>
          </cell>
          <cell r="C1287">
            <v>0</v>
          </cell>
          <cell r="G1287">
            <v>5358.64</v>
          </cell>
          <cell r="I1287">
            <v>5358.64</v>
          </cell>
        </row>
        <row r="1288">
          <cell r="B1288">
            <v>912</v>
          </cell>
          <cell r="C1288">
            <v>0</v>
          </cell>
          <cell r="G1288">
            <v>440.64</v>
          </cell>
          <cell r="I1288">
            <v>440.64</v>
          </cell>
        </row>
        <row r="1289">
          <cell r="B1289">
            <v>912</v>
          </cell>
          <cell r="C1289">
            <v>1406</v>
          </cell>
          <cell r="G1289">
            <v>30616.97</v>
          </cell>
          <cell r="I1289">
            <v>30616.97</v>
          </cell>
        </row>
        <row r="1290">
          <cell r="B1290">
            <v>920</v>
          </cell>
          <cell r="C1290">
            <v>0</v>
          </cell>
          <cell r="G1290">
            <v>1073414.98</v>
          </cell>
          <cell r="I1290">
            <v>1073414.98</v>
          </cell>
        </row>
        <row r="1291">
          <cell r="B1291">
            <v>921</v>
          </cell>
          <cell r="C1291">
            <v>0</v>
          </cell>
          <cell r="G1291">
            <v>163037.79</v>
          </cell>
          <cell r="I1291">
            <v>163037.79</v>
          </cell>
        </row>
        <row r="1292">
          <cell r="B1292">
            <v>922</v>
          </cell>
          <cell r="C1292">
            <v>200</v>
          </cell>
          <cell r="G1292">
            <v>-32165.38</v>
          </cell>
          <cell r="I1292">
            <v>-32165.38</v>
          </cell>
        </row>
        <row r="1293">
          <cell r="B1293">
            <v>923</v>
          </cell>
          <cell r="C1293">
            <v>0</v>
          </cell>
          <cell r="G1293">
            <v>243100.99</v>
          </cell>
          <cell r="I1293">
            <v>243100.99</v>
          </cell>
        </row>
        <row r="1294">
          <cell r="B1294">
            <v>923</v>
          </cell>
          <cell r="C1294">
            <v>700</v>
          </cell>
          <cell r="G1294">
            <v>782265.99</v>
          </cell>
          <cell r="I1294">
            <v>782265.99</v>
          </cell>
        </row>
        <row r="1295">
          <cell r="B1295">
            <v>924</v>
          </cell>
          <cell r="C1295">
            <v>10</v>
          </cell>
          <cell r="G1295">
            <v>304741.95</v>
          </cell>
          <cell r="I1295">
            <v>304741.95</v>
          </cell>
        </row>
        <row r="1296">
          <cell r="B1296">
            <v>924</v>
          </cell>
          <cell r="C1296">
            <v>20</v>
          </cell>
          <cell r="G1296">
            <v>291667</v>
          </cell>
          <cell r="I1296">
            <v>291667</v>
          </cell>
        </row>
        <row r="1297">
          <cell r="B1297">
            <v>925</v>
          </cell>
          <cell r="C1297">
            <v>10</v>
          </cell>
          <cell r="G1297">
            <v>223489.45</v>
          </cell>
          <cell r="I1297">
            <v>223489.45</v>
          </cell>
        </row>
        <row r="1298">
          <cell r="B1298">
            <v>925</v>
          </cell>
          <cell r="C1298">
            <v>15</v>
          </cell>
          <cell r="G1298">
            <v>7387.95</v>
          </cell>
          <cell r="I1298">
            <v>7387.95</v>
          </cell>
        </row>
        <row r="1299">
          <cell r="B1299">
            <v>926</v>
          </cell>
          <cell r="C1299">
            <v>15</v>
          </cell>
          <cell r="G1299">
            <v>15902.95</v>
          </cell>
          <cell r="I1299">
            <v>15902.95</v>
          </cell>
        </row>
        <row r="1300">
          <cell r="B1300">
            <v>926</v>
          </cell>
          <cell r="C1300">
            <v>20</v>
          </cell>
          <cell r="G1300">
            <v>-7095.1</v>
          </cell>
          <cell r="I1300">
            <v>-7095.1</v>
          </cell>
        </row>
        <row r="1301">
          <cell r="B1301">
            <v>926</v>
          </cell>
          <cell r="C1301">
            <v>100</v>
          </cell>
          <cell r="G1301">
            <v>85833</v>
          </cell>
          <cell r="I1301">
            <v>85833</v>
          </cell>
        </row>
        <row r="1302">
          <cell r="B1302">
            <v>926</v>
          </cell>
          <cell r="C1302">
            <v>101</v>
          </cell>
          <cell r="G1302">
            <v>129167</v>
          </cell>
          <cell r="I1302">
            <v>129167</v>
          </cell>
        </row>
        <row r="1303">
          <cell r="B1303">
            <v>926</v>
          </cell>
          <cell r="C1303">
            <v>190</v>
          </cell>
          <cell r="G1303">
            <v>-14680.27</v>
          </cell>
          <cell r="I1303">
            <v>-14680.27</v>
          </cell>
        </row>
        <row r="1304">
          <cell r="B1304">
            <v>926</v>
          </cell>
          <cell r="C1304">
            <v>191</v>
          </cell>
          <cell r="G1304">
            <v>-470.06</v>
          </cell>
          <cell r="I1304">
            <v>-470.06</v>
          </cell>
        </row>
        <row r="1305">
          <cell r="B1305">
            <v>926</v>
          </cell>
          <cell r="C1305">
            <v>200</v>
          </cell>
          <cell r="G1305">
            <v>920497.4</v>
          </cell>
          <cell r="I1305">
            <v>920497.4</v>
          </cell>
        </row>
        <row r="1306">
          <cell r="B1306">
            <v>926</v>
          </cell>
          <cell r="C1306">
            <v>201</v>
          </cell>
          <cell r="G1306">
            <v>376667</v>
          </cell>
          <cell r="I1306">
            <v>376667</v>
          </cell>
        </row>
        <row r="1307">
          <cell r="B1307">
            <v>926</v>
          </cell>
          <cell r="C1307">
            <v>203</v>
          </cell>
          <cell r="G1307">
            <v>76667</v>
          </cell>
          <cell r="I1307">
            <v>76667</v>
          </cell>
        </row>
        <row r="1308">
          <cell r="B1308">
            <v>926</v>
          </cell>
          <cell r="C1308">
            <v>300</v>
          </cell>
          <cell r="G1308">
            <v>85277.74</v>
          </cell>
          <cell r="I1308">
            <v>85277.74</v>
          </cell>
        </row>
        <row r="1309">
          <cell r="B1309">
            <v>926</v>
          </cell>
          <cell r="C1309">
            <v>311</v>
          </cell>
          <cell r="G1309">
            <v>32534.6</v>
          </cell>
          <cell r="I1309">
            <v>32534.6</v>
          </cell>
        </row>
        <row r="1310">
          <cell r="B1310">
            <v>926</v>
          </cell>
          <cell r="C1310">
            <v>321</v>
          </cell>
          <cell r="G1310">
            <v>-47594.95</v>
          </cell>
          <cell r="I1310">
            <v>-47594.95</v>
          </cell>
        </row>
        <row r="1311">
          <cell r="B1311">
            <v>926</v>
          </cell>
          <cell r="C1311">
            <v>322</v>
          </cell>
          <cell r="G1311">
            <v>-1438.3</v>
          </cell>
          <cell r="I1311">
            <v>-1438.3</v>
          </cell>
        </row>
        <row r="1312">
          <cell r="B1312">
            <v>926</v>
          </cell>
          <cell r="C1312">
            <v>327</v>
          </cell>
          <cell r="G1312">
            <v>281368.82</v>
          </cell>
          <cell r="I1312">
            <v>281368.82</v>
          </cell>
        </row>
        <row r="1313">
          <cell r="B1313">
            <v>926</v>
          </cell>
          <cell r="C1313">
            <v>390</v>
          </cell>
          <cell r="G1313">
            <v>-237458.97</v>
          </cell>
          <cell r="I1313">
            <v>-237458.97</v>
          </cell>
        </row>
        <row r="1314">
          <cell r="B1314">
            <v>926</v>
          </cell>
          <cell r="C1314">
            <v>402</v>
          </cell>
          <cell r="G1314">
            <v>-86667</v>
          </cell>
          <cell r="I1314">
            <v>-86667</v>
          </cell>
        </row>
        <row r="1315">
          <cell r="B1315">
            <v>928</v>
          </cell>
          <cell r="C1315">
            <v>101</v>
          </cell>
          <cell r="G1315">
            <v>53155.15</v>
          </cell>
          <cell r="I1315">
            <v>53155.15</v>
          </cell>
        </row>
        <row r="1316">
          <cell r="B1316">
            <v>928</v>
          </cell>
          <cell r="C1316">
            <v>102</v>
          </cell>
          <cell r="G1316">
            <v>20441.060000000001</v>
          </cell>
          <cell r="I1316">
            <v>20441.060000000001</v>
          </cell>
        </row>
        <row r="1317">
          <cell r="B1317">
            <v>928</v>
          </cell>
          <cell r="C1317">
            <v>200</v>
          </cell>
          <cell r="G1317">
            <v>17172.5</v>
          </cell>
          <cell r="I1317">
            <v>17172.5</v>
          </cell>
        </row>
        <row r="1318">
          <cell r="B1318">
            <v>928</v>
          </cell>
          <cell r="C1318">
            <v>301</v>
          </cell>
          <cell r="G1318">
            <v>1309</v>
          </cell>
          <cell r="I1318">
            <v>1309</v>
          </cell>
        </row>
        <row r="1319">
          <cell r="B1319">
            <v>929</v>
          </cell>
          <cell r="C1319">
            <v>10</v>
          </cell>
          <cell r="G1319">
            <v>-109811.02</v>
          </cell>
          <cell r="I1319">
            <v>-109811.02</v>
          </cell>
        </row>
        <row r="1320">
          <cell r="B1320">
            <v>929</v>
          </cell>
          <cell r="C1320">
            <v>70</v>
          </cell>
          <cell r="G1320">
            <v>-18402</v>
          </cell>
          <cell r="I1320">
            <v>-18402</v>
          </cell>
        </row>
        <row r="1321">
          <cell r="B1321">
            <v>930</v>
          </cell>
          <cell r="C1321">
            <v>20000</v>
          </cell>
          <cell r="G1321">
            <v>55558.65</v>
          </cell>
          <cell r="I1321">
            <v>55558.65</v>
          </cell>
        </row>
        <row r="1322">
          <cell r="B1322">
            <v>930</v>
          </cell>
          <cell r="C1322">
            <v>20201</v>
          </cell>
          <cell r="G1322">
            <v>46770.83</v>
          </cell>
          <cell r="I1322">
            <v>46770.83</v>
          </cell>
        </row>
        <row r="1323">
          <cell r="B1323">
            <v>930</v>
          </cell>
          <cell r="C1323">
            <v>20210</v>
          </cell>
          <cell r="G1323">
            <v>12266.56</v>
          </cell>
          <cell r="I1323">
            <v>12266.56</v>
          </cell>
        </row>
        <row r="1324">
          <cell r="B1324">
            <v>930</v>
          </cell>
          <cell r="C1324">
            <v>20710</v>
          </cell>
          <cell r="G1324">
            <v>4715.66</v>
          </cell>
          <cell r="I1324">
            <v>4715.66</v>
          </cell>
        </row>
        <row r="1325">
          <cell r="B1325">
            <v>930</v>
          </cell>
          <cell r="C1325">
            <v>20801</v>
          </cell>
          <cell r="G1325">
            <v>17458.71</v>
          </cell>
          <cell r="I1325">
            <v>17458.71</v>
          </cell>
        </row>
        <row r="1326">
          <cell r="B1326">
            <v>930</v>
          </cell>
          <cell r="C1326">
            <v>20960</v>
          </cell>
          <cell r="G1326">
            <v>406772.46</v>
          </cell>
          <cell r="I1326">
            <v>406772.46</v>
          </cell>
        </row>
        <row r="1327">
          <cell r="B1327">
            <v>931</v>
          </cell>
          <cell r="C1327">
            <v>0</v>
          </cell>
          <cell r="G1327">
            <v>23926.560000000001</v>
          </cell>
          <cell r="I1327">
            <v>23926.560000000001</v>
          </cell>
        </row>
        <row r="1328">
          <cell r="B1328">
            <v>935</v>
          </cell>
          <cell r="C1328">
            <v>0</v>
          </cell>
          <cell r="G1328">
            <v>5283.81</v>
          </cell>
          <cell r="I1328">
            <v>5283.81</v>
          </cell>
        </row>
        <row r="1329">
          <cell r="B1329">
            <v>935</v>
          </cell>
          <cell r="C1329">
            <v>100</v>
          </cell>
          <cell r="G1329">
            <v>14999.26</v>
          </cell>
          <cell r="I1329">
            <v>14999.26</v>
          </cell>
        </row>
        <row r="1330">
          <cell r="B1330">
            <v>700</v>
          </cell>
          <cell r="C1330">
            <v>30000</v>
          </cell>
          <cell r="G1330">
            <v>0</v>
          </cell>
          <cell r="I1330">
            <v>96060709.790000007</v>
          </cell>
        </row>
        <row r="1331">
          <cell r="B1331">
            <v>701</v>
          </cell>
          <cell r="C1331">
            <v>0</v>
          </cell>
          <cell r="G1331">
            <v>132367.46</v>
          </cell>
          <cell r="I1331">
            <v>0</v>
          </cell>
        </row>
        <row r="1332">
          <cell r="B1332">
            <v>701</v>
          </cell>
          <cell r="C1332">
            <v>990</v>
          </cell>
          <cell r="G1332">
            <v>-188124.62</v>
          </cell>
          <cell r="I1332">
            <v>132367.46</v>
          </cell>
        </row>
        <row r="1333">
          <cell r="B1333">
            <v>701</v>
          </cell>
          <cell r="C1333">
            <v>10000</v>
          </cell>
          <cell r="G1333">
            <v>55757.16</v>
          </cell>
          <cell r="I1333">
            <v>-188124.62</v>
          </cell>
        </row>
        <row r="1334">
          <cell r="B1334">
            <v>703</v>
          </cell>
          <cell r="C1334">
            <v>0</v>
          </cell>
          <cell r="G1334">
            <v>48788.34</v>
          </cell>
          <cell r="I1334">
            <v>0</v>
          </cell>
        </row>
        <row r="1335">
          <cell r="B1335">
            <v>703</v>
          </cell>
          <cell r="C1335">
            <v>990</v>
          </cell>
          <cell r="G1335">
            <v>-48788.34</v>
          </cell>
          <cell r="I1335">
            <v>48788.34</v>
          </cell>
        </row>
        <row r="1336">
          <cell r="B1336">
            <v>712</v>
          </cell>
          <cell r="C1336">
            <v>0</v>
          </cell>
          <cell r="G1336">
            <v>119487.96</v>
          </cell>
          <cell r="I1336">
            <v>0</v>
          </cell>
        </row>
        <row r="1337">
          <cell r="B1337">
            <v>712</v>
          </cell>
          <cell r="C1337">
            <v>990</v>
          </cell>
          <cell r="G1337">
            <v>-141006.85</v>
          </cell>
          <cell r="I1337">
            <v>119487.96</v>
          </cell>
        </row>
        <row r="1338">
          <cell r="B1338">
            <v>713</v>
          </cell>
          <cell r="C1338">
            <v>0</v>
          </cell>
          <cell r="G1338">
            <v>30745.99</v>
          </cell>
          <cell r="I1338">
            <v>-21518.89</v>
          </cell>
        </row>
        <row r="1339">
          <cell r="B1339">
            <v>717</v>
          </cell>
          <cell r="C1339">
            <v>0</v>
          </cell>
          <cell r="G1339">
            <v>67882.210000000006</v>
          </cell>
          <cell r="I1339">
            <v>30745.99</v>
          </cell>
        </row>
        <row r="1340">
          <cell r="B1340">
            <v>717</v>
          </cell>
          <cell r="C1340">
            <v>990</v>
          </cell>
          <cell r="G1340">
            <v>-67882.210000000006</v>
          </cell>
          <cell r="I1340">
            <v>67882.210000000006</v>
          </cell>
        </row>
        <row r="1341">
          <cell r="B1341">
            <v>718</v>
          </cell>
          <cell r="C1341">
            <v>0</v>
          </cell>
          <cell r="G1341">
            <v>643655.48</v>
          </cell>
          <cell r="I1341">
            <v>0</v>
          </cell>
        </row>
        <row r="1342">
          <cell r="B1342">
            <v>718</v>
          </cell>
          <cell r="C1342">
            <v>990</v>
          </cell>
          <cell r="G1342">
            <v>-643655.48</v>
          </cell>
          <cell r="I1342">
            <v>643655.48</v>
          </cell>
        </row>
        <row r="1343">
          <cell r="B1343">
            <v>735</v>
          </cell>
          <cell r="C1343">
            <v>100</v>
          </cell>
          <cell r="G1343">
            <v>153161.35</v>
          </cell>
          <cell r="I1343">
            <v>0</v>
          </cell>
        </row>
        <row r="1344">
          <cell r="B1344">
            <v>735</v>
          </cell>
          <cell r="C1344">
            <v>990</v>
          </cell>
          <cell r="G1344">
            <v>-153161.32</v>
          </cell>
          <cell r="I1344">
            <v>153161.35</v>
          </cell>
        </row>
        <row r="1345">
          <cell r="B1345">
            <v>737</v>
          </cell>
          <cell r="C1345">
            <v>0</v>
          </cell>
          <cell r="G1345">
            <v>-133734.84</v>
          </cell>
          <cell r="I1345">
            <v>0.03</v>
          </cell>
        </row>
        <row r="1346">
          <cell r="B1346">
            <v>740</v>
          </cell>
          <cell r="C1346">
            <v>0</v>
          </cell>
          <cell r="G1346">
            <v>543328.84</v>
          </cell>
          <cell r="I1346">
            <v>-133734.84</v>
          </cell>
        </row>
        <row r="1347">
          <cell r="B1347">
            <v>789</v>
          </cell>
          <cell r="C1347">
            <v>0</v>
          </cell>
          <cell r="G1347">
            <v>-520540</v>
          </cell>
          <cell r="I1347">
            <v>543328.84</v>
          </cell>
        </row>
        <row r="1348">
          <cell r="B1348">
            <v>789</v>
          </cell>
          <cell r="C1348">
            <v>100</v>
          </cell>
          <cell r="G1348">
            <v>0</v>
          </cell>
          <cell r="I1348">
            <v>-520540</v>
          </cell>
        </row>
        <row r="1349">
          <cell r="B1349">
            <v>801</v>
          </cell>
          <cell r="C1349">
            <v>0</v>
          </cell>
          <cell r="G1349">
            <v>74208.36</v>
          </cell>
          <cell r="I1349">
            <v>-101718.87</v>
          </cell>
        </row>
        <row r="1350">
          <cell r="B1350">
            <v>801</v>
          </cell>
          <cell r="C1350">
            <v>10000</v>
          </cell>
          <cell r="G1350">
            <v>656.96</v>
          </cell>
          <cell r="I1350">
            <v>74208.36</v>
          </cell>
        </row>
        <row r="1351">
          <cell r="B1351">
            <v>802</v>
          </cell>
          <cell r="C1351">
            <v>0</v>
          </cell>
          <cell r="G1351">
            <v>39321.300000000003</v>
          </cell>
          <cell r="I1351">
            <v>74865.320000000007</v>
          </cell>
        </row>
        <row r="1352">
          <cell r="B1352">
            <v>805</v>
          </cell>
          <cell r="C1352">
            <v>0</v>
          </cell>
          <cell r="G1352">
            <v>-10282.35</v>
          </cell>
          <cell r="I1352">
            <v>39321.300000000003</v>
          </cell>
        </row>
        <row r="1353">
          <cell r="B1353">
            <v>809</v>
          </cell>
          <cell r="C1353">
            <v>0</v>
          </cell>
          <cell r="G1353">
            <v>1012.65</v>
          </cell>
          <cell r="I1353">
            <v>-10282.35</v>
          </cell>
        </row>
        <row r="1354">
          <cell r="B1354">
            <v>812</v>
          </cell>
          <cell r="C1354">
            <v>0</v>
          </cell>
          <cell r="G1354">
            <v>-43246.52</v>
          </cell>
          <cell r="I1354">
            <v>1012.65</v>
          </cell>
        </row>
        <row r="1355">
          <cell r="B1355">
            <v>812</v>
          </cell>
          <cell r="C1355">
            <v>1</v>
          </cell>
          <cell r="G1355">
            <v>35175.26</v>
          </cell>
          <cell r="I1355">
            <v>-43246.52</v>
          </cell>
        </row>
        <row r="1356">
          <cell r="B1356">
            <v>812</v>
          </cell>
          <cell r="C1356">
            <v>2</v>
          </cell>
          <cell r="G1356">
            <v>8071.26</v>
          </cell>
          <cell r="I1356">
            <v>35175.26</v>
          </cell>
        </row>
        <row r="1357">
          <cell r="B1357">
            <v>812</v>
          </cell>
          <cell r="C1357">
            <v>10000</v>
          </cell>
          <cell r="G1357">
            <v>0</v>
          </cell>
          <cell r="I1357">
            <v>8071.26</v>
          </cell>
        </row>
        <row r="1358">
          <cell r="B1358">
            <v>812</v>
          </cell>
          <cell r="C1358">
            <v>30000</v>
          </cell>
          <cell r="G1358">
            <v>0</v>
          </cell>
          <cell r="I1358">
            <v>0</v>
          </cell>
        </row>
        <row r="1359">
          <cell r="B1359">
            <v>812</v>
          </cell>
          <cell r="C1359">
            <v>50000</v>
          </cell>
          <cell r="G1359">
            <v>0</v>
          </cell>
          <cell r="I1359">
            <v>0</v>
          </cell>
        </row>
        <row r="1360">
          <cell r="B1360">
            <v>812</v>
          </cell>
          <cell r="C1360">
            <v>70000</v>
          </cell>
          <cell r="G1360">
            <v>-3000</v>
          </cell>
          <cell r="I1360">
            <v>0</v>
          </cell>
        </row>
        <row r="1361">
          <cell r="B1361">
            <v>812</v>
          </cell>
          <cell r="C1361">
            <v>80000</v>
          </cell>
          <cell r="G1361">
            <v>0</v>
          </cell>
          <cell r="I1361">
            <v>-3000</v>
          </cell>
        </row>
        <row r="1362">
          <cell r="B1362">
            <v>820</v>
          </cell>
          <cell r="C1362">
            <v>0</v>
          </cell>
          <cell r="G1362">
            <v>-10818.41</v>
          </cell>
          <cell r="I1362">
            <v>-3000</v>
          </cell>
        </row>
        <row r="1363">
          <cell r="B1363">
            <v>891</v>
          </cell>
          <cell r="C1363">
            <v>0</v>
          </cell>
          <cell r="G1363">
            <v>-70333.8</v>
          </cell>
          <cell r="I1363">
            <v>-10818.41</v>
          </cell>
        </row>
        <row r="1364">
          <cell r="B1364">
            <v>892</v>
          </cell>
          <cell r="C1364">
            <v>0</v>
          </cell>
          <cell r="G1364">
            <v>0</v>
          </cell>
          <cell r="I1364">
            <v>-70333.8</v>
          </cell>
        </row>
        <row r="1365">
          <cell r="B1365">
            <v>892</v>
          </cell>
          <cell r="C1365">
            <v>100</v>
          </cell>
          <cell r="G1365">
            <v>85916.31</v>
          </cell>
          <cell r="I136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NEW MACROS"/>
      <sheetName val="Inputs"/>
      <sheetName val="NOI"/>
      <sheetName val="ROR SUMMARY"/>
      <sheetName val="Global_Setting"/>
      <sheetName val="Hard Key Rounds"/>
      <sheetName val="Sch 1"/>
      <sheetName val="Int Synch"/>
      <sheetName val="Ratebase"/>
      <sheetName val="Rev Adj's"/>
      <sheetName val="Summary 1"/>
      <sheetName val="Exp Adj's"/>
      <sheetName val="FI 17 DD WP"/>
      <sheetName val="FI 17 DC WP"/>
      <sheetName val="COS Form FI 17"/>
      <sheetName val="COS Form FI 17 - Used"/>
      <sheetName val="MFR B-1 not used"/>
      <sheetName val="MFR B-1 TY"/>
      <sheetName val="MFR B-1 PY"/>
      <sheetName val="MFR B-1 HY"/>
      <sheetName val="MFR B-17 TY"/>
      <sheetName val="MFR B-17 PY"/>
      <sheetName val="MFR B-17 HY"/>
      <sheetName val="MFR B-2 TY"/>
      <sheetName val="MFR B-2 PY"/>
      <sheetName val="MFR B-2 HY"/>
      <sheetName val="MFR C-1 TY"/>
      <sheetName val="MFR C-1 PY"/>
      <sheetName val="MFR C-1 HY"/>
      <sheetName val="MFR C-2 TY"/>
      <sheetName val="MFR C-2 PY"/>
      <sheetName val="MFR C-2 HY"/>
      <sheetName val="MFR C-3 TY"/>
      <sheetName val="MFR C-3 PY"/>
      <sheetName val="MFR C-3 HY"/>
      <sheetName val="MFR C-5 TY"/>
      <sheetName val="MFR C-5 PY"/>
      <sheetName val="MFR C-5 HY"/>
      <sheetName val="MFR D1-a TY"/>
      <sheetName val="MFR D1-a PY"/>
      <sheetName val="MFR D1-a HY"/>
      <sheetName val="MFR D-1b TY"/>
      <sheetName val="MFR D-1b PY"/>
      <sheetName val="MFR D-1b HY"/>
      <sheetName val="MFR D-9 TY,PY,HY"/>
      <sheetName val="RC-Exh. 3"/>
      <sheetName val="RC-Exh. 3 - Used"/>
      <sheetName val="RC-Exh. 5,6,7,8"/>
      <sheetName val="RC-Exh. DO NOT USE"/>
      <sheetName val="RC-Ex. 9"/>
      <sheetName val="RC-Ex. 10"/>
      <sheetName val="RC-Ex. 12"/>
      <sheetName val="RC-Ex. 12, p2"/>
      <sheetName val="RC-Ex. 13"/>
      <sheetName val="RC-Ex. 14"/>
      <sheetName val="PE.RORSUM"/>
      <sheetName val="ROR SUMMARY - 10YR"/>
      <sheetName val="FPU - 10YR"/>
      <sheetName val="GRAPHS"/>
      <sheetName val="ROE.RECON"/>
      <sheetName val="CURMO.NOI"/>
      <sheetName val="PE.NOI"/>
      <sheetName val="Clause Segments"/>
      <sheetName val="Segment Template"/>
      <sheetName val="NOI.RECON"/>
      <sheetName val="FPU &amp; Blountstown old version"/>
      <sheetName val="Total Wholesale - 10YR"/>
      <sheetName val="FPU &amp; Blountstown update"/>
      <sheetName val="FPU &amp; Blountstown O&amp;M Breakdown"/>
      <sheetName val="NOI - 10YR"/>
      <sheetName val="Blountstown - 10YR"/>
      <sheetName val="UPS - 10YR"/>
      <sheetName val="Total Wholesale - 12 Month"/>
      <sheetName val="Blountstown - 12 Month"/>
      <sheetName val="FPU - 12 Month"/>
      <sheetName val="UPS - 12 Month"/>
      <sheetName val="PE.NOI.RECON"/>
      <sheetName val="PE. Juris Factors"/>
      <sheetName val="PE.RORSUM - 10YR"/>
      <sheetName val="Wholesale Segments"/>
      <sheetName val="CURMO.NOI.RECON"/>
      <sheetName val="CURMO Jur Per Books"/>
      <sheetName val="Output Wholesale Info"/>
      <sheetName val="Segment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 "/>
      <sheetName val="SCH SUPP FORECAST"/>
      <sheetName val="SCH2_1OF3 LOWER SECTION - 10YR"/>
      <sheetName val="SCH1"/>
      <sheetName val="SCH2_1OF3"/>
      <sheetName val="SCH2_2OF3"/>
      <sheetName val="SCH2_3OF3"/>
      <sheetName val="PE.SCH3_1OF3"/>
      <sheetName val="PE.SCH3_2OF3"/>
      <sheetName val="PE.SCH3_3OF3"/>
      <sheetName val="SCH4"/>
      <sheetName val="SCH5"/>
      <sheetName val="Jurisdictional Return - 10YR"/>
      <sheetName val="NOI Bud - Surv Recon"/>
      <sheetName val="UPS Reconcile"/>
      <sheetName val="FPU &amp; Blountstown Reg Adjust"/>
      <sheetName val="FPU - Blount Reconcile"/>
      <sheetName val="FPU &amp; Blountstown Reconcile CM"/>
      <sheetName val="FPU &amp; Blountstown Reconcile 12M"/>
      <sheetName val="ENVIRON"/>
      <sheetName val="RWSettings"/>
      <sheetName val="ModelData"/>
      <sheetName val="ListboxStore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W MACROS"/>
      <sheetName val="VARIABLES"/>
      <sheetName val="Inputs"/>
      <sheetName val="NOI"/>
      <sheetName val="ROR SUMMARY"/>
      <sheetName val="MFR C-3 TY"/>
      <sheetName val="Global_Setting"/>
      <sheetName val="Hard Key Rounds"/>
      <sheetName val="Sch 1"/>
      <sheetName val="Int Synch"/>
      <sheetName val="Ratebase"/>
      <sheetName val="Rev Adj's"/>
      <sheetName val="Summary 1"/>
      <sheetName val="Exp Adj's"/>
      <sheetName val="MFR D-1b TY"/>
      <sheetName val="MFR D1-a TY"/>
      <sheetName val="FI 17 DD WP"/>
      <sheetName val="FI 17 DC WP"/>
      <sheetName val="COS Form FI 17"/>
      <sheetName val="COS Form FI 17 - Used"/>
      <sheetName val="MFR B-1 not used"/>
      <sheetName val="MFR B-1 TY"/>
      <sheetName val="MFR B-1 PY"/>
      <sheetName val="MFR B-1 HY"/>
      <sheetName val="MFR B-17 TY"/>
      <sheetName val="MFR B-17 PY"/>
      <sheetName val="MFR B-17 HY"/>
      <sheetName val="MFR B-2 TY"/>
      <sheetName val="MFR B-2 PY"/>
      <sheetName val="MFR B-2 HY"/>
      <sheetName val="MFR C-1 TY"/>
      <sheetName val="MFR C-1 PY"/>
      <sheetName val="MFR C-1 HY"/>
      <sheetName val="MFR C-2 TY"/>
      <sheetName val="MFR C-2 PY"/>
      <sheetName val="MFR C-2 HY"/>
      <sheetName val="MFR C-3 PY"/>
      <sheetName val="MFR C-3 HY"/>
      <sheetName val="MFR C-5 TY"/>
      <sheetName val="MFR C-5 PY"/>
      <sheetName val="MFR C-5 HY"/>
      <sheetName val="MFR D1-a PY"/>
      <sheetName val="MFR D1-a HY"/>
      <sheetName val="MFR D-1b PY"/>
      <sheetName val="MFR D-1b HY"/>
      <sheetName val="MFR D-9 TY,PY,HY"/>
      <sheetName val="RC-Exh. 3"/>
      <sheetName val="RC-Exh. 3 - Used"/>
      <sheetName val="RC-Exh. 5,6,7,8"/>
      <sheetName val="RC-Exh. DO NOT USE"/>
      <sheetName val="RC-Ex. 9"/>
      <sheetName val="RC-Ex. 10"/>
      <sheetName val="RC-Ex. 12"/>
      <sheetName val="RC-Ex. 12, p2"/>
      <sheetName val="RC-Ex. 13"/>
      <sheetName val="RC-Ex. 14"/>
      <sheetName val="PE.RORSUM"/>
      <sheetName val="ROR SUMMARY - 10YR"/>
      <sheetName val="FPU - 10YR"/>
      <sheetName val="GRAPHS"/>
      <sheetName val="ROE.RECON"/>
      <sheetName val="CURMO.NOI"/>
      <sheetName val="PE.NOI"/>
      <sheetName val="Clause Segments"/>
      <sheetName val="Segment Template"/>
      <sheetName val="NOI.RECON"/>
      <sheetName val="FPU &amp; Blountstown old version"/>
      <sheetName val="Total Wholesale - 10YR"/>
      <sheetName val="FPU &amp; Blountstown update"/>
      <sheetName val="FPU &amp; Blountstown O&amp;M Breakdown"/>
      <sheetName val="NOI - 10YR"/>
      <sheetName val="Blountstown - 10YR"/>
      <sheetName val="UPS - 10YR"/>
      <sheetName val="Total Wholesale - 12 Month"/>
      <sheetName val="Blountstown - 12 Month"/>
      <sheetName val="FPU - 12 Month"/>
      <sheetName val="UPS - 12 Month"/>
      <sheetName val="PE.NOI.RECON"/>
      <sheetName val="PE. Juris Factors"/>
      <sheetName val="PE.RORSUM - 10YR"/>
      <sheetName val="Wholesale Segments"/>
      <sheetName val="CURMO.NOI.RECON"/>
      <sheetName val="CURMO Jur Per Books"/>
      <sheetName val="Output Wholesale Info"/>
      <sheetName val="Segment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 "/>
      <sheetName val="SCH SUPP FORECAST"/>
      <sheetName val="SCH2_1OF3 LOWER SECTION - 10YR"/>
      <sheetName val="SCH1"/>
      <sheetName val="SCH2_1OF3"/>
      <sheetName val="SCH2_2OF3"/>
      <sheetName val="SCH2_3OF3"/>
      <sheetName val="PE.SCH3_1OF3"/>
      <sheetName val="PE.SCH3_2OF3"/>
      <sheetName val="PE.SCH3_3OF3"/>
      <sheetName val="SCH4"/>
      <sheetName val="SCH5"/>
      <sheetName val="Jurisdictional Return - 10YR"/>
      <sheetName val="NOI Bud - Surv Recon"/>
      <sheetName val="UPS Reconcile"/>
      <sheetName val="FPU &amp; Blountstown Reg Adjust"/>
      <sheetName val="FPU - Blount Reconcile"/>
      <sheetName val="FPU &amp; Blountstown Reconcile CM"/>
      <sheetName val="FPU &amp; Blountstown Reconcile 12M"/>
      <sheetName val="ENVIRON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FR C-2 TY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FR C-5 T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FR C-1 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EW MACROS"/>
      <sheetName val="PE.RORSUM"/>
      <sheetName val="ROR SUMMARY - 10YR"/>
      <sheetName val="VARIABLES"/>
      <sheetName val="GRAPHS"/>
      <sheetName val="CURMO.NOI"/>
      <sheetName val="PE.NOI"/>
      <sheetName val="Clause Segments"/>
      <sheetName val="Segment Template"/>
      <sheetName val="NOI.RECON"/>
      <sheetName val="ROR SUMMARY"/>
      <sheetName val="MFR G-2 TY"/>
      <sheetName val="MFR G-3 TY"/>
      <sheetName val="MFR G-5 TY"/>
      <sheetName val="MFR G-7 TY"/>
      <sheetName val="MFR G-8 TY"/>
      <sheetName val="MFR G-9 TY"/>
      <sheetName val="MFR G-11 TY"/>
      <sheetName val="NOI"/>
      <sheetName val="MFR G19-a TY"/>
      <sheetName val="MFR G-19b TY"/>
      <sheetName val="Inputs"/>
      <sheetName val="ROE.RECON"/>
      <sheetName val="FPU &amp; Blountstown update"/>
      <sheetName val="FPU &amp; Blountstown O&amp;M Breakdown"/>
      <sheetName val="FPU &amp; Blountstown old version"/>
      <sheetName val="Total Wholesale - 10YR"/>
      <sheetName val="NOI - 10YR"/>
      <sheetName val="Blountstown - 10YR"/>
      <sheetName val="FPU - 10YR"/>
      <sheetName val="UPS - 10YR"/>
      <sheetName val="Total Wholesale - 12 Month"/>
      <sheetName val="Blountstown - 12 Month"/>
      <sheetName val="FPU - 12 Month"/>
      <sheetName val="UPS - 12 Month"/>
      <sheetName val="PE.NOI.RECON"/>
      <sheetName val="PE. Juris Factors"/>
      <sheetName val="PE.RORSUM - 10YR"/>
      <sheetName val="Wholesale Segments"/>
      <sheetName val="CURMO.NOI.RECON"/>
      <sheetName val="CURMO Jur Per Books"/>
      <sheetName val="Output Wholesale Info"/>
      <sheetName val="Segment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 "/>
      <sheetName val="SCH SUPP FORECAST"/>
      <sheetName val="SCH2_1OF3 LOWER SECTION - 10YR"/>
      <sheetName val="SCH1"/>
      <sheetName val="SCH2_1OF3"/>
      <sheetName val="SCH2_2OF3"/>
      <sheetName val="SCH2_3OF3"/>
      <sheetName val="PE.SCH3_1OF3"/>
      <sheetName val="PE.SCH3_2OF3"/>
      <sheetName val="PE.SCH3_3OF3"/>
      <sheetName val="SCH4"/>
      <sheetName val="SCH5"/>
      <sheetName val="Jurisdictional Return - 10YR"/>
      <sheetName val="NOI Bud - Surv Recon"/>
      <sheetName val="UPS Reconcile"/>
      <sheetName val="FPU &amp; Blountstown Reg Adjust"/>
      <sheetName val="FPU - Blount Reconcile"/>
      <sheetName val="FPU &amp; Blountstown Reconcile CM"/>
      <sheetName val="FPU &amp; Blountstown Reconcile 12M"/>
      <sheetName val="ENVIRON"/>
      <sheetName val="RWSettings"/>
      <sheetName val="ModelData"/>
      <sheetName val="Listbox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>
            <v>35089844.883076899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70">
          <cell r="C170">
            <v>31705.1348</v>
          </cell>
        </row>
        <row r="245">
          <cell r="C245">
            <v>181978.92</v>
          </cell>
        </row>
        <row r="246">
          <cell r="C246">
            <v>113097.35</v>
          </cell>
        </row>
        <row r="263">
          <cell r="C263">
            <v>330239.26750000002</v>
          </cell>
        </row>
        <row r="264">
          <cell r="C264">
            <v>177761.227655403</v>
          </cell>
        </row>
        <row r="299">
          <cell r="C299">
            <v>16628.541232215601</v>
          </cell>
        </row>
        <row r="367">
          <cell r="C36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7"/>
  <sheetViews>
    <sheetView zoomScale="85" workbookViewId="0">
      <selection activeCell="E41" sqref="E41"/>
    </sheetView>
  </sheetViews>
  <sheetFormatPr defaultRowHeight="12.75"/>
  <cols>
    <col min="1" max="1" width="15.28515625" style="214" customWidth="1"/>
    <col min="2" max="2" width="16.5703125" style="214" customWidth="1"/>
    <col min="3" max="3" width="14.7109375" style="214" customWidth="1"/>
    <col min="4" max="4" width="14" style="214" customWidth="1"/>
    <col min="5" max="5" width="4.85546875" style="214" customWidth="1"/>
    <col min="6" max="6" width="13" style="214" customWidth="1"/>
    <col min="7" max="7" width="12.42578125" style="214" customWidth="1"/>
    <col min="8" max="8" width="30.85546875" style="214" customWidth="1"/>
    <col min="9" max="9" width="16.28515625" style="214" customWidth="1"/>
    <col min="10" max="10" width="13.5703125" style="214" customWidth="1"/>
    <col min="11" max="16384" width="9.140625" style="214"/>
  </cols>
  <sheetData>
    <row r="1" spans="1:10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64" t="s">
        <v>58</v>
      </c>
    </row>
    <row r="2" spans="1:10">
      <c r="A2" s="373" t="s">
        <v>59</v>
      </c>
      <c r="B2" s="373"/>
      <c r="C2" s="373"/>
      <c r="D2" s="373"/>
      <c r="E2" s="373"/>
      <c r="F2" s="373"/>
      <c r="G2" s="373"/>
      <c r="H2" s="373"/>
      <c r="I2" s="373"/>
      <c r="J2" s="364" t="s">
        <v>2587</v>
      </c>
    </row>
    <row r="3" spans="1:10">
      <c r="A3" s="373" t="s">
        <v>2588</v>
      </c>
      <c r="B3" s="373"/>
      <c r="C3" s="373"/>
      <c r="D3" s="373"/>
      <c r="E3" s="373"/>
      <c r="F3" s="373"/>
      <c r="G3" s="373"/>
      <c r="H3" s="373"/>
      <c r="I3" s="373"/>
    </row>
    <row r="4" spans="1:10">
      <c r="A4" s="373" t="s">
        <v>2157</v>
      </c>
      <c r="B4" s="373"/>
      <c r="C4" s="373"/>
      <c r="D4" s="373"/>
      <c r="E4" s="373"/>
      <c r="F4" s="373"/>
      <c r="G4" s="373"/>
      <c r="H4" s="373"/>
      <c r="I4" s="373"/>
    </row>
    <row r="5" spans="1:10">
      <c r="A5" s="366"/>
      <c r="B5" s="366"/>
      <c r="C5" s="366"/>
      <c r="D5" s="366"/>
      <c r="E5" s="366"/>
      <c r="F5" s="366"/>
      <c r="G5" s="366"/>
      <c r="H5" s="366"/>
      <c r="I5" s="366"/>
    </row>
    <row r="7" spans="1:10">
      <c r="A7" s="134" t="s">
        <v>2589</v>
      </c>
      <c r="D7" s="135" t="s">
        <v>2590</v>
      </c>
      <c r="F7" s="134" t="s">
        <v>2591</v>
      </c>
      <c r="I7" s="135" t="s">
        <v>2590</v>
      </c>
      <c r="J7" s="135" t="s">
        <v>2592</v>
      </c>
    </row>
    <row r="9" spans="1:10">
      <c r="A9" s="214" t="s">
        <v>2593</v>
      </c>
      <c r="D9" s="215"/>
      <c r="F9" s="214" t="s">
        <v>2594</v>
      </c>
      <c r="I9" s="215">
        <v>-40354804.57</v>
      </c>
      <c r="J9" s="215">
        <v>-15566866</v>
      </c>
    </row>
    <row r="10" spans="1:10">
      <c r="A10" s="214" t="s">
        <v>2595</v>
      </c>
      <c r="D10" s="215">
        <v>-264605092.82494095</v>
      </c>
      <c r="F10" s="214" t="s">
        <v>2596</v>
      </c>
      <c r="I10" s="215">
        <v>-98610966.966629371</v>
      </c>
      <c r="J10" s="215">
        <v>-38039181</v>
      </c>
    </row>
    <row r="11" spans="1:10">
      <c r="A11" s="214" t="s">
        <v>2597</v>
      </c>
      <c r="D11" s="215">
        <v>103459628.46230771</v>
      </c>
      <c r="F11" s="214" t="s">
        <v>2598</v>
      </c>
      <c r="I11" s="215">
        <v>-652947962.47000003</v>
      </c>
      <c r="J11" s="215">
        <v>-251874677</v>
      </c>
    </row>
    <row r="12" spans="1:10">
      <c r="A12" s="214" t="s">
        <v>2599</v>
      </c>
      <c r="D12" s="215"/>
      <c r="F12" s="214" t="s">
        <v>2600</v>
      </c>
      <c r="I12" s="215">
        <v>-709612.83</v>
      </c>
      <c r="J12" s="215">
        <v>-273733</v>
      </c>
    </row>
    <row r="13" spans="1:10">
      <c r="A13" s="214" t="s">
        <v>2595</v>
      </c>
      <c r="D13" s="215">
        <v>-10348760.044615384</v>
      </c>
      <c r="F13" s="214" t="s">
        <v>2601</v>
      </c>
      <c r="I13" s="215">
        <v>-213341694.332104</v>
      </c>
      <c r="J13" s="215">
        <v>-82296559</v>
      </c>
    </row>
    <row r="14" spans="1:10">
      <c r="A14" s="214" t="s">
        <v>2597</v>
      </c>
      <c r="D14" s="215">
        <v>-831113.16811161535</v>
      </c>
      <c r="F14" s="214" t="s">
        <v>2602</v>
      </c>
      <c r="I14" s="215">
        <v>-31705134.799999997</v>
      </c>
      <c r="J14" s="215">
        <v>-12230255.749099998</v>
      </c>
    </row>
    <row r="15" spans="1:10">
      <c r="A15" s="214" t="s">
        <v>2603</v>
      </c>
      <c r="D15" s="215"/>
      <c r="F15" s="214" t="s">
        <v>2604</v>
      </c>
      <c r="I15" s="215">
        <v>39106.149999999907</v>
      </c>
      <c r="J15" s="215">
        <v>15085</v>
      </c>
    </row>
    <row r="16" spans="1:10">
      <c r="A16" s="214" t="s">
        <v>2595</v>
      </c>
      <c r="D16" s="215">
        <v>-856518610.87124264</v>
      </c>
      <c r="F16" s="214" t="s">
        <v>2605</v>
      </c>
      <c r="I16" s="215">
        <v>-257116.55</v>
      </c>
      <c r="J16" s="215">
        <v>99183</v>
      </c>
    </row>
    <row r="17" spans="1:10">
      <c r="A17" s="214" t="s">
        <v>2597</v>
      </c>
      <c r="D17" s="215">
        <v>46304320.534307264</v>
      </c>
      <c r="F17" s="214" t="s">
        <v>2606</v>
      </c>
      <c r="I17" s="215">
        <v>-1049.326</v>
      </c>
      <c r="J17" s="215">
        <v>405</v>
      </c>
    </row>
    <row r="18" spans="1:10">
      <c r="A18" s="214" t="s">
        <v>2607</v>
      </c>
      <c r="D18" s="215">
        <v>0</v>
      </c>
      <c r="F18" s="214" t="s">
        <v>2608</v>
      </c>
      <c r="I18" s="215">
        <v>-802125654.00382745</v>
      </c>
      <c r="J18" s="215">
        <v>309419971</v>
      </c>
    </row>
    <row r="19" spans="1:10">
      <c r="A19" s="214" t="s">
        <v>2609</v>
      </c>
      <c r="D19" s="215">
        <v>-71633783</v>
      </c>
      <c r="F19" s="214" t="s">
        <v>2610</v>
      </c>
      <c r="I19" s="215">
        <v>-9778.48</v>
      </c>
      <c r="J19" s="215">
        <v>3772</v>
      </c>
    </row>
    <row r="20" spans="1:10">
      <c r="A20" s="214" t="s">
        <v>2611</v>
      </c>
      <c r="D20" s="215">
        <v>-81625087</v>
      </c>
      <c r="F20" s="214" t="s">
        <v>2612</v>
      </c>
      <c r="I20" s="215">
        <v>-796761.74</v>
      </c>
      <c r="J20" s="215">
        <v>307351</v>
      </c>
    </row>
    <row r="21" spans="1:10">
      <c r="A21" s="214" t="s">
        <v>2613</v>
      </c>
      <c r="D21" s="215">
        <v>-1580149.4446153848</v>
      </c>
      <c r="F21" s="214" t="s">
        <v>2614</v>
      </c>
      <c r="I21" s="215">
        <v>756923.65299999993</v>
      </c>
      <c r="J21" s="215">
        <v>-291983</v>
      </c>
    </row>
    <row r="22" spans="1:10">
      <c r="A22" s="214" t="s">
        <v>2615</v>
      </c>
      <c r="D22" s="215">
        <v>-10069.361538461566</v>
      </c>
      <c r="F22" s="214" t="s">
        <v>2616</v>
      </c>
      <c r="I22" s="215">
        <v>0</v>
      </c>
      <c r="J22" s="215">
        <v>0</v>
      </c>
    </row>
    <row r="23" spans="1:10">
      <c r="A23" s="214" t="s">
        <v>2617</v>
      </c>
      <c r="D23" s="215">
        <v>-14769961</v>
      </c>
      <c r="F23" s="214" t="s">
        <v>2618</v>
      </c>
      <c r="I23" s="215">
        <v>-8530473.1799999997</v>
      </c>
      <c r="J23" s="215">
        <v>3290630</v>
      </c>
    </row>
    <row r="24" spans="1:10">
      <c r="D24" s="215"/>
      <c r="F24" s="214" t="s">
        <v>2619</v>
      </c>
      <c r="I24" s="215">
        <v>-181978.92</v>
      </c>
      <c r="J24" s="215">
        <v>70198</v>
      </c>
    </row>
    <row r="25" spans="1:10">
      <c r="F25" s="214" t="s">
        <v>2620</v>
      </c>
      <c r="I25" s="215">
        <v>0</v>
      </c>
      <c r="J25" s="215">
        <v>0</v>
      </c>
    </row>
    <row r="26" spans="1:10" hidden="1">
      <c r="D26" s="215"/>
      <c r="F26" s="214" t="s">
        <v>2621</v>
      </c>
      <c r="I26" s="215">
        <v>0</v>
      </c>
      <c r="J26" s="215">
        <v>0</v>
      </c>
    </row>
    <row r="27" spans="1:10">
      <c r="A27" s="214" t="s">
        <v>2622</v>
      </c>
      <c r="D27" s="215"/>
      <c r="F27" s="214" t="s">
        <v>2623</v>
      </c>
      <c r="I27" s="215">
        <v>-119471.8</v>
      </c>
      <c r="J27" s="215">
        <v>46086</v>
      </c>
    </row>
    <row r="28" spans="1:10">
      <c r="A28" s="214" t="s">
        <v>2624</v>
      </c>
      <c r="D28" s="215">
        <v>-14179424.535615385</v>
      </c>
      <c r="E28" s="215"/>
      <c r="F28" s="214" t="s">
        <v>2625</v>
      </c>
      <c r="I28" s="215">
        <v>-9252.74</v>
      </c>
      <c r="J28" s="215">
        <v>3569</v>
      </c>
    </row>
    <row r="29" spans="1:10">
      <c r="A29" s="214" t="s">
        <v>2626</v>
      </c>
      <c r="D29" s="215">
        <v>-57877</v>
      </c>
      <c r="E29" s="215"/>
      <c r="F29" s="214" t="s">
        <v>2627</v>
      </c>
      <c r="I29" s="215">
        <v>-39772382.774000004</v>
      </c>
      <c r="J29" s="215">
        <v>15342197</v>
      </c>
    </row>
    <row r="30" spans="1:10">
      <c r="A30" s="214" t="s">
        <v>2628</v>
      </c>
      <c r="D30" s="215">
        <v>-4521</v>
      </c>
      <c r="E30" s="215"/>
      <c r="F30" s="214" t="s">
        <v>2629</v>
      </c>
      <c r="I30" s="215">
        <v>-31600125.685749996</v>
      </c>
      <c r="J30" s="215">
        <v>12189748</v>
      </c>
    </row>
    <row r="31" spans="1:10">
      <c r="A31" s="214" t="s">
        <v>60</v>
      </c>
      <c r="D31" s="215">
        <v>-2036919</v>
      </c>
      <c r="E31" s="215"/>
      <c r="F31" s="214" t="s">
        <v>2631</v>
      </c>
      <c r="I31" s="215">
        <v>-342102.92240323505</v>
      </c>
      <c r="J31" s="215">
        <v>131966</v>
      </c>
    </row>
    <row r="32" spans="1:10">
      <c r="A32" s="214" t="s">
        <v>2632</v>
      </c>
      <c r="D32" s="215">
        <v>-319850</v>
      </c>
      <c r="E32" s="215"/>
      <c r="F32" s="214" t="s">
        <v>61</v>
      </c>
      <c r="I32" s="215">
        <v>-66708361.043587178</v>
      </c>
      <c r="J32" s="215">
        <v>25732750</v>
      </c>
    </row>
    <row r="33" spans="1:10">
      <c r="A33" s="214" t="s">
        <v>2634</v>
      </c>
      <c r="D33" s="215">
        <v>-8107877.2191046532</v>
      </c>
      <c r="E33" s="215"/>
      <c r="F33" s="214" t="s">
        <v>2635</v>
      </c>
      <c r="I33" s="215">
        <v>0</v>
      </c>
      <c r="J33" s="215">
        <v>0</v>
      </c>
    </row>
    <row r="34" spans="1:10">
      <c r="A34" s="214" t="s">
        <v>2636</v>
      </c>
      <c r="D34" s="215">
        <v>-335213</v>
      </c>
      <c r="E34" s="215"/>
      <c r="F34" s="214" t="s">
        <v>2637</v>
      </c>
      <c r="I34" s="215">
        <v>-1504133</v>
      </c>
      <c r="J34" s="215">
        <v>580219</v>
      </c>
    </row>
    <row r="35" spans="1:10">
      <c r="A35" s="214" t="s">
        <v>2638</v>
      </c>
      <c r="D35" s="215">
        <v>-12446387</v>
      </c>
      <c r="E35" s="215"/>
      <c r="F35" s="214" t="s">
        <v>2639</v>
      </c>
      <c r="I35" s="215">
        <v>6495162</v>
      </c>
      <c r="J35" s="215">
        <v>6495162</v>
      </c>
    </row>
    <row r="36" spans="1:10">
      <c r="A36" s="214" t="s">
        <v>2640</v>
      </c>
      <c r="D36" s="215">
        <v>-15102690</v>
      </c>
      <c r="E36" s="215"/>
    </row>
    <row r="37" spans="1:10">
      <c r="A37" s="214" t="s">
        <v>2641</v>
      </c>
      <c r="D37" s="215">
        <v>-629</v>
      </c>
      <c r="E37" s="215"/>
    </row>
    <row r="38" spans="1:10">
      <c r="A38" s="214" t="s">
        <v>2642</v>
      </c>
      <c r="D38" s="215">
        <v>34034</v>
      </c>
      <c r="E38" s="215"/>
    </row>
    <row r="39" spans="1:10" hidden="1">
      <c r="A39" s="214" t="s">
        <v>2643</v>
      </c>
      <c r="D39" s="215">
        <v>0</v>
      </c>
      <c r="E39" s="215"/>
    </row>
    <row r="40" spans="1:10">
      <c r="A40" s="214" t="s">
        <v>2644</v>
      </c>
      <c r="D40" s="215">
        <v>173403</v>
      </c>
      <c r="E40" s="215"/>
    </row>
    <row r="41" spans="1:10">
      <c r="A41" s="214" t="s">
        <v>2645</v>
      </c>
      <c r="D41" s="215">
        <v>18592709</v>
      </c>
      <c r="E41" s="215"/>
    </row>
    <row r="42" spans="1:10">
      <c r="A42" s="214" t="s">
        <v>2646</v>
      </c>
      <c r="D42" s="215">
        <v>-92377952</v>
      </c>
      <c r="E42" s="215"/>
    </row>
    <row r="43" spans="1:10">
      <c r="A43" s="214" t="s">
        <v>2647</v>
      </c>
      <c r="D43" s="215">
        <v>92377952</v>
      </c>
      <c r="E43" s="215"/>
    </row>
    <row r="44" spans="1:10">
      <c r="A44" s="214" t="s">
        <v>2648</v>
      </c>
      <c r="D44" s="215">
        <v>-47564500</v>
      </c>
      <c r="E44" s="215"/>
    </row>
    <row r="45" spans="1:10">
      <c r="A45" s="214" t="s">
        <v>2649</v>
      </c>
      <c r="D45" s="215">
        <v>47564500</v>
      </c>
      <c r="E45" s="215"/>
    </row>
    <row r="46" spans="1:10">
      <c r="A46" s="214" t="s">
        <v>2650</v>
      </c>
      <c r="D46" s="215">
        <v>-15837075</v>
      </c>
      <c r="E46" s="215"/>
    </row>
    <row r="47" spans="1:10">
      <c r="A47" s="214" t="s">
        <v>2651</v>
      </c>
      <c r="D47" s="215">
        <v>15837075</v>
      </c>
      <c r="E47" s="215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S53"/>
  <sheetViews>
    <sheetView view="pageBreakPreview" zoomScale="70" zoomScaleNormal="55" zoomScaleSheetLayoutView="70" workbookViewId="0">
      <selection activeCell="E41" sqref="E41"/>
    </sheetView>
  </sheetViews>
  <sheetFormatPr defaultColWidth="13" defaultRowHeight="12.75"/>
  <cols>
    <col min="1" max="1" width="5.5703125" style="214" customWidth="1"/>
    <col min="2" max="2" width="19.7109375" style="214" customWidth="1"/>
    <col min="3" max="3" width="17" style="214" customWidth="1"/>
    <col min="4" max="4" width="14.42578125" style="214" customWidth="1"/>
    <col min="5" max="5" width="10.85546875" style="214" customWidth="1"/>
    <col min="6" max="6" width="14.42578125" style="214" customWidth="1"/>
    <col min="7" max="7" width="16.140625" style="214" customWidth="1"/>
    <col min="8" max="8" width="15.7109375" style="214" customWidth="1"/>
    <col min="9" max="9" width="16" style="214" customWidth="1"/>
    <col min="10" max="10" width="15" style="214" customWidth="1"/>
    <col min="11" max="11" width="16" style="214" customWidth="1"/>
    <col min="12" max="12" width="17.28515625" style="214" customWidth="1"/>
    <col min="13" max="13" width="14.5703125" style="214" customWidth="1"/>
    <col min="14" max="14" width="15.7109375" style="214" customWidth="1"/>
    <col min="15" max="16384" width="13" style="214"/>
  </cols>
  <sheetData>
    <row r="1" spans="1:19" s="113" customFormat="1" ht="17.25">
      <c r="A1" s="110" t="s">
        <v>119</v>
      </c>
      <c r="B1" s="111"/>
      <c r="C1" s="110"/>
      <c r="D1" s="112"/>
      <c r="E1" s="112" t="s">
        <v>120</v>
      </c>
      <c r="F1" s="111"/>
      <c r="G1" s="112"/>
      <c r="H1" s="112"/>
      <c r="I1" s="112"/>
      <c r="J1" s="112"/>
      <c r="K1" s="112"/>
      <c r="L1" s="112"/>
      <c r="M1" s="112" t="s">
        <v>72</v>
      </c>
      <c r="N1" s="111"/>
    </row>
    <row r="2" spans="1:19" s="113" customFormat="1" ht="17.25">
      <c r="A2" s="114" t="s">
        <v>73</v>
      </c>
      <c r="C2" s="114"/>
      <c r="D2" s="114"/>
      <c r="E2" s="114" t="s">
        <v>3744</v>
      </c>
      <c r="F2" s="114"/>
      <c r="G2" s="114"/>
      <c r="H2" s="114"/>
      <c r="I2" s="114"/>
      <c r="K2" s="114"/>
      <c r="L2" s="519" t="s">
        <v>74</v>
      </c>
      <c r="N2" s="114"/>
    </row>
    <row r="3" spans="1:19" s="113" customFormat="1" ht="17.25">
      <c r="A3" s="114"/>
      <c r="C3" s="114"/>
      <c r="D3" s="114"/>
      <c r="E3" s="114" t="s">
        <v>121</v>
      </c>
      <c r="F3" s="114"/>
      <c r="G3" s="114"/>
      <c r="H3" s="114"/>
      <c r="I3" s="114"/>
      <c r="K3" s="114"/>
      <c r="L3" s="115" t="s">
        <v>267</v>
      </c>
      <c r="N3" s="114"/>
    </row>
    <row r="4" spans="1:19" s="113" customFormat="1" ht="17.25">
      <c r="A4" s="114" t="s">
        <v>75</v>
      </c>
      <c r="C4" s="114"/>
      <c r="D4" s="114"/>
      <c r="E4" s="114"/>
      <c r="F4" s="114"/>
      <c r="G4" s="114"/>
      <c r="H4" s="114"/>
      <c r="I4" s="114"/>
      <c r="K4" s="114"/>
      <c r="L4" s="115" t="s">
        <v>268</v>
      </c>
      <c r="N4" s="114"/>
    </row>
    <row r="5" spans="1:19" s="113" customFormat="1" ht="17.25">
      <c r="A5" s="114"/>
      <c r="C5" s="114"/>
      <c r="D5" s="114"/>
      <c r="E5" s="114"/>
      <c r="F5" s="114"/>
      <c r="G5" s="114"/>
      <c r="H5" s="114"/>
      <c r="I5" s="114"/>
      <c r="K5" s="114"/>
      <c r="L5" s="115" t="s">
        <v>269</v>
      </c>
      <c r="N5" s="114"/>
    </row>
    <row r="6" spans="1:19" s="113" customFormat="1" ht="17.25">
      <c r="A6" s="110" t="s">
        <v>76</v>
      </c>
      <c r="B6" s="111"/>
      <c r="C6" s="110"/>
      <c r="D6" s="110"/>
      <c r="E6" s="114"/>
      <c r="F6" s="114"/>
      <c r="G6" s="114"/>
      <c r="H6" s="114" t="s">
        <v>77</v>
      </c>
      <c r="I6" s="114"/>
      <c r="K6" s="114"/>
      <c r="L6" s="520" t="s">
        <v>109</v>
      </c>
      <c r="N6" s="114"/>
      <c r="Q6" s="521"/>
    </row>
    <row r="7" spans="1:19" ht="16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16.5">
      <c r="A8" s="7" t="s">
        <v>122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9" s="377" customFormat="1" ht="16.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9" ht="16.5">
      <c r="A10" s="83" t="s">
        <v>2158</v>
      </c>
      <c r="B10" s="83" t="s">
        <v>2159</v>
      </c>
      <c r="C10" s="5"/>
      <c r="D10" s="83" t="s">
        <v>2160</v>
      </c>
      <c r="E10" s="83" t="s">
        <v>2161</v>
      </c>
      <c r="F10" s="83" t="s">
        <v>2162</v>
      </c>
      <c r="G10" s="83" t="s">
        <v>78</v>
      </c>
      <c r="H10" s="83" t="s">
        <v>79</v>
      </c>
      <c r="I10" s="83" t="s">
        <v>80</v>
      </c>
      <c r="J10" s="83" t="s">
        <v>81</v>
      </c>
      <c r="K10" s="83" t="s">
        <v>82</v>
      </c>
      <c r="L10" s="83" t="s">
        <v>83</v>
      </c>
      <c r="M10" s="83" t="s">
        <v>84</v>
      </c>
      <c r="N10" s="83" t="s">
        <v>85</v>
      </c>
    </row>
    <row r="11" spans="1:19" ht="16.5">
      <c r="A11" s="5"/>
      <c r="B11" s="5"/>
      <c r="C11" s="5"/>
      <c r="D11" s="5"/>
      <c r="E11" s="5"/>
      <c r="F11" s="5"/>
      <c r="G11" s="5"/>
      <c r="H11" s="8" t="s">
        <v>94</v>
      </c>
      <c r="I11" s="5"/>
      <c r="J11" s="8" t="s">
        <v>87</v>
      </c>
      <c r="K11" s="8" t="s">
        <v>92</v>
      </c>
      <c r="L11" s="8" t="s">
        <v>123</v>
      </c>
      <c r="M11" s="5"/>
      <c r="N11" s="5"/>
    </row>
    <row r="12" spans="1:19" ht="16.5">
      <c r="A12" s="5"/>
      <c r="B12" s="5"/>
      <c r="C12" s="5"/>
      <c r="D12" s="8" t="s">
        <v>87</v>
      </c>
      <c r="E12" s="8" t="s">
        <v>89</v>
      </c>
      <c r="F12" s="8" t="s">
        <v>90</v>
      </c>
      <c r="G12" s="8" t="s">
        <v>86</v>
      </c>
      <c r="H12" s="8" t="s">
        <v>124</v>
      </c>
      <c r="I12" s="8" t="s">
        <v>91</v>
      </c>
      <c r="J12" s="8" t="s">
        <v>2168</v>
      </c>
      <c r="K12" s="8" t="s">
        <v>95</v>
      </c>
      <c r="L12" s="8" t="s">
        <v>94</v>
      </c>
      <c r="M12" s="8" t="s">
        <v>88</v>
      </c>
      <c r="N12" s="8" t="s">
        <v>88</v>
      </c>
    </row>
    <row r="13" spans="1:19" ht="16.5">
      <c r="A13" s="5" t="s">
        <v>93</v>
      </c>
      <c r="B13" s="5"/>
      <c r="C13" s="5"/>
      <c r="D13" s="8" t="s">
        <v>91</v>
      </c>
      <c r="E13" s="8" t="s">
        <v>90</v>
      </c>
      <c r="F13" s="8" t="s">
        <v>94</v>
      </c>
      <c r="G13" s="8" t="s">
        <v>2167</v>
      </c>
      <c r="H13" s="8" t="s">
        <v>86</v>
      </c>
      <c r="I13" s="8" t="s">
        <v>2167</v>
      </c>
      <c r="J13" s="8" t="s">
        <v>94</v>
      </c>
      <c r="K13" s="8" t="s">
        <v>125</v>
      </c>
      <c r="L13" s="8" t="s">
        <v>126</v>
      </c>
      <c r="M13" s="8" t="s">
        <v>127</v>
      </c>
      <c r="N13" s="8" t="s">
        <v>111</v>
      </c>
    </row>
    <row r="14" spans="1:19" ht="16.5">
      <c r="A14" s="4" t="s">
        <v>97</v>
      </c>
      <c r="B14" s="4" t="s">
        <v>128</v>
      </c>
      <c r="C14" s="4"/>
      <c r="D14" s="9" t="s">
        <v>98</v>
      </c>
      <c r="E14" s="9" t="s">
        <v>94</v>
      </c>
      <c r="F14" s="9" t="s">
        <v>258</v>
      </c>
      <c r="G14" s="9" t="s">
        <v>250</v>
      </c>
      <c r="H14" s="9" t="s">
        <v>129</v>
      </c>
      <c r="I14" s="9" t="s">
        <v>251</v>
      </c>
      <c r="J14" s="9" t="s">
        <v>259</v>
      </c>
      <c r="K14" s="9" t="s">
        <v>130</v>
      </c>
      <c r="L14" s="9" t="s">
        <v>260</v>
      </c>
      <c r="M14" s="9" t="s">
        <v>99</v>
      </c>
      <c r="N14" s="9" t="s">
        <v>261</v>
      </c>
    </row>
    <row r="15" spans="1:19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9" ht="16.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0"/>
      <c r="N16" s="5"/>
      <c r="P16" s="522" t="s">
        <v>131</v>
      </c>
      <c r="Q16" s="522" t="s">
        <v>132</v>
      </c>
      <c r="R16" s="522" t="s">
        <v>133</v>
      </c>
      <c r="S16" s="523"/>
    </row>
    <row r="17" spans="1:19" ht="16.5">
      <c r="A17" s="8" t="s">
        <v>134</v>
      </c>
      <c r="B17" s="11" t="s">
        <v>135</v>
      </c>
      <c r="C17" s="5"/>
      <c r="D17" s="12"/>
      <c r="E17" s="12"/>
      <c r="F17" s="12"/>
      <c r="G17" s="12"/>
      <c r="H17" s="12"/>
      <c r="I17" s="12"/>
      <c r="J17" s="12"/>
      <c r="K17" s="12"/>
      <c r="L17" s="12"/>
      <c r="M17" s="10"/>
      <c r="N17" s="12"/>
      <c r="P17" s="102"/>
      <c r="Q17" s="102"/>
      <c r="R17" s="102"/>
      <c r="S17" s="102"/>
    </row>
    <row r="18" spans="1:19" ht="16.5">
      <c r="A18" s="8"/>
      <c r="B18" s="5"/>
      <c r="C18" s="5"/>
      <c r="D18" s="12"/>
      <c r="E18" s="12"/>
      <c r="F18" s="12"/>
      <c r="G18" s="12"/>
      <c r="H18" s="12"/>
      <c r="I18" s="12"/>
      <c r="J18" s="12"/>
      <c r="K18" s="12"/>
      <c r="L18" s="12"/>
      <c r="M18" s="10"/>
      <c r="N18" s="12"/>
      <c r="P18" s="102"/>
      <c r="Q18" s="102"/>
      <c r="R18" s="102"/>
      <c r="S18" s="102"/>
    </row>
    <row r="19" spans="1:19" ht="16.5">
      <c r="A19" s="8" t="s">
        <v>136</v>
      </c>
      <c r="B19" s="5" t="s">
        <v>137</v>
      </c>
      <c r="C19" s="5"/>
      <c r="D19" s="12">
        <f>ROUND('MFR G-11 TY'!G28,0)</f>
        <v>1483116</v>
      </c>
      <c r="E19" s="12">
        <v>0</v>
      </c>
      <c r="F19" s="12">
        <f>ROUND( D19-E19, RoundDigits )</f>
        <v>1483116</v>
      </c>
      <c r="G19" s="12">
        <f>ROUND(-('MFR G-11 TY'!M28+'MFR G-11 TY'!O28+'MFR G-11 TY'!Q28+'MFR G-11 TY'!S28+'MFR G-11 TY'!U28+'MFR G-11 TY'!Y28),0)</f>
        <v>-989928</v>
      </c>
      <c r="H19" s="12">
        <f>ROUND( F19+G19, RoundDigits )</f>
        <v>493188</v>
      </c>
      <c r="I19" s="12">
        <v>0</v>
      </c>
      <c r="J19" s="12">
        <f>ROUND( H19+I19, RoundDigits )</f>
        <v>493188</v>
      </c>
      <c r="K19" s="12">
        <f>ROUND(RRCOMB3!D1040/1000,0)</f>
        <v>-40701</v>
      </c>
      <c r="L19" s="12">
        <f>J19+K19</f>
        <v>452487</v>
      </c>
      <c r="M19" s="10">
        <f>ROUND(N19/L19,7)</f>
        <v>0.97535400000000005</v>
      </c>
      <c r="N19" s="12">
        <f>'Juris Rev Backup'!G15</f>
        <v>441335</v>
      </c>
      <c r="P19" s="102"/>
      <c r="Q19" s="102"/>
      <c r="R19" s="102"/>
      <c r="S19" s="102"/>
    </row>
    <row r="20" spans="1:19" ht="16.5">
      <c r="A20" s="8" t="s">
        <v>138</v>
      </c>
      <c r="B20" s="5" t="s">
        <v>139</v>
      </c>
      <c r="C20" s="5"/>
      <c r="D20" s="12">
        <f>ROUND('MFR G-11 TY'!G39,0)</f>
        <v>75146</v>
      </c>
      <c r="E20" s="12">
        <v>0</v>
      </c>
      <c r="F20" s="12">
        <f>ROUND( D20-E20, RoundDigits )</f>
        <v>75146</v>
      </c>
      <c r="G20" s="12">
        <f>ROUND(-('MFR G-11 TY'!M39+'MFR G-11 TY'!O39+'MFR G-11 TY'!Q39+'MFR G-11 TY'!S39+'MFR G-11 TY'!U39+'MFR G-11 TY'!Y39),0)</f>
        <v>-52912</v>
      </c>
      <c r="H20" s="12">
        <f>ROUND( F20+G20, RoundDigits )</f>
        <v>22234</v>
      </c>
      <c r="I20" s="12"/>
      <c r="J20" s="12">
        <f>ROUND( H20+I20, RoundDigits )</f>
        <v>22234</v>
      </c>
      <c r="K20" s="12">
        <v>0</v>
      </c>
      <c r="L20" s="12">
        <f>J20+K20</f>
        <v>22234</v>
      </c>
      <c r="M20" s="10">
        <f>ROUND(N20/L20,7)</f>
        <v>0.84802549999999999</v>
      </c>
      <c r="N20" s="12">
        <f>'Juris Rev Backup'!G33</f>
        <v>18855</v>
      </c>
      <c r="P20" s="435" t="e">
        <f>G19+I19-'[5]MFR C-2 TY'!J17</f>
        <v>#REF!</v>
      </c>
      <c r="R20" s="435" t="e">
        <f>D19-'[6]MFR C-5 TY'!G28</f>
        <v>#REF!</v>
      </c>
    </row>
    <row r="21" spans="1:19" ht="16.5">
      <c r="A21" s="8"/>
      <c r="B21" s="5"/>
      <c r="C21" s="5"/>
      <c r="D21" s="13"/>
      <c r="E21" s="13"/>
      <c r="F21" s="13"/>
      <c r="G21" s="13"/>
      <c r="H21" s="13"/>
      <c r="I21" s="13"/>
      <c r="J21" s="13"/>
      <c r="K21" s="13"/>
      <c r="L21" s="13"/>
      <c r="M21" s="10"/>
      <c r="N21" s="13"/>
      <c r="P21" s="435" t="e">
        <f>G20+I20-'[5]MFR C-2 TY'!J18</f>
        <v>#REF!</v>
      </c>
      <c r="R21" s="435" t="e">
        <f>D20-'[6]MFR C-5 TY'!G39</f>
        <v>#REF!</v>
      </c>
    </row>
    <row r="22" spans="1:19" ht="16.5">
      <c r="A22" s="8" t="s">
        <v>140</v>
      </c>
      <c r="B22" s="5" t="s">
        <v>141</v>
      </c>
      <c r="C22" s="5"/>
      <c r="D22" s="14">
        <f t="shared" ref="D22:L22" si="0">SUM(D19:D20)</f>
        <v>1558262</v>
      </c>
      <c r="E22" s="14">
        <f t="shared" si="0"/>
        <v>0</v>
      </c>
      <c r="F22" s="14">
        <f t="shared" si="0"/>
        <v>1558262</v>
      </c>
      <c r="G22" s="14">
        <f t="shared" si="0"/>
        <v>-1042840</v>
      </c>
      <c r="H22" s="14">
        <f t="shared" si="0"/>
        <v>515422</v>
      </c>
      <c r="I22" s="14">
        <f t="shared" si="0"/>
        <v>0</v>
      </c>
      <c r="J22" s="14">
        <f t="shared" si="0"/>
        <v>515422</v>
      </c>
      <c r="K22" s="14">
        <f t="shared" si="0"/>
        <v>-40701</v>
      </c>
      <c r="L22" s="14">
        <f t="shared" si="0"/>
        <v>474721</v>
      </c>
      <c r="M22" s="10">
        <f>ROUND(N22/L22,7)</f>
        <v>0.96939039999999999</v>
      </c>
      <c r="N22" s="14">
        <f>SUM(N19:N20)</f>
        <v>460190</v>
      </c>
      <c r="P22" s="102"/>
      <c r="R22" s="102"/>
    </row>
    <row r="23" spans="1:19" ht="16.5">
      <c r="A23" s="8"/>
      <c r="B23" s="5"/>
      <c r="C23" s="5"/>
      <c r="D23" s="12"/>
      <c r="E23" s="12"/>
      <c r="F23" s="12"/>
      <c r="G23" s="12"/>
      <c r="H23" s="12"/>
      <c r="I23" s="12"/>
      <c r="J23" s="12"/>
      <c r="K23" s="12"/>
      <c r="L23" s="12"/>
      <c r="M23" s="10"/>
      <c r="N23" s="12"/>
      <c r="P23" s="435"/>
      <c r="R23" s="435"/>
      <c r="S23" s="54"/>
    </row>
    <row r="24" spans="1:19" ht="16.5">
      <c r="A24" s="8"/>
      <c r="B24" s="5"/>
      <c r="C24" s="5"/>
      <c r="D24" s="12"/>
      <c r="E24" s="12"/>
      <c r="F24" s="12"/>
      <c r="G24" s="12"/>
      <c r="H24" s="12"/>
      <c r="I24" s="12"/>
      <c r="J24" s="12"/>
      <c r="K24" s="12"/>
      <c r="L24" s="12"/>
      <c r="M24" s="10"/>
      <c r="N24" s="12"/>
      <c r="P24" s="102"/>
      <c r="S24" s="102"/>
    </row>
    <row r="25" spans="1:19" ht="16.5">
      <c r="A25" s="8" t="s">
        <v>143</v>
      </c>
      <c r="B25" s="11" t="s">
        <v>144</v>
      </c>
      <c r="C25" s="5"/>
      <c r="D25" s="12"/>
      <c r="E25" s="12"/>
      <c r="F25" s="12"/>
      <c r="G25" s="12"/>
      <c r="H25" s="12"/>
      <c r="I25" s="12"/>
      <c r="J25" s="12"/>
      <c r="K25" s="12"/>
      <c r="L25" s="12"/>
      <c r="M25" s="10"/>
      <c r="N25" s="12"/>
      <c r="P25" s="102"/>
      <c r="S25" s="102"/>
    </row>
    <row r="26" spans="1:19" ht="16.5">
      <c r="A26" s="8"/>
      <c r="B26" s="5"/>
      <c r="C26" s="5"/>
      <c r="D26" s="12"/>
      <c r="E26" s="12"/>
      <c r="F26" s="12"/>
      <c r="G26" s="12"/>
      <c r="H26" s="12"/>
      <c r="I26" s="12"/>
      <c r="J26" s="12"/>
      <c r="K26" s="12"/>
      <c r="L26" s="12"/>
      <c r="M26" s="10"/>
      <c r="N26" s="12"/>
      <c r="P26" s="102"/>
      <c r="S26" s="102"/>
    </row>
    <row r="27" spans="1:19" ht="16.5">
      <c r="A27" s="8" t="s">
        <v>145</v>
      </c>
      <c r="B27" s="5" t="s">
        <v>146</v>
      </c>
      <c r="C27" s="5"/>
      <c r="D27" s="133">
        <f>ROUND(-(RRCOMB3!M1021+RRCOMB3!M1023)/1000-484.18+RRCOMB4!M146/1000,0)-1</f>
        <v>751972</v>
      </c>
      <c r="E27" s="12">
        <v>0</v>
      </c>
      <c r="F27" s="12">
        <f t="shared" ref="F27:F34" si="1">ROUND( D27-E27, RoundDigits )</f>
        <v>751972</v>
      </c>
      <c r="G27" s="12">
        <f>ROUND(-'MFR G-9 TY'!I18-'MFR G-9 TY'!I21-'MFR G-9 TY'!I24-'MFR G-9 TY'!I27,0)</f>
        <v>-751972</v>
      </c>
      <c r="H27" s="12">
        <f t="shared" ref="H27:H34" si="2">ROUND( F27+G27, RoundDigits )</f>
        <v>0</v>
      </c>
      <c r="I27" s="12">
        <v>0</v>
      </c>
      <c r="J27" s="12">
        <f>ROUND( H27+I27, RoundDigits )</f>
        <v>0</v>
      </c>
      <c r="K27" s="12">
        <v>0</v>
      </c>
      <c r="L27" s="12">
        <f>J27+K27</f>
        <v>0</v>
      </c>
      <c r="M27" s="10"/>
      <c r="N27" s="12">
        <f>L27*M27</f>
        <v>0</v>
      </c>
      <c r="P27" s="102"/>
      <c r="S27" s="102"/>
    </row>
    <row r="28" spans="1:19" ht="16.5">
      <c r="A28" s="8" t="s">
        <v>147</v>
      </c>
      <c r="B28" s="5" t="s">
        <v>148</v>
      </c>
      <c r="C28" s="5"/>
      <c r="D28" s="12">
        <f>ROUND((-RRCOMB3!M1024+RRCOMB3!AE1059)/1000,0)</f>
        <v>50153</v>
      </c>
      <c r="E28" s="12">
        <v>0</v>
      </c>
      <c r="F28" s="12">
        <f t="shared" si="1"/>
        <v>50153</v>
      </c>
      <c r="G28" s="12">
        <f>ROUND(-'MFR G-9 TY'!I65-'MFR G-9 TY'!I68,0)</f>
        <v>-50153</v>
      </c>
      <c r="H28" s="12">
        <f t="shared" si="2"/>
        <v>0</v>
      </c>
      <c r="I28" s="12">
        <v>0</v>
      </c>
      <c r="J28" s="12">
        <f>ROUND( H28+I28, RoundDigits )</f>
        <v>0</v>
      </c>
      <c r="K28" s="12">
        <v>0</v>
      </c>
      <c r="L28" s="12">
        <f>J28+K28</f>
        <v>0</v>
      </c>
      <c r="M28" s="10"/>
      <c r="N28" s="12">
        <f>L28*M28</f>
        <v>0</v>
      </c>
      <c r="P28" s="102"/>
      <c r="S28" s="102"/>
    </row>
    <row r="29" spans="1:19" ht="16.5">
      <c r="A29" s="8" t="s">
        <v>149</v>
      </c>
      <c r="B29" s="5" t="s">
        <v>150</v>
      </c>
      <c r="C29" s="5"/>
      <c r="D29" s="12">
        <f>ROUND(-(RRCOMB3!M1029+RRCOMB3!M1036)/1000,0)</f>
        <v>8530</v>
      </c>
      <c r="E29" s="12">
        <v>0</v>
      </c>
      <c r="F29" s="12">
        <f t="shared" si="1"/>
        <v>8530</v>
      </c>
      <c r="G29" s="12">
        <f>ROUND(-'MFR G-9 TY'!I33,0)</f>
        <v>-8530</v>
      </c>
      <c r="H29" s="12">
        <f t="shared" si="2"/>
        <v>0</v>
      </c>
      <c r="I29" s="12">
        <v>0</v>
      </c>
      <c r="J29" s="12">
        <v>0</v>
      </c>
      <c r="K29" s="12">
        <v>0</v>
      </c>
      <c r="L29" s="12">
        <f xml:space="preserve"> J29+K29</f>
        <v>0</v>
      </c>
      <c r="M29" s="10"/>
      <c r="N29" s="12">
        <f>L29*M29</f>
        <v>0</v>
      </c>
      <c r="P29" s="102"/>
      <c r="S29" s="102"/>
    </row>
    <row r="30" spans="1:19" ht="16.5">
      <c r="A30" s="8" t="s">
        <v>151</v>
      </c>
      <c r="B30" s="5" t="s">
        <v>152</v>
      </c>
      <c r="C30" s="5"/>
      <c r="D30" s="12">
        <f>ROUND(-(RRCOMB3!M1070+RRCOMB3!M1071+RRCOMB3!M1039+RRCOMB3!M1022)/1000,0)</f>
        <v>30015</v>
      </c>
      <c r="E30" s="12">
        <v>0</v>
      </c>
      <c r="F30" s="12">
        <f t="shared" si="1"/>
        <v>30015</v>
      </c>
      <c r="G30" s="12">
        <f>ROUND(-'MFR G-9 TY'!I74,0)</f>
        <v>-30015</v>
      </c>
      <c r="H30" s="12">
        <f t="shared" si="2"/>
        <v>0</v>
      </c>
      <c r="I30" s="12">
        <v>0</v>
      </c>
      <c r="J30" s="12">
        <f>ROUND( H30+I30, RoundDigits )</f>
        <v>0</v>
      </c>
      <c r="K30" s="12">
        <v>0</v>
      </c>
      <c r="L30" s="12">
        <f>J30+K30</f>
        <v>0</v>
      </c>
      <c r="M30" s="10"/>
      <c r="N30" s="12">
        <f>L30*M30</f>
        <v>0</v>
      </c>
      <c r="P30" s="102"/>
      <c r="S30" s="102"/>
    </row>
    <row r="31" spans="1:19" ht="16.5">
      <c r="A31" s="8" t="s">
        <v>153</v>
      </c>
      <c r="B31" s="5" t="s">
        <v>154</v>
      </c>
      <c r="C31" s="5"/>
      <c r="D31" s="12">
        <f>ROUND(RRCOMB3!C1056/1000-SUM('MFR G-7 TY'!D27:D30),0)</f>
        <v>264554</v>
      </c>
      <c r="E31" s="12">
        <v>0</v>
      </c>
      <c r="F31" s="12">
        <f t="shared" si="1"/>
        <v>264554</v>
      </c>
      <c r="G31" s="12">
        <f>ROUND(-'MFR G-9 TY'!I155-'MFR G-9 TY'!I161-'MFR G-9 TY'!I164-'MFR G-9 TY'!I167-'MFR G-9 TY'!I191-'MFR G-9 TY'!I194-'MFR G-9 TY'!I197,0)</f>
        <v>-751</v>
      </c>
      <c r="H31" s="12">
        <f t="shared" si="2"/>
        <v>263803</v>
      </c>
      <c r="I31" s="12">
        <v>0</v>
      </c>
      <c r="J31" s="12">
        <f>ROUND( H31+I31, RoundDigits )</f>
        <v>263803</v>
      </c>
      <c r="K31" s="12">
        <f>ROUND((RRCOMB3!D1047+RRCOMB3!D1048+RRCOMB3!D1054)/1000,0)</f>
        <v>-8989</v>
      </c>
      <c r="L31" s="12">
        <f>J31+K31</f>
        <v>254814</v>
      </c>
      <c r="M31" s="10">
        <f>ROUND(N31/L31,7)</f>
        <v>0.97838820000000004</v>
      </c>
      <c r="N31" s="12">
        <v>249307</v>
      </c>
      <c r="P31" s="102"/>
      <c r="S31" s="102"/>
    </row>
    <row r="32" spans="1:19" ht="16.5">
      <c r="A32" s="8" t="s">
        <v>155</v>
      </c>
      <c r="B32" s="5" t="s">
        <v>156</v>
      </c>
      <c r="C32" s="5"/>
      <c r="D32" s="12">
        <f>ROUND((RRCOMB3!C1058+RRCOMB3!C1059)/1000,0)</f>
        <v>126678</v>
      </c>
      <c r="E32" s="12">
        <v>0</v>
      </c>
      <c r="F32" s="12">
        <f>ROUND( D32-E32, RoundDigits )</f>
        <v>126678</v>
      </c>
      <c r="G32" s="12">
        <f>ROUND(-'MFR G-9 TY'!I59-'MFR G-9 TY'!I77-'MFR G-9 TY'!I158,0)</f>
        <v>-35973</v>
      </c>
      <c r="H32" s="12">
        <f t="shared" si="2"/>
        <v>90705</v>
      </c>
      <c r="I32" s="12">
        <v>0</v>
      </c>
      <c r="J32" s="12">
        <f>ROUND( H32+I32, RoundDigits )</f>
        <v>90705</v>
      </c>
      <c r="K32" s="12">
        <f>ROUND(RRCOMB3!D1058/1000,0)</f>
        <v>-5484</v>
      </c>
      <c r="L32" s="12">
        <f>J32+K32</f>
        <v>85221</v>
      </c>
      <c r="M32" s="10">
        <v>0.97531690000000004</v>
      </c>
      <c r="N32" s="12">
        <f>ROUND(L32*M32,0)</f>
        <v>83117</v>
      </c>
      <c r="P32" s="102"/>
      <c r="S32" s="102"/>
    </row>
    <row r="33" spans="1:19" ht="16.5">
      <c r="A33" s="8" t="s">
        <v>157</v>
      </c>
      <c r="B33" s="5" t="s">
        <v>158</v>
      </c>
      <c r="C33" s="5"/>
      <c r="D33" s="12">
        <f>ROUND(RRCOMB3!C1060/1000,0)</f>
        <v>-1495</v>
      </c>
      <c r="E33" s="12">
        <v>0</v>
      </c>
      <c r="F33" s="12">
        <f t="shared" si="1"/>
        <v>-1495</v>
      </c>
      <c r="G33" s="12">
        <v>0</v>
      </c>
      <c r="H33" s="12">
        <f t="shared" si="2"/>
        <v>-1495</v>
      </c>
      <c r="I33" s="12">
        <v>0</v>
      </c>
      <c r="J33" s="12">
        <f>ROUND( H33+I33, RoundDigits )</f>
        <v>-1495</v>
      </c>
      <c r="K33" s="12">
        <f>ROUND(RRCOMB3!D1060/1000,0)</f>
        <v>332</v>
      </c>
      <c r="L33" s="12">
        <f>J33+K33</f>
        <v>-1163</v>
      </c>
      <c r="M33" s="10">
        <v>0.97531690000000004</v>
      </c>
      <c r="N33" s="12">
        <f>ROUND(L33*M33,0)</f>
        <v>-1134</v>
      </c>
      <c r="P33" s="102"/>
      <c r="S33" s="102"/>
    </row>
    <row r="34" spans="1:19" ht="16.5">
      <c r="A34" s="8" t="s">
        <v>159</v>
      </c>
      <c r="B34" s="5" t="s">
        <v>160</v>
      </c>
      <c r="C34" s="5"/>
      <c r="D34" s="12">
        <f>ROUND((RRCOMB3!C1061+RRCOMB3!C1062)/1000,0)</f>
        <v>101440</v>
      </c>
      <c r="E34" s="12">
        <v>0</v>
      </c>
      <c r="F34" s="12">
        <f t="shared" si="1"/>
        <v>101440</v>
      </c>
      <c r="G34" s="12">
        <f>ROUND(-'MFR G-9 TY'!I106-'MFR G-9 TY'!I109-'MFR G-9 TY'!I112-'MFR G-9 TY'!I115-'MFR G-9 TY'!I118-'MFR G-9 TY'!I121-'MFR G-9 TY'!I147-'MFR G-9 TY'!I150-'MFR G-9 TY'!I152,0)</f>
        <v>-73807</v>
      </c>
      <c r="H34" s="12">
        <f t="shared" si="2"/>
        <v>27633</v>
      </c>
      <c r="I34" s="12">
        <v>0</v>
      </c>
      <c r="J34" s="12">
        <f>ROUND( H34+I34, RoundDigits )</f>
        <v>27633</v>
      </c>
      <c r="K34" s="12">
        <f>ROUND(RRCOMB3!D1061/1000,0)</f>
        <v>-1081</v>
      </c>
      <c r="L34" s="12">
        <f>J34+K34</f>
        <v>26552</v>
      </c>
      <c r="M34" s="10">
        <v>0.97579289999999996</v>
      </c>
      <c r="N34" s="12">
        <f>ROUND(L34*M34,0)</f>
        <v>25909</v>
      </c>
      <c r="P34" s="102"/>
      <c r="S34" s="102"/>
    </row>
    <row r="35" spans="1:19" ht="16.5">
      <c r="A35" s="8" t="s">
        <v>161</v>
      </c>
      <c r="B35" s="5" t="s">
        <v>162</v>
      </c>
      <c r="C35" s="5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2"/>
      <c r="P35" s="102"/>
      <c r="S35" s="102"/>
    </row>
    <row r="36" spans="1:19" ht="16.5">
      <c r="A36" s="83" t="s">
        <v>163</v>
      </c>
      <c r="B36" s="5" t="s">
        <v>164</v>
      </c>
      <c r="C36" s="5"/>
      <c r="D36" s="12">
        <v>-41851</v>
      </c>
      <c r="E36" s="12">
        <v>0</v>
      </c>
      <c r="F36" s="12">
        <f>ROUND( D36-E36, RoundDigits )</f>
        <v>-41851</v>
      </c>
      <c r="G36" s="12">
        <f>ROUND((G22-SUM(G27:G34))*0.33075-('MFR G-9 TY'!I203*0.33075/0.38575),0)</f>
        <v>-24741</v>
      </c>
      <c r="H36" s="12">
        <f>ROUND( F36+G36, RoundDigits )</f>
        <v>-66592</v>
      </c>
      <c r="I36" s="12">
        <v>0</v>
      </c>
      <c r="J36" s="12">
        <f>ROUND( H36+I36, RoundDigits )</f>
        <v>-66592</v>
      </c>
      <c r="K36" s="12">
        <f>ROUND(RRCOMB3!D1063/1000*(0.33075/0.38575)*(D36/(D36+D39)),0)</f>
        <v>4008</v>
      </c>
      <c r="L36" s="12">
        <f>J36+K36</f>
        <v>-62584</v>
      </c>
      <c r="M36" s="10">
        <v>0.91973170000000004</v>
      </c>
      <c r="N36" s="12">
        <f>ROUND(L36*M36,0)</f>
        <v>-57560</v>
      </c>
      <c r="P36" s="102"/>
      <c r="S36" s="102"/>
    </row>
    <row r="37" spans="1:19" ht="16.5">
      <c r="A37" s="83" t="s">
        <v>165</v>
      </c>
      <c r="B37" s="5" t="s">
        <v>166</v>
      </c>
      <c r="C37" s="5"/>
      <c r="D37" s="12">
        <v>3002</v>
      </c>
      <c r="E37" s="12">
        <v>0</v>
      </c>
      <c r="F37" s="12">
        <f>ROUND( D37-E37, RoundDigits )</f>
        <v>3002</v>
      </c>
      <c r="G37" s="12">
        <f>ROUND((G22-SUM(G27:G34))*0.055-('MFR G-9 TY'!I203*0.055/0.38575),0)</f>
        <v>-4114</v>
      </c>
      <c r="H37" s="12">
        <f>ROUND( F37+G37, RoundDigits )</f>
        <v>-1112</v>
      </c>
      <c r="I37" s="12">
        <v>0</v>
      </c>
      <c r="J37" s="12">
        <f>ROUND( H37+I37, RoundDigits )</f>
        <v>-1112</v>
      </c>
      <c r="K37" s="12">
        <f>ROUND(RRCOMB3!D1063/1000*(0.055/0.38575)*(D37/(D37+D40)),0)</f>
        <v>-343</v>
      </c>
      <c r="L37" s="12">
        <f>J37+K37</f>
        <v>-1455</v>
      </c>
      <c r="M37" s="10">
        <v>0.91973170000000004</v>
      </c>
      <c r="N37" s="12">
        <f>ROUND(L37*M37,0)</f>
        <v>-1338</v>
      </c>
      <c r="P37" s="102"/>
      <c r="S37" s="102"/>
    </row>
    <row r="38" spans="1:19" ht="16.5">
      <c r="A38" s="83" t="s">
        <v>167</v>
      </c>
      <c r="B38" s="5" t="s">
        <v>168</v>
      </c>
      <c r="C38" s="5"/>
      <c r="D38" s="12"/>
      <c r="E38" s="12"/>
      <c r="F38" s="12"/>
      <c r="G38" s="12"/>
      <c r="H38" s="12"/>
      <c r="I38" s="12"/>
      <c r="J38" s="12"/>
      <c r="K38" s="12"/>
      <c r="L38" s="12"/>
      <c r="M38" s="10"/>
      <c r="N38" s="12"/>
      <c r="P38" s="102"/>
      <c r="S38" s="102"/>
    </row>
    <row r="39" spans="1:19" ht="16.5">
      <c r="A39" s="83" t="s">
        <v>169</v>
      </c>
      <c r="B39" s="5" t="s">
        <v>164</v>
      </c>
      <c r="C39" s="5"/>
      <c r="D39" s="12">
        <v>98465</v>
      </c>
      <c r="E39" s="12">
        <v>0</v>
      </c>
      <c r="F39" s="12">
        <f>ROUND( D39-E39, RoundDigits )</f>
        <v>98465</v>
      </c>
      <c r="G39" s="12">
        <v>0</v>
      </c>
      <c r="H39" s="12">
        <f>ROUND( F39+G39, RoundDigits )</f>
        <v>98465</v>
      </c>
      <c r="I39" s="12">
        <v>0</v>
      </c>
      <c r="J39" s="12">
        <f>ROUND( H39+I39, RoundDigits )</f>
        <v>98465</v>
      </c>
      <c r="K39" s="12">
        <f>ROUND(RRCOMB3!D1063/1000*(0.33075/0.38575)*(D39/(D36+D39)),0)</f>
        <v>-9430</v>
      </c>
      <c r="L39" s="12">
        <f>J39+K39</f>
        <v>89035</v>
      </c>
      <c r="M39" s="10">
        <v>0.91973170000000004</v>
      </c>
      <c r="N39" s="12">
        <f>ROUND(L39*M39,0)</f>
        <v>81888</v>
      </c>
      <c r="P39" s="102"/>
      <c r="S39" s="102"/>
    </row>
    <row r="40" spans="1:19" ht="16.5">
      <c r="A40" s="83" t="s">
        <v>170</v>
      </c>
      <c r="B40" s="5" t="s">
        <v>166</v>
      </c>
      <c r="C40" s="5"/>
      <c r="D40" s="12">
        <v>4899</v>
      </c>
      <c r="E40" s="12">
        <v>0</v>
      </c>
      <c r="F40" s="15">
        <f>ROUND( D40-E40, RoundDigits )</f>
        <v>4899</v>
      </c>
      <c r="G40" s="12">
        <v>0</v>
      </c>
      <c r="H40" s="12">
        <f>ROUND( F40+G40, RoundDigits )</f>
        <v>4899</v>
      </c>
      <c r="I40" s="12">
        <v>0</v>
      </c>
      <c r="J40" s="12">
        <f>ROUND( H40+I40, RoundDigits )</f>
        <v>4899</v>
      </c>
      <c r="K40" s="12">
        <f>ROUND(RRCOMB3!D1063/1000*(0.055/0.38575)*(D40/(D37+D40)),0)</f>
        <v>-559</v>
      </c>
      <c r="L40" s="12">
        <f>J40+K40</f>
        <v>4340</v>
      </c>
      <c r="M40" s="10">
        <v>0.91973170000000004</v>
      </c>
      <c r="N40" s="12">
        <f>ROUND(L40*M40,0)</f>
        <v>3992</v>
      </c>
      <c r="P40" s="102"/>
      <c r="S40" s="102"/>
    </row>
    <row r="41" spans="1:19" ht="16.5">
      <c r="A41" s="8"/>
      <c r="B41" s="5"/>
      <c r="C41" s="5"/>
      <c r="D41" s="13"/>
      <c r="E41" s="13"/>
      <c r="F41" s="16"/>
      <c r="G41" s="13"/>
      <c r="H41" s="13"/>
      <c r="I41" s="13"/>
      <c r="J41" s="13"/>
      <c r="K41" s="13"/>
      <c r="L41" s="13"/>
      <c r="M41" s="10"/>
      <c r="N41" s="13"/>
      <c r="P41" s="102"/>
      <c r="S41" s="102"/>
    </row>
    <row r="42" spans="1:19" ht="16.5">
      <c r="A42" s="83" t="s">
        <v>171</v>
      </c>
      <c r="B42" s="5" t="s">
        <v>172</v>
      </c>
      <c r="C42" s="5"/>
      <c r="D42" s="14">
        <f t="shared" ref="D42:L42" si="3">SUM(D27:D40)</f>
        <v>1396362</v>
      </c>
      <c r="E42" s="14">
        <f t="shared" si="3"/>
        <v>0</v>
      </c>
      <c r="F42" s="14">
        <f t="shared" si="3"/>
        <v>1396362</v>
      </c>
      <c r="G42" s="14">
        <f t="shared" si="3"/>
        <v>-980056</v>
      </c>
      <c r="H42" s="14">
        <f t="shared" si="3"/>
        <v>416306</v>
      </c>
      <c r="I42" s="14">
        <f t="shared" si="3"/>
        <v>0</v>
      </c>
      <c r="J42" s="14">
        <f t="shared" si="3"/>
        <v>416306</v>
      </c>
      <c r="K42" s="14">
        <f t="shared" si="3"/>
        <v>-21546</v>
      </c>
      <c r="L42" s="14">
        <f t="shared" si="3"/>
        <v>394760</v>
      </c>
      <c r="M42" s="10">
        <f>ROUND(N42/L42,7)</f>
        <v>0.97320139999999999</v>
      </c>
      <c r="N42" s="14">
        <f>SUM(N27:N40)</f>
        <v>384181</v>
      </c>
      <c r="P42" s="102"/>
      <c r="S42" s="102"/>
    </row>
    <row r="43" spans="1:19" ht="16.5">
      <c r="A43" s="8"/>
      <c r="B43" s="5"/>
      <c r="C43" s="5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2"/>
      <c r="P43" s="435" t="e">
        <f>G42+I42-'[5]MFR C-2 TY'!J39</f>
        <v>#REF!</v>
      </c>
      <c r="S43" s="102"/>
    </row>
    <row r="44" spans="1:19" ht="16.5">
      <c r="A44" s="8"/>
      <c r="B44" s="5"/>
      <c r="C44" s="5"/>
      <c r="D44" s="12"/>
      <c r="E44" s="12"/>
      <c r="F44" s="12"/>
      <c r="G44" s="12"/>
      <c r="H44" s="12"/>
      <c r="I44" s="12"/>
      <c r="J44" s="12"/>
      <c r="K44" s="12"/>
      <c r="L44" s="12"/>
      <c r="M44" s="10"/>
      <c r="N44" s="12"/>
      <c r="P44" s="102"/>
      <c r="S44" s="102"/>
    </row>
    <row r="45" spans="1:19" ht="17.25" thickBot="1">
      <c r="A45" s="83" t="s">
        <v>173</v>
      </c>
      <c r="B45" s="5" t="s">
        <v>174</v>
      </c>
      <c r="C45" s="5"/>
      <c r="D45" s="17">
        <f t="shared" ref="D45:L45" si="4">D22-D42</f>
        <v>161900</v>
      </c>
      <c r="E45" s="17">
        <f t="shared" si="4"/>
        <v>0</v>
      </c>
      <c r="F45" s="17">
        <f t="shared" si="4"/>
        <v>161900</v>
      </c>
      <c r="G45" s="17">
        <f t="shared" si="4"/>
        <v>-62784</v>
      </c>
      <c r="H45" s="17">
        <f t="shared" si="4"/>
        <v>99116</v>
      </c>
      <c r="I45" s="17">
        <f t="shared" si="4"/>
        <v>0</v>
      </c>
      <c r="J45" s="17">
        <f t="shared" si="4"/>
        <v>99116</v>
      </c>
      <c r="K45" s="17">
        <f t="shared" si="4"/>
        <v>-19155</v>
      </c>
      <c r="L45" s="17">
        <f t="shared" si="4"/>
        <v>79961</v>
      </c>
      <c r="M45" s="10">
        <f>ROUND(N45/L45,7)</f>
        <v>0.95057590000000003</v>
      </c>
      <c r="N45" s="17">
        <f>N22-N42</f>
        <v>76009</v>
      </c>
      <c r="P45" s="102"/>
      <c r="S45" s="102"/>
    </row>
    <row r="46" spans="1:19" ht="17.25" thickTop="1">
      <c r="A46" s="8"/>
      <c r="B46" s="5"/>
      <c r="C46" s="5"/>
      <c r="D46" s="12"/>
      <c r="E46" s="12"/>
      <c r="F46" s="12"/>
      <c r="G46" s="12"/>
      <c r="H46" s="12"/>
      <c r="I46" s="12"/>
      <c r="J46" s="12"/>
      <c r="K46" s="12"/>
      <c r="L46" s="12"/>
      <c r="M46" s="10"/>
      <c r="N46" s="12"/>
      <c r="P46" s="435"/>
      <c r="Q46" s="435"/>
      <c r="R46" s="435"/>
      <c r="S46" s="102"/>
    </row>
    <row r="47" spans="1:19" ht="16.5">
      <c r="A47" s="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/>
      <c r="N47" s="12"/>
    </row>
    <row r="48" spans="1:19" ht="16.5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0"/>
      <c r="N48" s="12"/>
    </row>
    <row r="49" spans="1:14" ht="16.5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12"/>
    </row>
    <row r="50" spans="1:14">
      <c r="A50" s="396"/>
      <c r="B50" s="524"/>
    </row>
    <row r="51" spans="1:14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6.5">
      <c r="A52" s="5" t="s">
        <v>2961</v>
      </c>
      <c r="B52" s="5"/>
      <c r="C52" s="5"/>
      <c r="D52" s="5"/>
      <c r="E52" s="5"/>
      <c r="F52" s="5"/>
      <c r="G52" s="5"/>
      <c r="H52" s="5"/>
      <c r="I52" s="5"/>
      <c r="J52" s="5"/>
      <c r="K52" s="5"/>
      <c r="M52" s="5" t="s">
        <v>108</v>
      </c>
      <c r="N52" s="5"/>
    </row>
    <row r="53" spans="1:14">
      <c r="C53" s="442"/>
    </row>
  </sheetData>
  <phoneticPr fontId="2" type="noConversion"/>
  <pageMargins left="0.75" right="0.5" top="1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M101"/>
  <sheetViews>
    <sheetView zoomScale="70" zoomScaleNormal="100" workbookViewId="0">
      <selection activeCell="E41" sqref="E41"/>
    </sheetView>
  </sheetViews>
  <sheetFormatPr defaultRowHeight="12.75"/>
  <cols>
    <col min="1" max="1" width="14.28515625" style="214" bestFit="1" customWidth="1"/>
    <col min="2" max="3" width="15.140625" style="214" customWidth="1"/>
    <col min="4" max="4" width="14.5703125" style="214" customWidth="1"/>
    <col min="5" max="5" width="13.42578125" style="214" customWidth="1"/>
    <col min="6" max="6" width="13.140625" style="214" customWidth="1"/>
    <col min="7" max="7" width="9.140625" style="214"/>
    <col min="8" max="8" width="15" style="214" bestFit="1" customWidth="1"/>
    <col min="9" max="12" width="9.140625" style="214"/>
    <col min="13" max="13" width="13" style="214" customWidth="1"/>
    <col min="14" max="20" width="9.140625" style="214"/>
    <col min="21" max="21" width="17.28515625" style="214" customWidth="1"/>
    <col min="22" max="16384" width="9.140625" style="214"/>
  </cols>
  <sheetData>
    <row r="1" spans="1:6" ht="16.5">
      <c r="E1" s="12"/>
    </row>
    <row r="2" spans="1:6" ht="16.5">
      <c r="D2" s="136" t="s">
        <v>1268</v>
      </c>
      <c r="E2" s="12"/>
    </row>
    <row r="3" spans="1:6" ht="16.5">
      <c r="D3" s="136" t="s">
        <v>1247</v>
      </c>
      <c r="E3" s="12"/>
    </row>
    <row r="4" spans="1:6" ht="16.5">
      <c r="E4" s="12"/>
    </row>
    <row r="7" spans="1:6">
      <c r="A7" s="137" t="s">
        <v>219</v>
      </c>
      <c r="B7" s="124"/>
      <c r="C7" s="124"/>
      <c r="D7" s="124"/>
      <c r="E7" s="124"/>
      <c r="F7" s="124"/>
    </row>
    <row r="8" spans="1:6">
      <c r="A8" s="138" t="s">
        <v>1248</v>
      </c>
      <c r="B8" s="124"/>
      <c r="C8" s="124"/>
      <c r="D8" s="124"/>
      <c r="E8" s="124"/>
      <c r="F8" s="124"/>
    </row>
    <row r="9" spans="1:6">
      <c r="A9" s="513" t="s">
        <v>221</v>
      </c>
      <c r="B9" s="124"/>
      <c r="C9" s="124"/>
      <c r="D9" s="124"/>
      <c r="E9" s="124"/>
      <c r="F9" s="124"/>
    </row>
    <row r="10" spans="1:6">
      <c r="A10" s="138" t="s">
        <v>1249</v>
      </c>
      <c r="B10" s="124"/>
      <c r="C10" s="124"/>
      <c r="D10" s="124"/>
      <c r="E10" s="124"/>
      <c r="F10" s="124"/>
    </row>
    <row r="11" spans="1:6">
      <c r="A11" s="58"/>
      <c r="B11" s="58"/>
      <c r="C11" s="58"/>
      <c r="D11" s="58"/>
      <c r="E11" s="58"/>
      <c r="F11" s="58"/>
    </row>
    <row r="12" spans="1:6">
      <c r="A12" s="139" t="s">
        <v>1250</v>
      </c>
      <c r="B12" s="514"/>
      <c r="C12" s="514"/>
      <c r="D12" s="514"/>
      <c r="E12" s="514"/>
      <c r="F12" s="514"/>
    </row>
    <row r="13" spans="1:6" ht="13.5" thickBot="1">
      <c r="A13" s="58"/>
      <c r="B13" s="58"/>
      <c r="C13" s="58"/>
      <c r="D13" s="58"/>
      <c r="E13" s="58"/>
      <c r="F13" s="58"/>
    </row>
    <row r="14" spans="1:6" ht="14.25" thickTop="1" thickBot="1">
      <c r="A14" s="58"/>
      <c r="B14" s="58"/>
      <c r="C14" s="58"/>
      <c r="D14" s="122" t="s">
        <v>111</v>
      </c>
      <c r="E14" s="122" t="s">
        <v>1251</v>
      </c>
      <c r="F14" s="122" t="s">
        <v>1989</v>
      </c>
    </row>
    <row r="15" spans="1:6" ht="13.5" thickTop="1">
      <c r="A15" s="58"/>
      <c r="B15" s="58"/>
      <c r="C15" s="58"/>
      <c r="D15" s="58"/>
      <c r="E15" s="58"/>
      <c r="F15" s="58"/>
    </row>
    <row r="16" spans="1:6">
      <c r="A16" s="123" t="s">
        <v>1252</v>
      </c>
      <c r="B16" s="124"/>
      <c r="C16" s="124"/>
      <c r="D16" s="58"/>
      <c r="E16" s="58"/>
      <c r="F16" s="58"/>
    </row>
    <row r="17" spans="1:11">
      <c r="A17" s="58"/>
      <c r="B17" s="58"/>
      <c r="C17" s="58"/>
      <c r="D17" s="58"/>
      <c r="E17" s="58"/>
      <c r="F17" s="58"/>
      <c r="H17" s="515"/>
    </row>
    <row r="18" spans="1:11">
      <c r="A18" s="58" t="s">
        <v>1253</v>
      </c>
      <c r="B18" s="58"/>
      <c r="C18" s="58"/>
      <c r="D18" s="60">
        <f>789808870/1000</f>
        <v>789808.87</v>
      </c>
      <c r="E18" s="125">
        <v>4.5095165999999999E-2</v>
      </c>
      <c r="F18" s="60">
        <f>ROUND( D18*E18, RoundDigits )</f>
        <v>35617</v>
      </c>
      <c r="H18" s="515"/>
    </row>
    <row r="19" spans="1:11">
      <c r="A19" s="58" t="s">
        <v>1254</v>
      </c>
      <c r="B19" s="58"/>
      <c r="C19" s="58"/>
      <c r="D19" s="60">
        <f>30332042/1000</f>
        <v>30332.042000000001</v>
      </c>
      <c r="E19" s="125">
        <v>3.0999999999999999E-3</v>
      </c>
      <c r="F19" s="60">
        <f>ROUND( D19*E19, RoundDigits )</f>
        <v>94</v>
      </c>
      <c r="H19" s="515"/>
    </row>
    <row r="20" spans="1:11">
      <c r="A20" s="58" t="s">
        <v>2532</v>
      </c>
      <c r="B20" s="58"/>
      <c r="C20" s="58"/>
      <c r="D20" s="60">
        <f>23248789/1000</f>
        <v>23248.789000000001</v>
      </c>
      <c r="E20" s="126">
        <v>6.3E-2</v>
      </c>
      <c r="F20" s="60">
        <f>ROUND( D20*E20, RoundDigits )</f>
        <v>1465</v>
      </c>
      <c r="H20" s="515"/>
    </row>
    <row r="21" spans="1:11">
      <c r="A21" s="58" t="s">
        <v>1255</v>
      </c>
      <c r="B21" s="58"/>
      <c r="C21" s="58"/>
      <c r="D21" s="60">
        <f>2841524/1000</f>
        <v>2841.5239999999999</v>
      </c>
      <c r="E21" s="126">
        <v>4.5095165999999999E-2</v>
      </c>
      <c r="F21" s="127">
        <f>ROUND( D21*E21, RoundDigits )</f>
        <v>128</v>
      </c>
      <c r="H21" s="515"/>
    </row>
    <row r="22" spans="1:11">
      <c r="A22" s="58"/>
      <c r="B22" s="58"/>
      <c r="C22" s="58"/>
      <c r="D22" s="58"/>
      <c r="E22" s="58"/>
      <c r="F22" s="60"/>
      <c r="H22" s="515"/>
    </row>
    <row r="23" spans="1:11">
      <c r="A23" s="58" t="s">
        <v>1256</v>
      </c>
      <c r="B23" s="58"/>
      <c r="C23" s="58"/>
      <c r="D23" s="58"/>
      <c r="E23" s="58"/>
      <c r="F23" s="60">
        <f>SUM(F18:F22)</f>
        <v>37304</v>
      </c>
      <c r="H23" s="516"/>
    </row>
    <row r="24" spans="1:11">
      <c r="A24" s="58"/>
      <c r="B24" s="58"/>
      <c r="C24" s="58"/>
      <c r="D24" s="58"/>
      <c r="E24" s="58"/>
      <c r="F24" s="60"/>
      <c r="H24" s="515"/>
    </row>
    <row r="25" spans="1:11">
      <c r="A25" s="58" t="s">
        <v>1257</v>
      </c>
      <c r="B25" s="58"/>
      <c r="C25" s="58"/>
      <c r="D25" s="58"/>
      <c r="E25" s="58"/>
      <c r="F25" s="128">
        <f>E45</f>
        <v>54141.155979999996</v>
      </c>
      <c r="H25" s="515"/>
      <c r="J25" s="377"/>
      <c r="K25" s="377"/>
    </row>
    <row r="26" spans="1:11">
      <c r="A26" s="58"/>
      <c r="B26" s="58"/>
      <c r="C26" s="58"/>
      <c r="D26" s="58"/>
      <c r="E26" s="58"/>
      <c r="F26" s="60"/>
      <c r="H26" s="515"/>
      <c r="J26" s="377"/>
      <c r="K26" s="377"/>
    </row>
    <row r="27" spans="1:11" ht="13.5" thickBot="1">
      <c r="A27" s="58" t="s">
        <v>1258</v>
      </c>
      <c r="B27" s="58"/>
      <c r="C27" s="58"/>
      <c r="D27" s="58"/>
      <c r="E27" s="58"/>
      <c r="F27" s="129">
        <f>F23-F25</f>
        <v>-16837.155979999996</v>
      </c>
      <c r="H27" s="515"/>
      <c r="J27" s="377"/>
      <c r="K27" s="377"/>
    </row>
    <row r="28" spans="1:11" ht="13.5" thickTop="1">
      <c r="A28" s="58"/>
      <c r="B28" s="58"/>
      <c r="C28" s="58"/>
      <c r="D28" s="58"/>
      <c r="E28" s="58"/>
      <c r="F28" s="60"/>
      <c r="H28" s="515"/>
      <c r="J28" s="377"/>
      <c r="K28" s="377"/>
    </row>
    <row r="29" spans="1:11">
      <c r="A29" s="58"/>
      <c r="B29" s="58"/>
      <c r="C29" s="58"/>
      <c r="D29" s="58"/>
      <c r="E29" s="58"/>
      <c r="F29" s="60"/>
      <c r="H29" s="515"/>
    </row>
    <row r="30" spans="1:11">
      <c r="A30" s="58" t="s">
        <v>1260</v>
      </c>
      <c r="B30" s="58"/>
      <c r="C30" s="58"/>
      <c r="D30" s="58"/>
      <c r="E30" s="58"/>
      <c r="F30" s="60">
        <f>ROUND( -F27*0.33075, RoundDigits )</f>
        <v>5569</v>
      </c>
      <c r="H30" s="515"/>
    </row>
    <row r="31" spans="1:11">
      <c r="A31" s="58" t="s">
        <v>1261</v>
      </c>
      <c r="B31" s="58"/>
      <c r="C31" s="58"/>
      <c r="D31" s="58"/>
      <c r="E31" s="58"/>
      <c r="F31" s="128">
        <f>ROUND( -F27*0.055, RoundDigits )</f>
        <v>926</v>
      </c>
      <c r="H31" s="515"/>
      <c r="J31" s="377"/>
      <c r="K31" s="377"/>
    </row>
    <row r="32" spans="1:11">
      <c r="A32" s="58"/>
      <c r="B32" s="58"/>
      <c r="C32" s="58"/>
      <c r="D32" s="58"/>
      <c r="E32" s="58"/>
      <c r="F32" s="60"/>
      <c r="H32" s="515"/>
      <c r="J32" s="377"/>
      <c r="K32" s="377"/>
    </row>
    <row r="33" spans="1:13" ht="13.5" thickBot="1">
      <c r="A33" s="58" t="s">
        <v>1262</v>
      </c>
      <c r="B33" s="58"/>
      <c r="C33" s="58"/>
      <c r="D33" s="58"/>
      <c r="E33" s="58" t="s">
        <v>1263</v>
      </c>
      <c r="F33" s="129">
        <f>F30+F31</f>
        <v>6495</v>
      </c>
      <c r="H33" s="140"/>
      <c r="J33" s="377"/>
      <c r="K33" s="130"/>
    </row>
    <row r="34" spans="1:13" ht="13.5" thickTop="1">
      <c r="A34" s="58"/>
      <c r="B34" s="58"/>
      <c r="C34" s="58"/>
      <c r="D34" s="58"/>
      <c r="E34" s="58"/>
      <c r="F34" s="60"/>
      <c r="H34" s="515"/>
      <c r="J34" s="377"/>
      <c r="K34" s="377"/>
    </row>
    <row r="35" spans="1:13">
      <c r="A35" s="58"/>
      <c r="B35" s="58"/>
      <c r="C35" s="58"/>
      <c r="D35" s="58"/>
      <c r="E35" s="58"/>
      <c r="F35" s="60"/>
      <c r="H35" s="515"/>
      <c r="J35" s="377"/>
      <c r="K35" s="377"/>
    </row>
    <row r="36" spans="1:13">
      <c r="A36" s="123" t="s">
        <v>88</v>
      </c>
      <c r="B36" s="124"/>
      <c r="C36" s="124"/>
      <c r="D36" s="58"/>
      <c r="E36" s="58"/>
      <c r="F36" s="60"/>
      <c r="H36" s="515"/>
      <c r="J36" s="377"/>
      <c r="K36" s="377"/>
    </row>
    <row r="37" spans="1:13">
      <c r="A37" s="58"/>
      <c r="B37" s="58"/>
      <c r="C37" s="58"/>
      <c r="D37" s="58"/>
      <c r="E37" s="58"/>
      <c r="F37" s="60"/>
      <c r="H37" s="515"/>
    </row>
    <row r="38" spans="1:13">
      <c r="A38" s="58" t="s">
        <v>1253</v>
      </c>
      <c r="B38" s="58"/>
      <c r="C38" s="517" t="s">
        <v>1266</v>
      </c>
      <c r="D38" s="60">
        <v>662247</v>
      </c>
      <c r="E38" s="126">
        <v>4.4816358299999998E-2</v>
      </c>
      <c r="F38" s="130">
        <f>ROUND(D38*E38,0)</f>
        <v>29679</v>
      </c>
      <c r="H38" s="515"/>
    </row>
    <row r="39" spans="1:13">
      <c r="A39" s="58" t="s">
        <v>1254</v>
      </c>
      <c r="B39" s="58"/>
      <c r="C39" s="517" t="s">
        <v>1266</v>
      </c>
      <c r="D39" s="60">
        <v>16530</v>
      </c>
      <c r="E39" s="126">
        <v>3.0999999999999999E-3</v>
      </c>
      <c r="F39" s="130">
        <f>ROUND(D39*E39,0)</f>
        <v>51</v>
      </c>
      <c r="H39" s="515"/>
    </row>
    <row r="40" spans="1:13">
      <c r="A40" s="58" t="s">
        <v>2532</v>
      </c>
      <c r="B40" s="58"/>
      <c r="C40" s="517" t="s">
        <v>1266</v>
      </c>
      <c r="D40" s="60">
        <v>22178</v>
      </c>
      <c r="E40" s="126">
        <v>6.3E-2</v>
      </c>
      <c r="F40" s="130">
        <f>ROUND(D40*E40,0)</f>
        <v>1397</v>
      </c>
      <c r="H40" s="515"/>
    </row>
    <row r="41" spans="1:13">
      <c r="A41" s="58" t="s">
        <v>1255</v>
      </c>
      <c r="B41" s="58"/>
      <c r="C41" s="517" t="s">
        <v>1267</v>
      </c>
      <c r="D41" s="60">
        <f>2133528/1000</f>
        <v>2133.5279999999998</v>
      </c>
      <c r="E41" s="126">
        <v>4.4816358299999998E-2</v>
      </c>
      <c r="F41" s="127">
        <f>ROUND(D41*E41,0)</f>
        <v>96</v>
      </c>
      <c r="H41" s="515"/>
    </row>
    <row r="42" spans="1:13">
      <c r="A42" s="58"/>
      <c r="B42" s="58"/>
      <c r="C42" s="58"/>
      <c r="D42" s="126"/>
      <c r="E42" s="58"/>
      <c r="F42" s="60"/>
      <c r="H42" s="515"/>
    </row>
    <row r="43" spans="1:13">
      <c r="A43" s="58" t="s">
        <v>1256</v>
      </c>
      <c r="B43" s="58"/>
      <c r="C43" s="58"/>
      <c r="D43" s="58"/>
      <c r="E43" s="58"/>
      <c r="F43" s="60">
        <f>SUM(F38:F42)</f>
        <v>31223</v>
      </c>
      <c r="H43" s="515"/>
    </row>
    <row r="44" spans="1:13">
      <c r="A44" s="58"/>
      <c r="B44" s="58"/>
      <c r="C44" s="58"/>
      <c r="D44" s="58"/>
      <c r="E44" s="58"/>
      <c r="F44" s="60"/>
      <c r="H44" s="515"/>
    </row>
    <row r="45" spans="1:13">
      <c r="A45" s="58" t="s">
        <v>1257</v>
      </c>
      <c r="B45" s="58"/>
      <c r="C45" s="58"/>
      <c r="D45" s="517" t="s">
        <v>1267</v>
      </c>
      <c r="E45" s="60">
        <f>54141155.98/1000</f>
        <v>54141.155979999996</v>
      </c>
      <c r="F45" s="60"/>
      <c r="H45" s="515"/>
    </row>
    <row r="46" spans="1:13">
      <c r="A46" s="58" t="s">
        <v>1264</v>
      </c>
      <c r="B46" s="58"/>
      <c r="C46" s="58"/>
      <c r="D46" s="517" t="s">
        <v>1267</v>
      </c>
      <c r="E46" s="128">
        <f>5926529/1000</f>
        <v>5926.5290000000005</v>
      </c>
      <c r="F46" s="60"/>
      <c r="H46" s="515"/>
    </row>
    <row r="47" spans="1:13">
      <c r="A47" s="58"/>
      <c r="B47" s="58"/>
      <c r="C47" s="58"/>
      <c r="D47" s="58"/>
      <c r="E47" s="60"/>
      <c r="F47" s="60"/>
      <c r="H47" s="515"/>
      <c r="I47" s="214" t="s">
        <v>1259</v>
      </c>
      <c r="L47" s="517" t="s">
        <v>1266</v>
      </c>
      <c r="M47" s="386">
        <f>1584137486.77298/1000-173</f>
        <v>1583964.4867729801</v>
      </c>
    </row>
    <row r="48" spans="1:13">
      <c r="A48" s="58"/>
      <c r="B48" s="58"/>
      <c r="C48" s="58"/>
      <c r="D48" s="58"/>
      <c r="E48" s="60">
        <f>E45-E46</f>
        <v>48214.626979999994</v>
      </c>
      <c r="F48" s="60"/>
      <c r="H48" s="515"/>
      <c r="I48" s="214" t="s">
        <v>1211</v>
      </c>
      <c r="L48" s="517" t="s">
        <v>1266</v>
      </c>
      <c r="M48" s="386">
        <f>1544355664.20076/1000-171</f>
        <v>1544184.66420076</v>
      </c>
    </row>
    <row r="49" spans="1:8">
      <c r="A49" s="58" t="s">
        <v>1265</v>
      </c>
      <c r="B49" s="58"/>
      <c r="C49" s="58"/>
      <c r="D49" s="58"/>
      <c r="E49" s="518">
        <f>M48/M47</f>
        <v>0.9748859125918512</v>
      </c>
      <c r="F49" s="128">
        <f>ROUND( E48*E49, RoundDigits )</f>
        <v>47004</v>
      </c>
      <c r="H49" s="515"/>
    </row>
    <row r="50" spans="1:8">
      <c r="A50" s="58"/>
      <c r="B50" s="58"/>
      <c r="C50" s="58"/>
      <c r="D50" s="58"/>
      <c r="E50" s="58"/>
      <c r="F50" s="60"/>
      <c r="H50" s="515"/>
    </row>
    <row r="51" spans="1:8" ht="13.5" thickBot="1">
      <c r="A51" s="58" t="s">
        <v>1258</v>
      </c>
      <c r="B51" s="58"/>
      <c r="C51" s="58"/>
      <c r="D51" s="58"/>
      <c r="E51" s="58"/>
      <c r="F51" s="129">
        <f>F43-F49</f>
        <v>-15781</v>
      </c>
      <c r="H51" s="515"/>
    </row>
    <row r="52" spans="1:8" ht="13.5" thickTop="1">
      <c r="A52" s="58"/>
      <c r="B52" s="58"/>
      <c r="C52" s="58"/>
      <c r="D52" s="58"/>
      <c r="E52" s="58"/>
      <c r="F52" s="60"/>
      <c r="H52" s="515"/>
    </row>
    <row r="53" spans="1:8">
      <c r="A53" s="58"/>
      <c r="B53" s="58"/>
      <c r="C53" s="58"/>
      <c r="D53" s="58"/>
      <c r="E53" s="58"/>
      <c r="F53" s="60"/>
      <c r="H53" s="515"/>
    </row>
    <row r="54" spans="1:8">
      <c r="A54" s="58" t="s">
        <v>1260</v>
      </c>
      <c r="B54" s="58"/>
      <c r="C54" s="58"/>
      <c r="D54" s="58"/>
      <c r="E54" s="58"/>
      <c r="F54" s="60">
        <f>ROUND( -F51*0.33075, RoundDigits )</f>
        <v>5220</v>
      </c>
      <c r="H54" s="515"/>
    </row>
    <row r="55" spans="1:8">
      <c r="A55" s="58" t="s">
        <v>1261</v>
      </c>
      <c r="B55" s="58"/>
      <c r="C55" s="58"/>
      <c r="D55" s="58"/>
      <c r="E55" s="58"/>
      <c r="F55" s="128">
        <f>ROUND( -F51*0.055, RoundDigits )</f>
        <v>868</v>
      </c>
      <c r="H55" s="515"/>
    </row>
    <row r="56" spans="1:8">
      <c r="A56" s="58"/>
      <c r="B56" s="58"/>
      <c r="C56" s="58"/>
      <c r="D56" s="58"/>
      <c r="E56" s="58"/>
      <c r="F56" s="60"/>
      <c r="H56" s="515"/>
    </row>
    <row r="57" spans="1:8" ht="13.5" thickBot="1">
      <c r="A57" s="58" t="s">
        <v>1262</v>
      </c>
      <c r="B57" s="58"/>
      <c r="C57" s="58"/>
      <c r="D57" s="58"/>
      <c r="E57" s="58"/>
      <c r="F57" s="129">
        <f>F54+F55</f>
        <v>6088</v>
      </c>
      <c r="H57" s="140"/>
    </row>
    <row r="58" spans="1:8" ht="13.5" thickTop="1">
      <c r="A58" s="58"/>
      <c r="B58" s="58"/>
      <c r="C58" s="58"/>
      <c r="D58" s="58"/>
      <c r="E58" s="58"/>
      <c r="F58" s="60"/>
      <c r="H58" s="515"/>
    </row>
    <row r="59" spans="1:8">
      <c r="A59" s="442">
        <f ca="1">NOW()</f>
        <v>40809.620665740738</v>
      </c>
      <c r="H59" s="515"/>
    </row>
    <row r="60" spans="1:8">
      <c r="H60" s="515"/>
    </row>
    <row r="61" spans="1:8">
      <c r="H61" s="515"/>
    </row>
    <row r="62" spans="1:8">
      <c r="H62" s="515"/>
    </row>
    <row r="63" spans="1:8">
      <c r="H63" s="515"/>
    </row>
    <row r="64" spans="1:8">
      <c r="H64" s="515"/>
    </row>
    <row r="65" spans="8:8">
      <c r="H65" s="515"/>
    </row>
    <row r="66" spans="8:8">
      <c r="H66" s="515"/>
    </row>
    <row r="67" spans="8:8">
      <c r="H67" s="515"/>
    </row>
    <row r="68" spans="8:8">
      <c r="H68" s="515"/>
    </row>
    <row r="69" spans="8:8">
      <c r="H69" s="515"/>
    </row>
    <row r="70" spans="8:8">
      <c r="H70" s="515"/>
    </row>
    <row r="71" spans="8:8">
      <c r="H71" s="515"/>
    </row>
    <row r="72" spans="8:8">
      <c r="H72" s="515"/>
    </row>
    <row r="73" spans="8:8">
      <c r="H73" s="515"/>
    </row>
    <row r="74" spans="8:8">
      <c r="H74" s="515"/>
    </row>
    <row r="75" spans="8:8">
      <c r="H75" s="515"/>
    </row>
    <row r="76" spans="8:8">
      <c r="H76" s="515"/>
    </row>
    <row r="77" spans="8:8">
      <c r="H77" s="515"/>
    </row>
    <row r="78" spans="8:8">
      <c r="H78" s="515"/>
    </row>
    <row r="79" spans="8:8">
      <c r="H79" s="515"/>
    </row>
    <row r="80" spans="8:8">
      <c r="H80" s="515"/>
    </row>
    <row r="81" spans="8:8">
      <c r="H81" s="515"/>
    </row>
    <row r="82" spans="8:8">
      <c r="H82" s="515"/>
    </row>
    <row r="83" spans="8:8">
      <c r="H83" s="515"/>
    </row>
    <row r="84" spans="8:8">
      <c r="H84" s="515"/>
    </row>
    <row r="85" spans="8:8">
      <c r="H85" s="515"/>
    </row>
    <row r="86" spans="8:8">
      <c r="H86" s="515"/>
    </row>
    <row r="87" spans="8:8">
      <c r="H87" s="515"/>
    </row>
    <row r="88" spans="8:8">
      <c r="H88" s="515"/>
    </row>
    <row r="89" spans="8:8">
      <c r="H89" s="515"/>
    </row>
    <row r="90" spans="8:8">
      <c r="H90" s="515"/>
    </row>
    <row r="91" spans="8:8">
      <c r="H91" s="515"/>
    </row>
    <row r="92" spans="8:8">
      <c r="H92" s="515"/>
    </row>
    <row r="93" spans="8:8">
      <c r="H93" s="515"/>
    </row>
    <row r="94" spans="8:8">
      <c r="H94" s="515"/>
    </row>
    <row r="95" spans="8:8">
      <c r="H95" s="515"/>
    </row>
    <row r="96" spans="8:8">
      <c r="H96" s="515"/>
    </row>
    <row r="97" spans="8:8">
      <c r="H97" s="515"/>
    </row>
    <row r="98" spans="8:8">
      <c r="H98" s="515"/>
    </row>
    <row r="99" spans="8:8">
      <c r="H99" s="515"/>
    </row>
    <row r="100" spans="8:8">
      <c r="H100" s="515"/>
    </row>
    <row r="101" spans="8:8">
      <c r="H101" s="515"/>
    </row>
  </sheetData>
  <mergeCells count="1">
    <mergeCell ref="A12:F12"/>
  </mergeCells>
  <phoneticPr fontId="0" type="noConversion"/>
  <pageMargins left="0.75" right="0.75" top="1" bottom="1" header="0.5" footer="0.5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U3174"/>
  <sheetViews>
    <sheetView zoomScale="70" zoomScaleNormal="70" workbookViewId="0">
      <pane xSplit="1" topLeftCell="B1" activePane="topRight" state="frozen"/>
      <selection activeCell="E41" sqref="E41"/>
      <selection pane="topRight" activeCell="E41" sqref="E41"/>
    </sheetView>
  </sheetViews>
  <sheetFormatPr defaultColWidth="17.85546875" defaultRowHeight="12.75"/>
  <cols>
    <col min="1" max="1" width="35.7109375" style="215" customWidth="1"/>
    <col min="2" max="3" width="17.85546875" style="215" customWidth="1"/>
    <col min="4" max="4" width="19.7109375" style="215" customWidth="1"/>
    <col min="5" max="9" width="17.85546875" style="215" customWidth="1"/>
    <col min="10" max="10" width="19.7109375" style="215" customWidth="1"/>
    <col min="11" max="11" width="19.140625" style="215" customWidth="1"/>
    <col min="12" max="21" width="17.85546875" style="215" customWidth="1"/>
    <col min="22" max="22" width="17.42578125" style="215" customWidth="1"/>
    <col min="23" max="23" width="16" style="215" customWidth="1"/>
    <col min="24" max="26" width="10.28515625" style="215" customWidth="1"/>
    <col min="27" max="29" width="17.85546875" style="215" customWidth="1"/>
    <col min="30" max="31" width="19.28515625" style="215" customWidth="1"/>
    <col min="32" max="36" width="17.85546875" style="215" customWidth="1"/>
    <col min="37" max="39" width="10.28515625" style="215" customWidth="1"/>
    <col min="40" max="49" width="17.85546875" style="215" customWidth="1"/>
    <col min="50" max="50" width="10.28515625" style="215" customWidth="1"/>
    <col min="51" max="53" width="17.85546875" style="215" customWidth="1"/>
    <col min="54" max="220" width="10.28515625" style="215" customWidth="1"/>
    <col min="221" max="227" width="17.85546875" style="215" customWidth="1"/>
    <col min="228" max="230" width="10.28515625" style="215" customWidth="1"/>
    <col min="231" max="231" width="17.85546875" style="215" customWidth="1"/>
    <col min="232" max="232" width="10.28515625" style="215" customWidth="1"/>
    <col min="233" max="233" width="17.85546875" style="215" customWidth="1"/>
    <col min="234" max="240" width="10.28515625" style="215" customWidth="1"/>
    <col min="241" max="241" width="17.85546875" style="215" customWidth="1"/>
    <col min="242" max="242" width="10.28515625" style="215" customWidth="1"/>
    <col min="243" max="243" width="13.140625" style="215" customWidth="1"/>
    <col min="244" max="255" width="10.28515625" style="215" customWidth="1"/>
    <col min="256" max="16384" width="17.85546875" style="215"/>
  </cols>
  <sheetData>
    <row r="1" spans="1:254">
      <c r="A1" s="216" t="s">
        <v>2155</v>
      </c>
      <c r="AK1" s="216"/>
      <c r="AN1" s="216"/>
      <c r="AO1" s="216"/>
      <c r="BG1" s="216" t="s">
        <v>2155</v>
      </c>
      <c r="HM1" s="141" t="s">
        <v>219</v>
      </c>
      <c r="HO1" s="217"/>
      <c r="HP1" s="217"/>
      <c r="HQ1" s="217"/>
      <c r="IB1" s="216" t="s">
        <v>1517</v>
      </c>
      <c r="IF1" s="216" t="s">
        <v>1518</v>
      </c>
      <c r="IG1" s="216" t="s">
        <v>2528</v>
      </c>
      <c r="IH1" s="216" t="s">
        <v>1519</v>
      </c>
      <c r="IK1" s="216" t="s">
        <v>1520</v>
      </c>
      <c r="IL1" s="216" t="s">
        <v>1521</v>
      </c>
      <c r="IM1" s="216" t="s">
        <v>1522</v>
      </c>
      <c r="IN1" s="218">
        <v>11426980.489999998</v>
      </c>
      <c r="IP1" s="216" t="s">
        <v>1523</v>
      </c>
      <c r="IQ1" s="216" t="s">
        <v>1524</v>
      </c>
      <c r="IR1" s="216" t="s">
        <v>1525</v>
      </c>
      <c r="IS1" s="218">
        <v>0</v>
      </c>
    </row>
    <row r="2" spans="1:254">
      <c r="A2" s="216" t="s">
        <v>1526</v>
      </c>
      <c r="AK2" s="219"/>
      <c r="AO2" s="216"/>
      <c r="AP2" s="216"/>
      <c r="AQ2" s="216"/>
      <c r="AR2" s="216"/>
      <c r="BG2" s="216" t="s">
        <v>1527</v>
      </c>
      <c r="HM2" s="215" t="s">
        <v>1528</v>
      </c>
      <c r="HO2" s="217"/>
      <c r="HP2" s="217"/>
      <c r="HQ2" s="217"/>
      <c r="IB2" s="220"/>
      <c r="IC2" s="216" t="s">
        <v>1529</v>
      </c>
      <c r="ID2" s="221" t="s">
        <v>1530</v>
      </c>
      <c r="IE2" s="218">
        <v>0</v>
      </c>
      <c r="IG2" s="216" t="s">
        <v>1531</v>
      </c>
      <c r="IH2" s="216" t="s">
        <v>1532</v>
      </c>
      <c r="II2" s="218">
        <v>-756923.65299999993</v>
      </c>
      <c r="IL2" s="216" t="s">
        <v>1533</v>
      </c>
      <c r="IM2" s="216" t="s">
        <v>1534</v>
      </c>
      <c r="IN2" s="218">
        <v>7684.47</v>
      </c>
      <c r="IQ2" s="216" t="s">
        <v>1535</v>
      </c>
      <c r="IR2" s="216" t="s">
        <v>1536</v>
      </c>
      <c r="IS2" s="218">
        <v>5926529</v>
      </c>
    </row>
    <row r="3" spans="1:254">
      <c r="A3" s="216" t="s">
        <v>1537</v>
      </c>
      <c r="AK3" s="216"/>
      <c r="AO3" s="216"/>
      <c r="AP3" s="216"/>
      <c r="AQ3" s="216"/>
      <c r="AR3" s="216"/>
      <c r="BG3" s="216" t="s">
        <v>1538</v>
      </c>
      <c r="HM3" s="215" t="s">
        <v>246</v>
      </c>
      <c r="HO3" s="217"/>
      <c r="HP3" s="217"/>
      <c r="HQ3" s="217"/>
      <c r="IB3" s="220"/>
      <c r="IC3" s="216" t="s">
        <v>1539</v>
      </c>
      <c r="ID3" s="221" t="s">
        <v>1540</v>
      </c>
      <c r="IE3" s="218">
        <v>505060483</v>
      </c>
      <c r="IG3" s="216" t="s">
        <v>1541</v>
      </c>
      <c r="IH3" s="216" t="s">
        <v>1542</v>
      </c>
      <c r="II3" s="218">
        <v>39772382.774000004</v>
      </c>
      <c r="IL3" s="216" t="s">
        <v>1543</v>
      </c>
      <c r="IM3" s="216" t="s">
        <v>1544</v>
      </c>
      <c r="IN3" s="218">
        <v>603329320.74000001</v>
      </c>
      <c r="IQ3" s="216" t="s">
        <v>1545</v>
      </c>
      <c r="IR3" s="216" t="s">
        <v>1546</v>
      </c>
      <c r="IS3" s="218">
        <v>465719680.06000006</v>
      </c>
    </row>
    <row r="4" spans="1:254">
      <c r="A4" s="216" t="s">
        <v>1547</v>
      </c>
      <c r="AK4" s="216"/>
      <c r="AP4" s="216"/>
      <c r="AQ4" s="216"/>
      <c r="AR4" s="216"/>
      <c r="BG4" s="216" t="s">
        <v>1548</v>
      </c>
      <c r="HO4" s="217"/>
      <c r="HP4" s="217"/>
      <c r="HQ4" s="217"/>
      <c r="IB4" s="220"/>
      <c r="IC4" s="216" t="s">
        <v>1549</v>
      </c>
      <c r="ID4" s="221" t="s">
        <v>1550</v>
      </c>
      <c r="IE4" s="218">
        <v>227043</v>
      </c>
      <c r="IG4" s="216" t="s">
        <v>1551</v>
      </c>
      <c r="IH4" s="222" t="s">
        <v>1552</v>
      </c>
      <c r="II4" s="223">
        <v>1049.326</v>
      </c>
      <c r="IL4" s="216" t="s">
        <v>1553</v>
      </c>
      <c r="IM4" s="216" t="s">
        <v>1554</v>
      </c>
      <c r="IN4" s="218">
        <v>603173082.66999996</v>
      </c>
      <c r="IQ4" s="216" t="s">
        <v>1555</v>
      </c>
      <c r="IR4" s="216" t="s">
        <v>1556</v>
      </c>
      <c r="IS4" s="218">
        <v>40354804.57</v>
      </c>
    </row>
    <row r="5" spans="1:254">
      <c r="A5" s="216" t="s">
        <v>1557</v>
      </c>
      <c r="AK5" s="219"/>
      <c r="AP5" s="216"/>
      <c r="BH5" s="224" t="s">
        <v>1558</v>
      </c>
      <c r="BI5" s="224" t="s">
        <v>1558</v>
      </c>
      <c r="BJ5" s="224" t="s">
        <v>1558</v>
      </c>
      <c r="BK5" s="224" t="s">
        <v>1558</v>
      </c>
      <c r="BL5" s="224" t="s">
        <v>1558</v>
      </c>
      <c r="BM5" s="224" t="s">
        <v>1558</v>
      </c>
      <c r="HO5" s="225" t="s">
        <v>1559</v>
      </c>
      <c r="HP5" s="226"/>
      <c r="HQ5" s="226"/>
      <c r="HS5" s="227"/>
      <c r="HT5" s="226" t="s">
        <v>1560</v>
      </c>
      <c r="HU5" s="226"/>
      <c r="HV5" s="226"/>
      <c r="HX5" s="88" t="s">
        <v>116</v>
      </c>
      <c r="IB5" s="220"/>
      <c r="IC5" s="216" t="s">
        <v>1561</v>
      </c>
      <c r="ID5" s="221" t="s">
        <v>1562</v>
      </c>
      <c r="IE5" s="218">
        <v>335213</v>
      </c>
      <c r="IG5" s="216" t="s">
        <v>1563</v>
      </c>
      <c r="IH5" s="222" t="s">
        <v>1564</v>
      </c>
      <c r="II5" s="223">
        <v>796761.73999999987</v>
      </c>
      <c r="IL5" s="216" t="s">
        <v>1565</v>
      </c>
      <c r="IM5" s="216" t="s">
        <v>1566</v>
      </c>
      <c r="IN5" s="218">
        <v>589561852.10000002</v>
      </c>
      <c r="IQ5" s="216" t="s">
        <v>1567</v>
      </c>
      <c r="IR5" s="216" t="s">
        <v>1568</v>
      </c>
      <c r="IS5" s="218">
        <v>19176327.499999996</v>
      </c>
    </row>
    <row r="6" spans="1:254" ht="13.5" thickBot="1">
      <c r="A6" s="84"/>
      <c r="J6" s="216" t="s">
        <v>1569</v>
      </c>
      <c r="AP6" s="216"/>
      <c r="BH6" s="224" t="s">
        <v>1570</v>
      </c>
      <c r="BI6" s="224" t="s">
        <v>1570</v>
      </c>
      <c r="BJ6" s="224" t="s">
        <v>32</v>
      </c>
      <c r="BK6" s="224" t="s">
        <v>32</v>
      </c>
      <c r="BL6" s="224" t="s">
        <v>1570</v>
      </c>
      <c r="BM6" s="224" t="s">
        <v>1570</v>
      </c>
      <c r="HO6" s="228" t="s">
        <v>1571</v>
      </c>
      <c r="HP6" s="228"/>
      <c r="HQ6" s="228"/>
      <c r="HR6" s="142" t="s">
        <v>88</v>
      </c>
      <c r="HS6" s="227"/>
      <c r="HT6" s="228" t="s">
        <v>1571</v>
      </c>
      <c r="HU6" s="228"/>
      <c r="HV6" s="228"/>
      <c r="HW6" s="142" t="s">
        <v>88</v>
      </c>
      <c r="HX6" s="142" t="s">
        <v>88</v>
      </c>
      <c r="HY6" s="143" t="s">
        <v>116</v>
      </c>
      <c r="IB6" s="220"/>
      <c r="IC6" s="216" t="s">
        <v>1572</v>
      </c>
      <c r="ID6" s="221" t="s">
        <v>1573</v>
      </c>
      <c r="IE6" s="218">
        <v>35060633</v>
      </c>
      <c r="IG6" s="216" t="s">
        <v>1574</v>
      </c>
      <c r="IH6" s="222" t="s">
        <v>1575</v>
      </c>
      <c r="II6" s="223">
        <v>119471.8</v>
      </c>
      <c r="IL6" s="216" t="s">
        <v>1576</v>
      </c>
      <c r="IM6" s="216" t="s">
        <v>1577</v>
      </c>
      <c r="IN6" s="218">
        <v>424484.53</v>
      </c>
      <c r="IQ6" s="216" t="s">
        <v>1578</v>
      </c>
      <c r="IR6" s="216" t="s">
        <v>1579</v>
      </c>
      <c r="IS6" s="218">
        <v>10970292.743896008</v>
      </c>
    </row>
    <row r="7" spans="1:254">
      <c r="E7" s="224" t="s">
        <v>1580</v>
      </c>
      <c r="G7" s="216" t="s">
        <v>1581</v>
      </c>
      <c r="H7" s="216"/>
      <c r="I7" s="216" t="s">
        <v>1582</v>
      </c>
      <c r="J7" s="219" t="s">
        <v>1583</v>
      </c>
      <c r="K7" s="219" t="s">
        <v>1583</v>
      </c>
      <c r="L7" s="219" t="s">
        <v>1583</v>
      </c>
      <c r="M7" s="219" t="s">
        <v>1583</v>
      </c>
      <c r="N7" s="219" t="s">
        <v>1583</v>
      </c>
      <c r="O7" s="219" t="s">
        <v>1583</v>
      </c>
      <c r="P7" s="219" t="s">
        <v>1583</v>
      </c>
      <c r="AL7" s="216"/>
      <c r="AQ7" s="216"/>
      <c r="BH7" s="224" t="s">
        <v>1584</v>
      </c>
      <c r="BI7" s="224" t="s">
        <v>1585</v>
      </c>
      <c r="BJ7" s="224" t="s">
        <v>2581</v>
      </c>
      <c r="BK7" s="224" t="s">
        <v>1586</v>
      </c>
      <c r="BL7" s="224" t="s">
        <v>1587</v>
      </c>
      <c r="BM7" s="224" t="s">
        <v>1588</v>
      </c>
      <c r="BN7" s="224" t="s">
        <v>1589</v>
      </c>
      <c r="HN7" s="144" t="s">
        <v>1590</v>
      </c>
      <c r="HP7" s="145" t="s">
        <v>1591</v>
      </c>
      <c r="HQ7" s="145" t="s">
        <v>1592</v>
      </c>
      <c r="HR7" s="145" t="s">
        <v>87</v>
      </c>
      <c r="HS7" s="146" t="s">
        <v>99</v>
      </c>
      <c r="HT7" s="147"/>
      <c r="HU7" s="145" t="s">
        <v>1591</v>
      </c>
      <c r="HV7" s="145" t="s">
        <v>1592</v>
      </c>
      <c r="HW7" s="145" t="s">
        <v>87</v>
      </c>
      <c r="HX7" s="146" t="s">
        <v>99</v>
      </c>
      <c r="HY7" s="146" t="s">
        <v>99</v>
      </c>
      <c r="HZ7" s="146" t="s">
        <v>111</v>
      </c>
      <c r="IC7" s="220"/>
      <c r="ID7" s="216" t="s">
        <v>1593</v>
      </c>
      <c r="IE7" s="221" t="s">
        <v>1594</v>
      </c>
      <c r="IF7" s="218">
        <v>16265385</v>
      </c>
      <c r="IH7" s="216" t="s">
        <v>1595</v>
      </c>
      <c r="II7" s="222" t="s">
        <v>1596</v>
      </c>
      <c r="IJ7" s="223">
        <v>40354804.57</v>
      </c>
      <c r="IM7" s="216" t="s">
        <v>1597</v>
      </c>
      <c r="IN7" s="216" t="s">
        <v>1598</v>
      </c>
      <c r="IO7" s="218">
        <v>10427964.57</v>
      </c>
      <c r="IR7" s="216" t="s">
        <v>1599</v>
      </c>
      <c r="IS7" s="216" t="s">
        <v>1600</v>
      </c>
      <c r="IT7" s="218">
        <v>603173082.66999996</v>
      </c>
    </row>
    <row r="8" spans="1:254">
      <c r="B8" s="148" t="s">
        <v>1601</v>
      </c>
      <c r="C8" s="224" t="s">
        <v>1602</v>
      </c>
      <c r="D8" s="224" t="s">
        <v>1601</v>
      </c>
      <c r="E8" s="224" t="s">
        <v>36</v>
      </c>
      <c r="I8" s="224" t="s">
        <v>1603</v>
      </c>
      <c r="J8" s="224" t="s">
        <v>1603</v>
      </c>
      <c r="K8" s="224" t="s">
        <v>1604</v>
      </c>
      <c r="L8" s="224" t="s">
        <v>1604</v>
      </c>
      <c r="M8" s="224" t="s">
        <v>32</v>
      </c>
      <c r="N8" s="224"/>
      <c r="O8" s="224"/>
      <c r="P8" s="224" t="s">
        <v>1605</v>
      </c>
      <c r="AL8" s="216"/>
      <c r="BI8" s="224" t="s">
        <v>1606</v>
      </c>
      <c r="BJ8" s="224" t="s">
        <v>1606</v>
      </c>
      <c r="BK8" s="224" t="s">
        <v>1606</v>
      </c>
      <c r="BL8" s="224" t="s">
        <v>1606</v>
      </c>
      <c r="BM8" s="224" t="s">
        <v>1606</v>
      </c>
      <c r="BN8" s="224" t="s">
        <v>1606</v>
      </c>
      <c r="HP8" s="217"/>
      <c r="HQ8" s="217"/>
      <c r="HR8" s="217"/>
      <c r="HT8" s="147"/>
      <c r="IC8" s="220"/>
      <c r="ID8" s="216" t="s">
        <v>1607</v>
      </c>
      <c r="IE8" s="221" t="s">
        <v>1608</v>
      </c>
      <c r="IF8" s="218">
        <v>282498790</v>
      </c>
      <c r="IH8" s="216" t="s">
        <v>1609</v>
      </c>
      <c r="II8" s="222" t="s">
        <v>1610</v>
      </c>
      <c r="IJ8" s="223">
        <v>9252.74</v>
      </c>
      <c r="IM8" s="216" t="s">
        <v>1611</v>
      </c>
      <c r="IN8" s="216" t="s">
        <v>1612</v>
      </c>
      <c r="IO8" s="218">
        <v>653886230</v>
      </c>
      <c r="IR8" s="216" t="s">
        <v>1613</v>
      </c>
      <c r="IS8" s="216" t="s">
        <v>1614</v>
      </c>
      <c r="IT8" s="218">
        <v>729974.23210400017</v>
      </c>
    </row>
    <row r="9" spans="1:254">
      <c r="B9" s="148" t="s">
        <v>1615</v>
      </c>
      <c r="C9" s="224" t="s">
        <v>1616</v>
      </c>
      <c r="D9" s="224" t="s">
        <v>1617</v>
      </c>
      <c r="E9" s="224" t="s">
        <v>41</v>
      </c>
      <c r="F9" s="224" t="s">
        <v>1618</v>
      </c>
      <c r="G9" s="224" t="s">
        <v>1619</v>
      </c>
      <c r="H9" s="224" t="s">
        <v>1620</v>
      </c>
      <c r="I9" s="224" t="s">
        <v>1621</v>
      </c>
      <c r="J9" s="224" t="s">
        <v>1621</v>
      </c>
      <c r="K9" s="224" t="s">
        <v>1622</v>
      </c>
      <c r="L9" s="224" t="s">
        <v>1622</v>
      </c>
      <c r="M9" s="224" t="s">
        <v>1617</v>
      </c>
      <c r="N9" s="224" t="s">
        <v>1623</v>
      </c>
      <c r="O9" s="224" t="s">
        <v>1623</v>
      </c>
      <c r="P9" s="224" t="s">
        <v>1624</v>
      </c>
      <c r="AL9" s="216"/>
      <c r="AO9" s="216"/>
      <c r="AP9" s="216"/>
      <c r="HN9" s="149" t="s">
        <v>96</v>
      </c>
      <c r="HP9" s="217"/>
      <c r="HQ9" s="217"/>
      <c r="HR9" s="217"/>
      <c r="HT9" s="147"/>
      <c r="IC9" s="220"/>
      <c r="ID9" s="216" t="s">
        <v>1625</v>
      </c>
      <c r="IE9" s="221" t="s">
        <v>1626</v>
      </c>
      <c r="IF9" s="218">
        <v>0</v>
      </c>
      <c r="IH9" s="216" t="s">
        <v>1627</v>
      </c>
      <c r="II9" s="222" t="s">
        <v>1628</v>
      </c>
      <c r="IJ9" s="223">
        <v>-103459628.462308</v>
      </c>
      <c r="IM9" s="216" t="s">
        <v>1629</v>
      </c>
      <c r="IN9" s="216" t="s">
        <v>1630</v>
      </c>
      <c r="IO9" s="218">
        <v>3290650</v>
      </c>
      <c r="IR9" s="216" t="s">
        <v>1631</v>
      </c>
      <c r="IS9" s="216" t="s">
        <v>1632</v>
      </c>
      <c r="IT9" s="218">
        <v>29079897.899999999</v>
      </c>
    </row>
    <row r="10" spans="1:254">
      <c r="A10" s="216" t="s">
        <v>1584</v>
      </c>
      <c r="B10" s="148" t="s">
        <v>39</v>
      </c>
      <c r="C10" s="224" t="s">
        <v>1633</v>
      </c>
      <c r="D10" s="224" t="s">
        <v>1634</v>
      </c>
      <c r="E10" s="224" t="s">
        <v>1635</v>
      </c>
      <c r="F10" s="224" t="s">
        <v>1636</v>
      </c>
      <c r="G10" s="224" t="s">
        <v>1636</v>
      </c>
      <c r="H10" s="224" t="s">
        <v>1636</v>
      </c>
      <c r="I10" s="224" t="s">
        <v>1570</v>
      </c>
      <c r="J10" s="224" t="s">
        <v>1637</v>
      </c>
      <c r="K10" s="224" t="s">
        <v>1570</v>
      </c>
      <c r="L10" s="224" t="s">
        <v>1637</v>
      </c>
      <c r="M10" s="224" t="s">
        <v>1638</v>
      </c>
      <c r="N10" s="224" t="s">
        <v>1639</v>
      </c>
      <c r="O10" s="224" t="s">
        <v>1637</v>
      </c>
      <c r="P10" s="224" t="s">
        <v>1639</v>
      </c>
      <c r="AL10" s="216"/>
      <c r="AP10" s="216"/>
      <c r="AQ10" s="216"/>
      <c r="AR10" s="216"/>
      <c r="AS10" s="216"/>
      <c r="AT10" s="216"/>
      <c r="AU10" s="216"/>
      <c r="AV10" s="216"/>
      <c r="AW10" s="216"/>
      <c r="AY10" s="216"/>
      <c r="BH10" s="216" t="s">
        <v>1640</v>
      </c>
      <c r="BI10" s="218">
        <v>5702193</v>
      </c>
      <c r="BJ10" s="218">
        <v>63981158</v>
      </c>
      <c r="BK10" s="218">
        <v>11829310</v>
      </c>
      <c r="BL10" s="218">
        <v>1054264</v>
      </c>
      <c r="BM10" s="218">
        <v>5702193</v>
      </c>
      <c r="BN10" s="218">
        <v>6756457</v>
      </c>
      <c r="HP10" s="217"/>
      <c r="HQ10" s="217"/>
      <c r="HR10" s="217"/>
      <c r="HT10" s="147"/>
      <c r="IC10" s="220"/>
      <c r="ID10" s="216" t="s">
        <v>1641</v>
      </c>
      <c r="IE10" s="221" t="s">
        <v>1642</v>
      </c>
      <c r="IF10" s="218">
        <v>0</v>
      </c>
      <c r="IH10" s="216" t="s">
        <v>1643</v>
      </c>
      <c r="II10" s="222" t="s">
        <v>1644</v>
      </c>
      <c r="IJ10" s="223">
        <v>5754077.5576923098</v>
      </c>
      <c r="IM10" s="216" t="s">
        <v>1645</v>
      </c>
      <c r="IN10" s="216" t="s">
        <v>1646</v>
      </c>
      <c r="IO10" s="218">
        <v>29079897.899999999</v>
      </c>
      <c r="IR10" s="216" t="s">
        <v>1647</v>
      </c>
      <c r="IS10" s="216" t="s">
        <v>1648</v>
      </c>
      <c r="IT10" s="218">
        <v>146600471.49399999</v>
      </c>
    </row>
    <row r="11" spans="1:254">
      <c r="B11" s="150" t="s">
        <v>1649</v>
      </c>
      <c r="C11" s="216" t="s">
        <v>1878</v>
      </c>
      <c r="D11" s="216" t="s">
        <v>1878</v>
      </c>
      <c r="E11" s="216" t="s">
        <v>1878</v>
      </c>
      <c r="F11" s="216" t="s">
        <v>1878</v>
      </c>
      <c r="G11" s="216" t="s">
        <v>1581</v>
      </c>
      <c r="H11" s="216" t="s">
        <v>1581</v>
      </c>
      <c r="I11" s="216" t="s">
        <v>1878</v>
      </c>
      <c r="J11" s="216" t="s">
        <v>1878</v>
      </c>
      <c r="K11" s="216" t="s">
        <v>1878</v>
      </c>
      <c r="L11" s="216" t="s">
        <v>1878</v>
      </c>
      <c r="M11" s="216" t="s">
        <v>1878</v>
      </c>
      <c r="N11" s="216" t="s">
        <v>1878</v>
      </c>
      <c r="O11" s="216" t="s">
        <v>1878</v>
      </c>
      <c r="P11" s="216" t="s">
        <v>1878</v>
      </c>
      <c r="AL11" s="216"/>
      <c r="AP11" s="216"/>
      <c r="AQ11" s="216"/>
      <c r="AR11" s="216"/>
      <c r="AS11" s="216"/>
      <c r="AT11" s="216"/>
      <c r="AU11" s="216"/>
      <c r="AV11" s="216"/>
      <c r="AW11" s="216"/>
      <c r="AY11" s="216"/>
      <c r="BH11" s="216" t="s">
        <v>1879</v>
      </c>
      <c r="BI11" s="218">
        <v>5702193</v>
      </c>
      <c r="BJ11" s="218">
        <v>64014299</v>
      </c>
      <c r="BK11" s="218">
        <v>11848673</v>
      </c>
      <c r="BL11" s="218">
        <v>1055443</v>
      </c>
      <c r="BM11" s="218">
        <v>5702193</v>
      </c>
      <c r="BN11" s="218">
        <v>6757636</v>
      </c>
      <c r="HN11" s="215" t="s">
        <v>1880</v>
      </c>
      <c r="HP11" s="217"/>
      <c r="HQ11" s="217"/>
      <c r="HR11" s="217"/>
      <c r="HT11" s="147"/>
      <c r="IC11" s="220"/>
      <c r="ID11" s="216" t="s">
        <v>1881</v>
      </c>
      <c r="IE11" s="221" t="s">
        <v>1882</v>
      </c>
      <c r="IF11" s="218">
        <v>-12271272</v>
      </c>
      <c r="IH11" s="216" t="s">
        <v>1883</v>
      </c>
      <c r="II11" s="216" t="s">
        <v>1884</v>
      </c>
      <c r="IJ11" s="218">
        <v>1191081752.306154</v>
      </c>
      <c r="IM11" s="216" t="s">
        <v>1885</v>
      </c>
      <c r="IN11" s="216" t="s">
        <v>1886</v>
      </c>
      <c r="IO11" s="218">
        <v>21179162.07</v>
      </c>
      <c r="IR11" s="216" t="s">
        <v>1887</v>
      </c>
      <c r="IS11" s="216" t="s">
        <v>1888</v>
      </c>
      <c r="IT11" s="218">
        <v>21179162.07</v>
      </c>
    </row>
    <row r="12" spans="1:254">
      <c r="B12" s="85"/>
      <c r="P12" s="84"/>
      <c r="AL12" s="216"/>
      <c r="AP12" s="216"/>
      <c r="AQ12" s="216"/>
      <c r="AR12" s="216"/>
      <c r="AS12" s="216"/>
      <c r="AT12" s="216"/>
      <c r="AU12" s="216"/>
      <c r="AV12" s="218"/>
      <c r="AW12" s="216"/>
      <c r="AY12" s="216"/>
      <c r="BH12" s="216" t="s">
        <v>1889</v>
      </c>
      <c r="BI12" s="218">
        <v>5702193</v>
      </c>
      <c r="BJ12" s="218">
        <v>63835691</v>
      </c>
      <c r="BK12" s="218">
        <v>11874679</v>
      </c>
      <c r="BL12" s="218">
        <v>1060719</v>
      </c>
      <c r="BM12" s="218">
        <v>5702193</v>
      </c>
      <c r="BN12" s="218">
        <v>6762912</v>
      </c>
      <c r="HO12" s="215" t="s">
        <v>1890</v>
      </c>
      <c r="HP12" s="217">
        <v>1579803</v>
      </c>
      <c r="HQ12" s="217">
        <v>38323</v>
      </c>
      <c r="HR12" s="217"/>
      <c r="HT12" s="147"/>
      <c r="HU12" s="229">
        <v>1966527</v>
      </c>
      <c r="HV12" s="215">
        <v>48486</v>
      </c>
      <c r="HZ12" s="215">
        <v>189273</v>
      </c>
      <c r="IC12" s="220"/>
      <c r="ID12" s="216" t="s">
        <v>1891</v>
      </c>
      <c r="IE12" s="221" t="s">
        <v>1892</v>
      </c>
      <c r="IF12" s="218">
        <v>-2416226</v>
      </c>
      <c r="IH12" s="216" t="s">
        <v>1893</v>
      </c>
      <c r="II12" s="216" t="s">
        <v>1894</v>
      </c>
      <c r="IJ12" s="218">
        <v>2088659.4784615401</v>
      </c>
      <c r="IM12" s="216" t="s">
        <v>1895</v>
      </c>
      <c r="IN12" s="216" t="s">
        <v>1896</v>
      </c>
      <c r="IO12" s="218">
        <v>-802250.23</v>
      </c>
      <c r="IR12" s="216" t="s">
        <v>1897</v>
      </c>
      <c r="IS12" s="216" t="s">
        <v>1898</v>
      </c>
      <c r="IT12" s="218">
        <v>0</v>
      </c>
    </row>
    <row r="13" spans="1:254">
      <c r="A13" s="216" t="s">
        <v>1899</v>
      </c>
      <c r="B13" s="84">
        <v>3489846662.29</v>
      </c>
      <c r="C13" s="84">
        <v>5664735.4399999995</v>
      </c>
      <c r="D13" s="84">
        <v>1204612822.48</v>
      </c>
      <c r="E13" s="84">
        <v>177612198.75999999</v>
      </c>
      <c r="F13" s="84">
        <v>66602973.939999998</v>
      </c>
      <c r="G13" s="86">
        <v>111009224.81999999</v>
      </c>
      <c r="H13" s="86">
        <v>69278776</v>
      </c>
      <c r="I13" s="84">
        <v>0</v>
      </c>
      <c r="J13" s="84">
        <v>0</v>
      </c>
      <c r="K13" s="84">
        <v>0</v>
      </c>
      <c r="L13" s="84">
        <v>0</v>
      </c>
      <c r="M13" s="86">
        <v>0</v>
      </c>
      <c r="N13" s="84">
        <v>4981337.93</v>
      </c>
      <c r="O13" s="84">
        <v>-9858697.3399999999</v>
      </c>
      <c r="P13" s="86">
        <v>0</v>
      </c>
      <c r="AL13" s="216"/>
      <c r="AQ13" s="216"/>
      <c r="AR13" s="216"/>
      <c r="AS13" s="216"/>
      <c r="AT13" s="216"/>
      <c r="AU13" s="216"/>
      <c r="AV13" s="218"/>
      <c r="AW13" s="216"/>
      <c r="AY13" s="216"/>
      <c r="BH13" s="216" t="s">
        <v>1900</v>
      </c>
      <c r="BI13" s="218">
        <v>5702193</v>
      </c>
      <c r="BJ13" s="218">
        <v>65892737</v>
      </c>
      <c r="BK13" s="218">
        <v>11990080</v>
      </c>
      <c r="BL13" s="218">
        <v>1037592</v>
      </c>
      <c r="BM13" s="218">
        <v>5702193</v>
      </c>
      <c r="BN13" s="218">
        <v>6739785</v>
      </c>
      <c r="HO13" s="215" t="s">
        <v>1901</v>
      </c>
      <c r="HP13" s="217"/>
      <c r="HQ13" s="217"/>
      <c r="HR13" s="217"/>
      <c r="HT13" s="147"/>
      <c r="HU13" s="230">
        <v>0</v>
      </c>
      <c r="HV13" s="231">
        <v>0</v>
      </c>
      <c r="HW13" s="231"/>
      <c r="HX13" s="231"/>
      <c r="HY13" s="231"/>
      <c r="HZ13" s="231">
        <v>4861</v>
      </c>
      <c r="IC13" s="220"/>
      <c r="ID13" s="216" t="s">
        <v>1902</v>
      </c>
      <c r="IE13" s="221" t="s">
        <v>1903</v>
      </c>
      <c r="IF13" s="218">
        <v>319850</v>
      </c>
      <c r="IH13" s="216" t="s">
        <v>1904</v>
      </c>
      <c r="II13" s="216" t="s">
        <v>1905</v>
      </c>
      <c r="IJ13" s="218">
        <v>-2575553.1414129599</v>
      </c>
      <c r="IM13" s="216" t="s">
        <v>1906</v>
      </c>
      <c r="IN13" s="216" t="s">
        <v>1907</v>
      </c>
      <c r="IO13" s="218">
        <v>-2.6938459873199463</v>
      </c>
      <c r="IR13" s="216" t="s">
        <v>1908</v>
      </c>
      <c r="IS13" s="216" t="s">
        <v>1909</v>
      </c>
      <c r="IT13" s="218">
        <v>8500825</v>
      </c>
    </row>
    <row r="14" spans="1:254">
      <c r="A14" s="216" t="s">
        <v>1910</v>
      </c>
      <c r="B14" s="84">
        <v>3501615410.8399997</v>
      </c>
      <c r="C14" s="84">
        <v>5664735.4399999995</v>
      </c>
      <c r="D14" s="84">
        <v>1209763916.97</v>
      </c>
      <c r="E14" s="84">
        <v>181688964.57999998</v>
      </c>
      <c r="F14" s="84">
        <v>64079907.899999976</v>
      </c>
      <c r="G14" s="86">
        <v>117609056.68000001</v>
      </c>
      <c r="H14" s="86">
        <v>71430446</v>
      </c>
      <c r="I14" s="84">
        <v>0</v>
      </c>
      <c r="J14" s="84">
        <v>0</v>
      </c>
      <c r="K14" s="84">
        <v>0</v>
      </c>
      <c r="L14" s="84">
        <v>0</v>
      </c>
      <c r="M14" s="86">
        <v>0</v>
      </c>
      <c r="N14" s="84">
        <v>4981337.93</v>
      </c>
      <c r="O14" s="84">
        <v>-9847048.7899999991</v>
      </c>
      <c r="P14" s="86">
        <v>0</v>
      </c>
      <c r="AL14" s="216"/>
      <c r="AQ14" s="216"/>
      <c r="AR14" s="216"/>
      <c r="AS14" s="216"/>
      <c r="AT14" s="216"/>
      <c r="AU14" s="216"/>
      <c r="AV14" s="216"/>
      <c r="AW14" s="216"/>
      <c r="AY14" s="216"/>
      <c r="BH14" s="216" t="s">
        <v>1911</v>
      </c>
      <c r="BI14" s="218">
        <v>6240373</v>
      </c>
      <c r="BJ14" s="218">
        <v>63090975</v>
      </c>
      <c r="BK14" s="218">
        <v>12819504</v>
      </c>
      <c r="BL14" s="218">
        <v>1267986</v>
      </c>
      <c r="BM14" s="218">
        <v>6240373</v>
      </c>
      <c r="BN14" s="218">
        <v>7508359</v>
      </c>
      <c r="HP14" s="217">
        <v>1579803</v>
      </c>
      <c r="HQ14" s="217">
        <v>38323</v>
      </c>
      <c r="HR14" s="217">
        <v>1618126</v>
      </c>
      <c r="HS14" s="232">
        <v>0.97631643024090831</v>
      </c>
      <c r="HT14" s="147"/>
      <c r="HU14" s="229">
        <v>1966527</v>
      </c>
      <c r="HV14" s="215">
        <v>48486</v>
      </c>
      <c r="HW14" s="215">
        <v>2015013</v>
      </c>
      <c r="HX14" s="232">
        <v>0.97593762422376429</v>
      </c>
      <c r="HY14" s="233">
        <v>8.7877357188091157E-2</v>
      </c>
      <c r="HZ14" s="215">
        <v>194134</v>
      </c>
      <c r="IC14" s="220"/>
      <c r="ID14" s="216" t="s">
        <v>1912</v>
      </c>
      <c r="IE14" s="221" t="s">
        <v>1913</v>
      </c>
      <c r="IF14" s="218">
        <v>2036919</v>
      </c>
      <c r="IH14" s="216" t="s">
        <v>582</v>
      </c>
      <c r="II14" s="216" t="s">
        <v>583</v>
      </c>
      <c r="IJ14" s="218">
        <v>264605092.82494101</v>
      </c>
      <c r="IM14" s="216" t="s">
        <v>584</v>
      </c>
      <c r="IN14" s="216" t="s">
        <v>585</v>
      </c>
      <c r="IO14" s="218">
        <v>505060483</v>
      </c>
      <c r="IR14" s="216" t="s">
        <v>586</v>
      </c>
      <c r="IS14" s="216" t="s">
        <v>587</v>
      </c>
      <c r="IT14" s="218">
        <v>0</v>
      </c>
    </row>
    <row r="15" spans="1:254">
      <c r="A15" s="216" t="s">
        <v>588</v>
      </c>
      <c r="B15" s="84">
        <v>3526447289.5099998</v>
      </c>
      <c r="C15" s="84">
        <v>5664735.4399999995</v>
      </c>
      <c r="D15" s="84">
        <v>1212648256.1600001</v>
      </c>
      <c r="E15" s="84">
        <v>170116732.19999999</v>
      </c>
      <c r="F15" s="84">
        <v>51077999.62999998</v>
      </c>
      <c r="G15" s="86">
        <v>119038732.57000001</v>
      </c>
      <c r="H15" s="86">
        <v>74305018</v>
      </c>
      <c r="I15" s="84">
        <v>0</v>
      </c>
      <c r="J15" s="84">
        <v>0</v>
      </c>
      <c r="K15" s="84">
        <v>0</v>
      </c>
      <c r="L15" s="84">
        <v>0</v>
      </c>
      <c r="M15" s="86">
        <v>0</v>
      </c>
      <c r="N15" s="84">
        <v>4981337.93</v>
      </c>
      <c r="O15" s="84">
        <v>-9835400.2199999988</v>
      </c>
      <c r="P15" s="86">
        <v>0</v>
      </c>
      <c r="AL15" s="216"/>
      <c r="AQ15" s="216"/>
      <c r="AR15" s="216"/>
      <c r="AS15" s="216"/>
      <c r="AT15" s="216"/>
      <c r="AU15" s="216"/>
      <c r="AV15" s="216"/>
      <c r="AW15" s="216"/>
      <c r="AY15" s="216"/>
      <c r="BH15" s="216" t="s">
        <v>589</v>
      </c>
      <c r="BI15" s="218">
        <v>6240373</v>
      </c>
      <c r="BJ15" s="218">
        <v>62877758</v>
      </c>
      <c r="BK15" s="218">
        <v>12857698</v>
      </c>
      <c r="BL15" s="218">
        <v>1276077</v>
      </c>
      <c r="BM15" s="218">
        <v>6240373</v>
      </c>
      <c r="BN15" s="218">
        <v>7516450</v>
      </c>
      <c r="HP15" s="217"/>
      <c r="HQ15" s="217"/>
      <c r="HR15" s="217"/>
      <c r="HS15" s="232"/>
      <c r="HT15" s="147"/>
      <c r="HU15" s="229"/>
      <c r="HX15" s="232"/>
      <c r="IC15" s="220"/>
      <c r="ID15" s="216" t="s">
        <v>590</v>
      </c>
      <c r="IE15" s="221" t="s">
        <v>591</v>
      </c>
      <c r="IF15" s="218">
        <v>50196</v>
      </c>
      <c r="IH15" s="216" t="s">
        <v>592</v>
      </c>
      <c r="II15" s="216" t="s">
        <v>593</v>
      </c>
      <c r="IJ15" s="218">
        <v>1850652.1829508101</v>
      </c>
      <c r="IM15" s="216" t="s">
        <v>594</v>
      </c>
      <c r="IN15" s="216" t="s">
        <v>595</v>
      </c>
      <c r="IO15" s="218">
        <v>505060483</v>
      </c>
      <c r="IR15" s="216" t="s">
        <v>596</v>
      </c>
      <c r="IS15" s="216" t="s">
        <v>597</v>
      </c>
      <c r="IT15" s="218">
        <v>35060633</v>
      </c>
    </row>
    <row r="16" spans="1:254">
      <c r="A16" s="216" t="s">
        <v>598</v>
      </c>
      <c r="B16" s="84">
        <v>3537959030.0299997</v>
      </c>
      <c r="C16" s="84">
        <v>5664735.4399999995</v>
      </c>
      <c r="D16" s="84">
        <v>1219053217.1500001</v>
      </c>
      <c r="E16" s="84">
        <v>180812114.86000001</v>
      </c>
      <c r="F16" s="84">
        <v>52170186.560000002</v>
      </c>
      <c r="G16" s="86">
        <v>128641928.30000001</v>
      </c>
      <c r="H16" s="86">
        <v>77478987</v>
      </c>
      <c r="I16" s="84">
        <v>0</v>
      </c>
      <c r="J16" s="84">
        <v>0</v>
      </c>
      <c r="K16" s="84">
        <v>0</v>
      </c>
      <c r="L16" s="84">
        <v>0</v>
      </c>
      <c r="M16" s="86">
        <v>0</v>
      </c>
      <c r="N16" s="84">
        <v>4981337.93</v>
      </c>
      <c r="O16" s="84">
        <v>-9823751.6500000004</v>
      </c>
      <c r="P16" s="86">
        <v>0</v>
      </c>
      <c r="AL16" s="216"/>
      <c r="AQ16" s="216"/>
      <c r="AR16" s="216"/>
      <c r="AS16" s="216"/>
      <c r="AT16" s="216"/>
      <c r="AU16" s="216"/>
      <c r="AV16" s="216"/>
      <c r="AW16" s="216"/>
      <c r="AY16" s="216"/>
      <c r="BH16" s="216" t="s">
        <v>599</v>
      </c>
      <c r="BI16" s="218">
        <v>6240373</v>
      </c>
      <c r="BJ16" s="218">
        <v>62618096</v>
      </c>
      <c r="BK16" s="218">
        <v>12886844</v>
      </c>
      <c r="BL16" s="218">
        <v>1284273</v>
      </c>
      <c r="BM16" s="218">
        <v>6240373</v>
      </c>
      <c r="BN16" s="218">
        <v>7524646</v>
      </c>
      <c r="HN16" s="215" t="s">
        <v>600</v>
      </c>
      <c r="HP16" s="217">
        <v>771676</v>
      </c>
      <c r="HQ16" s="217">
        <v>20851</v>
      </c>
      <c r="HR16" s="217">
        <v>792527</v>
      </c>
      <c r="HS16" s="232">
        <v>0.97369048625472698</v>
      </c>
      <c r="HT16" s="147"/>
      <c r="HU16" s="229">
        <v>854113</v>
      </c>
      <c r="HV16" s="215">
        <v>22124</v>
      </c>
      <c r="HW16" s="215">
        <v>876237</v>
      </c>
      <c r="HX16" s="232">
        <v>0.97475112326916125</v>
      </c>
      <c r="HY16" s="232">
        <v>8.2900724689254426E-2</v>
      </c>
      <c r="HZ16" s="215">
        <v>79207</v>
      </c>
      <c r="IC16" s="220"/>
      <c r="ID16" s="216" t="s">
        <v>601</v>
      </c>
      <c r="IE16" s="221" t="s">
        <v>602</v>
      </c>
      <c r="IF16" s="218">
        <v>0</v>
      </c>
      <c r="IH16" s="216" t="s">
        <v>603</v>
      </c>
      <c r="II16" s="216" t="s">
        <v>604</v>
      </c>
      <c r="IJ16" s="218">
        <v>236974.55</v>
      </c>
      <c r="IM16" s="216" t="s">
        <v>605</v>
      </c>
      <c r="IN16" s="216" t="s">
        <v>606</v>
      </c>
      <c r="IO16" s="218">
        <v>282498790</v>
      </c>
      <c r="IR16" s="216" t="s">
        <v>607</v>
      </c>
      <c r="IS16" s="216" t="s">
        <v>608</v>
      </c>
      <c r="IT16" s="218">
        <v>1073746182</v>
      </c>
    </row>
    <row r="17" spans="1:254">
      <c r="A17" s="216" t="s">
        <v>609</v>
      </c>
      <c r="B17" s="84">
        <v>3537032107.9699998</v>
      </c>
      <c r="C17" s="84">
        <v>5664735.4399999995</v>
      </c>
      <c r="D17" s="84">
        <v>1230208127.8299999</v>
      </c>
      <c r="E17" s="84">
        <v>196076805.12</v>
      </c>
      <c r="F17" s="84">
        <v>55698931.650000006</v>
      </c>
      <c r="G17" s="86">
        <v>140377873.47</v>
      </c>
      <c r="H17" s="86">
        <v>81079290</v>
      </c>
      <c r="I17" s="84">
        <v>0</v>
      </c>
      <c r="J17" s="84">
        <v>0</v>
      </c>
      <c r="K17" s="84">
        <v>0</v>
      </c>
      <c r="L17" s="84">
        <v>0</v>
      </c>
      <c r="M17" s="86">
        <v>0</v>
      </c>
      <c r="N17" s="84">
        <v>4981337.93</v>
      </c>
      <c r="O17" s="84">
        <v>-9812103.0700000003</v>
      </c>
      <c r="P17" s="86">
        <v>0</v>
      </c>
      <c r="Q17" s="84"/>
      <c r="AL17" s="216"/>
      <c r="AQ17" s="216"/>
      <c r="AR17" s="216"/>
      <c r="AS17" s="216"/>
      <c r="AT17" s="216"/>
      <c r="AU17" s="216"/>
      <c r="AV17" s="216"/>
      <c r="AW17" s="216"/>
      <c r="AY17" s="216"/>
      <c r="BH17" s="216" t="s">
        <v>610</v>
      </c>
      <c r="BI17" s="218">
        <v>6240373</v>
      </c>
      <c r="BJ17" s="218">
        <v>62426103</v>
      </c>
      <c r="BK17" s="218">
        <v>12917721</v>
      </c>
      <c r="BL17" s="218">
        <v>1291309</v>
      </c>
      <c r="BM17" s="218">
        <v>6240373</v>
      </c>
      <c r="BN17" s="218">
        <v>7531682</v>
      </c>
      <c r="HP17" s="217"/>
      <c r="HQ17" s="217"/>
      <c r="HR17" s="217"/>
      <c r="HS17" s="232"/>
      <c r="HT17" s="147"/>
      <c r="HU17" s="229"/>
      <c r="HX17" s="232"/>
      <c r="IC17" s="220"/>
      <c r="ID17" s="216" t="s">
        <v>611</v>
      </c>
      <c r="IE17" s="221" t="s">
        <v>612</v>
      </c>
      <c r="IF17" s="218">
        <v>57877</v>
      </c>
      <c r="IH17" s="216" t="s">
        <v>613</v>
      </c>
      <c r="II17" s="216" t="s">
        <v>614</v>
      </c>
      <c r="IJ17" s="218">
        <v>20142</v>
      </c>
      <c r="IM17" s="216" t="s">
        <v>615</v>
      </c>
      <c r="IN17" s="216" t="s">
        <v>616</v>
      </c>
      <c r="IO17" s="218">
        <v>80803283</v>
      </c>
      <c r="IR17" s="216" t="s">
        <v>617</v>
      </c>
      <c r="IS17" s="216" t="s">
        <v>1552</v>
      </c>
      <c r="IT17" s="218">
        <v>206437666</v>
      </c>
    </row>
    <row r="18" spans="1:254">
      <c r="A18" s="216" t="s">
        <v>618</v>
      </c>
      <c r="B18" s="84">
        <v>3543102218.1699996</v>
      </c>
      <c r="C18" s="84">
        <v>5664735.4399999995</v>
      </c>
      <c r="D18" s="84">
        <v>1240653196.3899999</v>
      </c>
      <c r="E18" s="84">
        <v>204199752.97999999</v>
      </c>
      <c r="F18" s="84">
        <v>55627143.399999976</v>
      </c>
      <c r="G18" s="86">
        <v>148572609.58000001</v>
      </c>
      <c r="H18" s="86">
        <v>87093407.349999994</v>
      </c>
      <c r="I18" s="84">
        <v>0</v>
      </c>
      <c r="J18" s="84">
        <v>0</v>
      </c>
      <c r="K18" s="84">
        <v>0</v>
      </c>
      <c r="L18" s="84">
        <v>0</v>
      </c>
      <c r="M18" s="86">
        <v>0</v>
      </c>
      <c r="N18" s="84">
        <v>4981337.93</v>
      </c>
      <c r="O18" s="84">
        <v>-9800454.5099999998</v>
      </c>
      <c r="P18" s="86">
        <v>0</v>
      </c>
      <c r="AL18" s="216"/>
      <c r="AQ18" s="216"/>
      <c r="AR18" s="216"/>
      <c r="AS18" s="216"/>
      <c r="AT18" s="216"/>
      <c r="AU18" s="216"/>
      <c r="AV18" s="216"/>
      <c r="AW18" s="216"/>
      <c r="AY18" s="216"/>
      <c r="BH18" s="216" t="s">
        <v>619</v>
      </c>
      <c r="BI18" s="218">
        <v>6240373</v>
      </c>
      <c r="BJ18" s="218">
        <v>62272631</v>
      </c>
      <c r="BK18" s="218">
        <v>12948904</v>
      </c>
      <c r="BL18" s="218">
        <v>1297616</v>
      </c>
      <c r="BM18" s="218">
        <v>6240373</v>
      </c>
      <c r="BN18" s="218">
        <v>7537989</v>
      </c>
      <c r="HO18" s="234" t="s">
        <v>620</v>
      </c>
      <c r="HP18" s="235"/>
      <c r="HQ18" s="235"/>
      <c r="HR18" s="217"/>
      <c r="HS18" s="232">
        <v>0.95283779999999996</v>
      </c>
      <c r="HT18" s="147"/>
      <c r="HU18" s="229"/>
      <c r="HX18" s="232">
        <v>0.95283779999999996</v>
      </c>
      <c r="IC18" s="220"/>
      <c r="ID18" s="216" t="s">
        <v>621</v>
      </c>
      <c r="IE18" s="221" t="s">
        <v>622</v>
      </c>
      <c r="IF18" s="218">
        <v>0</v>
      </c>
      <c r="IH18" s="216" t="s">
        <v>623</v>
      </c>
      <c r="II18" s="236" t="s">
        <v>624</v>
      </c>
      <c r="IJ18" s="218">
        <v>4.4816358299999998E-2</v>
      </c>
      <c r="IM18" s="216" t="s">
        <v>625</v>
      </c>
      <c r="IN18" s="216" t="s">
        <v>626</v>
      </c>
      <c r="IO18" s="218">
        <v>16265385</v>
      </c>
      <c r="IR18" s="216" t="s">
        <v>627</v>
      </c>
      <c r="IS18" s="216" t="s">
        <v>628</v>
      </c>
      <c r="IT18" s="218">
        <v>0</v>
      </c>
    </row>
    <row r="19" spans="1:254" s="85" customFormat="1">
      <c r="A19" s="150" t="s">
        <v>629</v>
      </c>
      <c r="B19" s="84">
        <v>3546452014.1499996</v>
      </c>
      <c r="C19" s="84">
        <v>5664735.4399999995</v>
      </c>
      <c r="D19" s="84">
        <v>1251912049.3199999</v>
      </c>
      <c r="E19" s="84">
        <v>224651962.46000001</v>
      </c>
      <c r="F19" s="84">
        <v>64513218.680000007</v>
      </c>
      <c r="G19" s="86">
        <v>160138743.78</v>
      </c>
      <c r="H19" s="86">
        <v>91060771</v>
      </c>
      <c r="I19" s="84">
        <v>0</v>
      </c>
      <c r="J19" s="84">
        <v>0</v>
      </c>
      <c r="K19" s="84">
        <v>0</v>
      </c>
      <c r="L19" s="84">
        <v>0</v>
      </c>
      <c r="M19" s="86">
        <v>0</v>
      </c>
      <c r="N19" s="84">
        <v>4981337.93</v>
      </c>
      <c r="O19" s="84">
        <v>-9788805.9399999995</v>
      </c>
      <c r="P19" s="86">
        <v>0</v>
      </c>
      <c r="AL19" s="150"/>
      <c r="AQ19" s="150"/>
      <c r="AR19" s="150"/>
      <c r="AS19" s="150"/>
      <c r="AT19" s="150"/>
      <c r="AU19" s="150"/>
      <c r="AV19" s="150"/>
      <c r="AW19" s="150"/>
      <c r="BH19" s="150" t="s">
        <v>630</v>
      </c>
      <c r="BI19" s="86">
        <v>6250480</v>
      </c>
      <c r="BJ19" s="86">
        <v>62093624</v>
      </c>
      <c r="BK19" s="86">
        <v>12979632</v>
      </c>
      <c r="BL19" s="86">
        <v>1306558</v>
      </c>
      <c r="BM19" s="86">
        <v>6250480</v>
      </c>
      <c r="BN19" s="86">
        <v>7557038</v>
      </c>
      <c r="HP19" s="153"/>
      <c r="HQ19" s="153"/>
      <c r="HR19" s="153"/>
      <c r="HS19" s="90"/>
      <c r="HT19" s="147"/>
      <c r="HU19" s="237"/>
      <c r="HX19" s="90"/>
      <c r="IB19" s="215"/>
      <c r="IC19" s="238"/>
      <c r="ID19" s="150" t="s">
        <v>631</v>
      </c>
      <c r="IE19" s="239" t="s">
        <v>632</v>
      </c>
      <c r="IF19" s="218">
        <v>0</v>
      </c>
      <c r="IH19" s="150" t="s">
        <v>633</v>
      </c>
      <c r="II19" s="150" t="s">
        <v>634</v>
      </c>
      <c r="IJ19" s="240">
        <v>6.3291889399999995E-2</v>
      </c>
      <c r="IM19" s="150" t="s">
        <v>635</v>
      </c>
      <c r="IN19" s="150" t="s">
        <v>636</v>
      </c>
      <c r="IO19" s="86">
        <v>185430122</v>
      </c>
      <c r="IR19" s="150" t="s">
        <v>637</v>
      </c>
      <c r="IS19" s="150" t="s">
        <v>638</v>
      </c>
      <c r="IT19" s="86">
        <v>315189746</v>
      </c>
    </row>
    <row r="20" spans="1:254" s="85" customFormat="1">
      <c r="A20" s="150" t="s">
        <v>639</v>
      </c>
      <c r="B20" s="84">
        <v>3565814983.9199996</v>
      </c>
      <c r="C20" s="84">
        <v>5664735.4399999995</v>
      </c>
      <c r="D20" s="84">
        <v>1261015367.2199998</v>
      </c>
      <c r="E20" s="84">
        <v>227967156.59999999</v>
      </c>
      <c r="F20" s="84">
        <v>58892054.140000015</v>
      </c>
      <c r="G20" s="86">
        <v>169075102.45999998</v>
      </c>
      <c r="H20" s="86">
        <v>95214729</v>
      </c>
      <c r="I20" s="84">
        <v>0</v>
      </c>
      <c r="J20" s="84">
        <v>0</v>
      </c>
      <c r="K20" s="84">
        <v>0</v>
      </c>
      <c r="L20" s="84">
        <v>0</v>
      </c>
      <c r="M20" s="86">
        <v>0</v>
      </c>
      <c r="N20" s="84">
        <v>4981337.93</v>
      </c>
      <c r="O20" s="84">
        <v>-9777157.3699999992</v>
      </c>
      <c r="P20" s="86">
        <v>0</v>
      </c>
      <c r="AL20" s="150"/>
      <c r="AQ20" s="150"/>
      <c r="AR20" s="150"/>
      <c r="AT20" s="150"/>
      <c r="AU20" s="150"/>
      <c r="AV20" s="150"/>
      <c r="AW20" s="150"/>
      <c r="BH20" s="150" t="s">
        <v>640</v>
      </c>
      <c r="BI20" s="86">
        <v>6250480</v>
      </c>
      <c r="BJ20" s="86">
        <v>61978406</v>
      </c>
      <c r="BK20" s="86">
        <v>12971597</v>
      </c>
      <c r="BL20" s="86">
        <v>1308177</v>
      </c>
      <c r="BM20" s="86">
        <v>6250480</v>
      </c>
      <c r="BN20" s="86">
        <v>7558657</v>
      </c>
      <c r="HN20" s="241" t="s">
        <v>641</v>
      </c>
      <c r="HP20" s="153">
        <v>3059</v>
      </c>
      <c r="HQ20" s="153">
        <v>89</v>
      </c>
      <c r="HR20" s="153">
        <v>3148</v>
      </c>
      <c r="HS20" s="90">
        <v>0.97172808132147392</v>
      </c>
      <c r="HT20" s="147"/>
      <c r="HU20" s="237">
        <v>3065</v>
      </c>
      <c r="HV20" s="85">
        <v>99</v>
      </c>
      <c r="HW20" s="85">
        <v>3164</v>
      </c>
      <c r="HX20" s="90">
        <v>0.96871049304677626</v>
      </c>
      <c r="HY20" s="85">
        <v>0</v>
      </c>
      <c r="HZ20" s="85">
        <v>0</v>
      </c>
      <c r="IB20" s="215"/>
      <c r="IC20" s="238"/>
      <c r="ID20" s="150" t="s">
        <v>642</v>
      </c>
      <c r="IE20" s="239" t="s">
        <v>643</v>
      </c>
      <c r="IF20" s="218">
        <v>-186122892</v>
      </c>
      <c r="IH20" s="150" t="s">
        <v>644</v>
      </c>
      <c r="II20" s="150" t="s">
        <v>645</v>
      </c>
      <c r="IJ20" s="218">
        <v>6.3974069999999994E-2</v>
      </c>
      <c r="IM20" s="150" t="s">
        <v>646</v>
      </c>
      <c r="IN20" s="150" t="s">
        <v>647</v>
      </c>
      <c r="IO20" s="86">
        <v>6.8273992800000002E-2</v>
      </c>
      <c r="IR20" s="150" t="s">
        <v>648</v>
      </c>
      <c r="IS20" s="150" t="s">
        <v>1610</v>
      </c>
      <c r="IT20" s="86">
        <v>0</v>
      </c>
    </row>
    <row r="21" spans="1:254" s="85" customFormat="1">
      <c r="A21" s="150" t="s">
        <v>649</v>
      </c>
      <c r="B21" s="84">
        <v>3570163025.6299996</v>
      </c>
      <c r="C21" s="84">
        <v>5664735.4399999995</v>
      </c>
      <c r="D21" s="84">
        <v>1268914171.0200002</v>
      </c>
      <c r="E21" s="84">
        <v>239292454.72</v>
      </c>
      <c r="F21" s="84">
        <v>62465445.300000012</v>
      </c>
      <c r="G21" s="86">
        <v>176827009.41999999</v>
      </c>
      <c r="H21" s="86">
        <v>98628401</v>
      </c>
      <c r="I21" s="84">
        <v>0</v>
      </c>
      <c r="J21" s="84">
        <v>0</v>
      </c>
      <c r="K21" s="84">
        <v>0</v>
      </c>
      <c r="L21" s="84">
        <v>0</v>
      </c>
      <c r="M21" s="86">
        <v>0</v>
      </c>
      <c r="N21" s="84">
        <v>3950346.7</v>
      </c>
      <c r="O21" s="84">
        <v>-10796500.060000001</v>
      </c>
      <c r="P21" s="86">
        <v>0</v>
      </c>
      <c r="R21" s="84"/>
      <c r="AL21" s="150"/>
      <c r="AQ21" s="150"/>
      <c r="AR21" s="150"/>
      <c r="AU21" s="150"/>
      <c r="AV21" s="150"/>
      <c r="AW21" s="150"/>
      <c r="BH21" s="150" t="s">
        <v>650</v>
      </c>
      <c r="BI21" s="86">
        <v>6250480</v>
      </c>
      <c r="BJ21" s="86">
        <v>62961602</v>
      </c>
      <c r="BK21" s="86">
        <v>13041767</v>
      </c>
      <c r="BL21" s="86">
        <v>1294715</v>
      </c>
      <c r="BM21" s="86">
        <v>6250480</v>
      </c>
      <c r="BN21" s="86">
        <v>7545195</v>
      </c>
      <c r="HP21" s="153"/>
      <c r="HQ21" s="153"/>
      <c r="HR21" s="153"/>
      <c r="HS21" s="90"/>
      <c r="HT21" s="147"/>
      <c r="HU21" s="237"/>
      <c r="HX21" s="90"/>
      <c r="IB21" s="215"/>
      <c r="IC21" s="238"/>
      <c r="ID21" s="150" t="s">
        <v>651</v>
      </c>
      <c r="IE21" s="239" t="s">
        <v>652</v>
      </c>
      <c r="IF21" s="218">
        <v>-11767702</v>
      </c>
      <c r="IH21" s="150" t="s">
        <v>653</v>
      </c>
      <c r="II21" s="150" t="s">
        <v>654</v>
      </c>
      <c r="IJ21" s="86">
        <v>54711613.920000002</v>
      </c>
      <c r="IM21" s="150" t="s">
        <v>655</v>
      </c>
      <c r="IN21" s="150" t="s">
        <v>656</v>
      </c>
      <c r="IO21" s="86">
        <v>0.39002545329999999</v>
      </c>
      <c r="IR21" s="150" t="s">
        <v>657</v>
      </c>
      <c r="IS21" s="150" t="s">
        <v>1564</v>
      </c>
      <c r="IT21" s="86">
        <v>142922573</v>
      </c>
    </row>
    <row r="22" spans="1:254" s="85" customFormat="1">
      <c r="A22" s="150" t="s">
        <v>658</v>
      </c>
      <c r="B22" s="84">
        <v>3628365877.27</v>
      </c>
      <c r="C22" s="84">
        <v>5664735.4399999995</v>
      </c>
      <c r="D22" s="84">
        <v>1273413908.04</v>
      </c>
      <c r="E22" s="84">
        <v>207265271.19</v>
      </c>
      <c r="F22" s="84">
        <v>67712419.239999995</v>
      </c>
      <c r="G22" s="86">
        <v>139552851.94999999</v>
      </c>
      <c r="H22" s="86">
        <v>59206269</v>
      </c>
      <c r="I22" s="84">
        <v>0</v>
      </c>
      <c r="J22" s="84">
        <v>0</v>
      </c>
      <c r="K22" s="84">
        <v>0</v>
      </c>
      <c r="L22" s="84">
        <v>0</v>
      </c>
      <c r="M22" s="86">
        <v>0</v>
      </c>
      <c r="N22" s="84">
        <v>3950346.7</v>
      </c>
      <c r="O22" s="84">
        <v>-10767443.109999999</v>
      </c>
      <c r="P22" s="86">
        <v>0</v>
      </c>
      <c r="AL22" s="150"/>
      <c r="AQ22" s="150"/>
      <c r="AR22" s="150"/>
      <c r="AU22" s="150"/>
      <c r="AV22" s="150"/>
      <c r="AW22" s="150"/>
      <c r="BH22" s="150" t="s">
        <v>659</v>
      </c>
      <c r="BI22" s="84">
        <v>6250480</v>
      </c>
      <c r="BJ22" s="84">
        <v>64118636</v>
      </c>
      <c r="BK22" s="84">
        <v>13076371</v>
      </c>
      <c r="BL22" s="84">
        <v>1274724</v>
      </c>
      <c r="BM22" s="84">
        <v>6250480</v>
      </c>
      <c r="BN22" s="84">
        <v>7525204</v>
      </c>
      <c r="HN22" s="85" t="s">
        <v>660</v>
      </c>
      <c r="HP22" s="153">
        <v>35818</v>
      </c>
      <c r="HQ22" s="153">
        <v>812</v>
      </c>
      <c r="HR22" s="153">
        <v>36630</v>
      </c>
      <c r="HS22" s="90">
        <v>0.97783237783237786</v>
      </c>
      <c r="HT22" s="147"/>
      <c r="HU22" s="237">
        <v>15850</v>
      </c>
      <c r="HV22" s="85">
        <v>511</v>
      </c>
      <c r="HW22" s="85">
        <v>16361</v>
      </c>
      <c r="HX22" s="90">
        <v>0.96876719026954339</v>
      </c>
      <c r="HY22" s="90">
        <v>2.2406787762906308E-2</v>
      </c>
      <c r="HZ22" s="85">
        <v>375</v>
      </c>
      <c r="IB22" s="215"/>
      <c r="IC22" s="238"/>
      <c r="ID22" s="150" t="s">
        <v>661</v>
      </c>
      <c r="IE22" s="239" t="s">
        <v>662</v>
      </c>
      <c r="IF22" s="218">
        <v>11204223</v>
      </c>
      <c r="IH22" s="150" t="s">
        <v>663</v>
      </c>
      <c r="II22" s="150" t="s">
        <v>664</v>
      </c>
      <c r="IJ22" s="86">
        <v>49222930.920000002</v>
      </c>
      <c r="IM22" s="150" t="s">
        <v>665</v>
      </c>
      <c r="IN22" s="150" t="s">
        <v>666</v>
      </c>
      <c r="IO22" s="86">
        <v>18430617</v>
      </c>
      <c r="IR22" s="242" t="s">
        <v>667</v>
      </c>
      <c r="IS22" s="242" t="s">
        <v>668</v>
      </c>
      <c r="IT22" s="84">
        <v>0</v>
      </c>
    </row>
    <row r="23" spans="1:254" s="85" customFormat="1">
      <c r="A23" s="150" t="s">
        <v>669</v>
      </c>
      <c r="B23" s="84">
        <v>3633731460.4599996</v>
      </c>
      <c r="C23" s="84">
        <v>5664735.4399999995</v>
      </c>
      <c r="D23" s="84">
        <v>1280229198.8900001</v>
      </c>
      <c r="E23" s="84">
        <v>224534606.97999999</v>
      </c>
      <c r="F23" s="84">
        <v>73148712.469999999</v>
      </c>
      <c r="G23" s="86">
        <v>151385894.50999999</v>
      </c>
      <c r="H23" s="86">
        <v>60211802</v>
      </c>
      <c r="I23" s="84">
        <v>0</v>
      </c>
      <c r="J23" s="84">
        <v>0</v>
      </c>
      <c r="K23" s="84">
        <v>0</v>
      </c>
      <c r="L23" s="84">
        <v>0</v>
      </c>
      <c r="M23" s="86">
        <v>0</v>
      </c>
      <c r="N23" s="84">
        <v>3943449.45</v>
      </c>
      <c r="O23" s="84">
        <v>-10762691.789999999</v>
      </c>
      <c r="P23" s="86">
        <v>0</v>
      </c>
      <c r="AL23" s="150"/>
      <c r="AQ23" s="150"/>
      <c r="AR23" s="150"/>
      <c r="AU23" s="150"/>
      <c r="AV23" s="150"/>
      <c r="AW23" s="150"/>
      <c r="BH23" s="150" t="s">
        <v>670</v>
      </c>
      <c r="BI23" s="86">
        <v>79012557</v>
      </c>
      <c r="BJ23" s="86">
        <v>822161716</v>
      </c>
      <c r="BK23" s="86">
        <v>164042780</v>
      </c>
      <c r="BL23" s="86">
        <v>15809453</v>
      </c>
      <c r="BM23" s="86">
        <v>79012557</v>
      </c>
      <c r="BN23" s="86">
        <v>94822010</v>
      </c>
      <c r="HP23" s="153"/>
      <c r="HQ23" s="153"/>
      <c r="HR23" s="153"/>
      <c r="HS23" s="90"/>
      <c r="HT23" s="147"/>
      <c r="HU23" s="237"/>
      <c r="HX23" s="90"/>
      <c r="IB23" s="215"/>
      <c r="IC23" s="238"/>
      <c r="ID23" s="150" t="s">
        <v>671</v>
      </c>
      <c r="IE23" s="239" t="s">
        <v>672</v>
      </c>
      <c r="IF23" s="218">
        <v>811351</v>
      </c>
      <c r="IH23" s="150" t="s">
        <v>673</v>
      </c>
      <c r="II23" s="150" t="s">
        <v>674</v>
      </c>
      <c r="IJ23" s="86">
        <v>6202500</v>
      </c>
      <c r="IM23" s="150" t="s">
        <v>675</v>
      </c>
      <c r="IN23" s="150" t="s">
        <v>676</v>
      </c>
      <c r="IO23" s="86">
        <v>0</v>
      </c>
      <c r="IR23" s="150" t="s">
        <v>677</v>
      </c>
      <c r="IS23" s="150" t="s">
        <v>678</v>
      </c>
      <c r="IT23" s="86">
        <v>-10185617</v>
      </c>
    </row>
    <row r="24" spans="1:254">
      <c r="A24" s="216" t="s">
        <v>679</v>
      </c>
      <c r="B24" s="84">
        <v>3640644778.5</v>
      </c>
      <c r="C24" s="84">
        <v>5664735.4399999995</v>
      </c>
      <c r="D24" s="84">
        <v>1286184392.77</v>
      </c>
      <c r="E24" s="84">
        <v>250846375.90000001</v>
      </c>
      <c r="F24" s="84">
        <v>81742283.190000027</v>
      </c>
      <c r="G24" s="218">
        <v>169104092.70999998</v>
      </c>
      <c r="H24" s="218">
        <v>61103063</v>
      </c>
      <c r="I24" s="84">
        <v>0</v>
      </c>
      <c r="J24" s="84">
        <v>0</v>
      </c>
      <c r="K24" s="84">
        <v>0</v>
      </c>
      <c r="L24" s="84">
        <v>0</v>
      </c>
      <c r="M24" s="218">
        <v>0</v>
      </c>
      <c r="N24" s="84">
        <v>3943449.45</v>
      </c>
      <c r="O24" s="84">
        <v>-10772879.67</v>
      </c>
      <c r="P24" s="218">
        <v>0</v>
      </c>
      <c r="AL24" s="216"/>
      <c r="AR24" s="216"/>
      <c r="AU24" s="216"/>
      <c r="AV24" s="216"/>
      <c r="AW24" s="216"/>
      <c r="BH24" s="216" t="s">
        <v>680</v>
      </c>
      <c r="BI24" s="218">
        <v>6077889</v>
      </c>
      <c r="BJ24" s="218">
        <v>63243209</v>
      </c>
      <c r="BK24" s="218">
        <v>12618675</v>
      </c>
      <c r="BL24" s="218">
        <v>1216112</v>
      </c>
      <c r="BM24" s="218">
        <v>6077889</v>
      </c>
      <c r="BN24" s="218">
        <v>7294001</v>
      </c>
      <c r="HN24" s="215" t="s">
        <v>681</v>
      </c>
      <c r="HP24" s="217"/>
      <c r="HQ24" s="217"/>
      <c r="HR24" s="217"/>
      <c r="HS24" s="232"/>
      <c r="HT24" s="147"/>
      <c r="HU24" s="229"/>
      <c r="HX24" s="232"/>
      <c r="IC24" s="220"/>
      <c r="ID24" s="216" t="s">
        <v>682</v>
      </c>
      <c r="IE24" s="221" t="s">
        <v>683</v>
      </c>
      <c r="IF24" s="218">
        <v>0</v>
      </c>
      <c r="IH24" s="216" t="s">
        <v>684</v>
      </c>
      <c r="II24" s="216" t="s">
        <v>685</v>
      </c>
      <c r="IJ24" s="218">
        <v>5580264</v>
      </c>
      <c r="IM24" s="216" t="s">
        <v>686</v>
      </c>
      <c r="IN24" s="216" t="s">
        <v>687</v>
      </c>
      <c r="IO24" s="218">
        <v>254215062</v>
      </c>
      <c r="IR24" s="216" t="s">
        <v>688</v>
      </c>
      <c r="IS24" s="216" t="s">
        <v>689</v>
      </c>
      <c r="IT24" s="218">
        <v>0</v>
      </c>
    </row>
    <row r="25" spans="1:254">
      <c r="A25" s="216" t="s">
        <v>1557</v>
      </c>
      <c r="B25" s="84">
        <v>3733242422.1299996</v>
      </c>
      <c r="C25" s="84">
        <v>5664735.4399999995</v>
      </c>
      <c r="D25" s="84">
        <v>1292814164.02</v>
      </c>
      <c r="E25" s="84">
        <v>198625267.13999999</v>
      </c>
      <c r="F25" s="84">
        <v>71964942.970000014</v>
      </c>
      <c r="G25" s="218">
        <v>126660324.16999997</v>
      </c>
      <c r="H25" s="86">
        <v>663308</v>
      </c>
      <c r="I25" s="84">
        <v>0</v>
      </c>
      <c r="J25" s="84">
        <v>0</v>
      </c>
      <c r="K25" s="84">
        <v>0</v>
      </c>
      <c r="L25" s="84">
        <v>0</v>
      </c>
      <c r="M25" s="218">
        <v>0</v>
      </c>
      <c r="N25" s="84">
        <v>3958173.16</v>
      </c>
      <c r="O25" s="84">
        <v>-10770091.049999999</v>
      </c>
      <c r="P25" s="84">
        <v>0</v>
      </c>
      <c r="R25" s="216" t="s">
        <v>690</v>
      </c>
      <c r="AL25" s="216"/>
      <c r="AR25" s="216"/>
      <c r="AU25" s="216"/>
      <c r="AV25" s="216"/>
      <c r="AW25" s="216"/>
      <c r="HP25" s="217"/>
      <c r="HQ25" s="217"/>
      <c r="HR25" s="217"/>
      <c r="HS25" s="232"/>
      <c r="HT25" s="147"/>
      <c r="HU25" s="229"/>
      <c r="HX25" s="232"/>
      <c r="IC25" s="220"/>
      <c r="ID25" s="216" t="s">
        <v>691</v>
      </c>
      <c r="IE25" s="221" t="s">
        <v>692</v>
      </c>
      <c r="IF25" s="218">
        <v>45742650</v>
      </c>
      <c r="IH25" s="216" t="s">
        <v>693</v>
      </c>
      <c r="II25" s="216" t="s">
        <v>694</v>
      </c>
      <c r="IJ25" s="218">
        <v>4.5095165999999999E-2</v>
      </c>
      <c r="IM25" s="216" t="s">
        <v>695</v>
      </c>
      <c r="IN25" s="216" t="s">
        <v>696</v>
      </c>
      <c r="IO25" s="218">
        <v>279610495</v>
      </c>
      <c r="IR25" s="216" t="s">
        <v>697</v>
      </c>
      <c r="IS25" s="216" t="s">
        <v>698</v>
      </c>
      <c r="IT25" s="218">
        <v>4584344</v>
      </c>
    </row>
    <row r="26" spans="1:254">
      <c r="O26" s="84"/>
      <c r="P26" s="84"/>
      <c r="R26" s="216" t="s">
        <v>699</v>
      </c>
      <c r="AL26" s="216"/>
      <c r="AR26" s="216"/>
      <c r="AU26" s="216"/>
      <c r="AV26" s="216"/>
      <c r="AW26" s="216"/>
      <c r="HO26" s="215" t="s">
        <v>2149</v>
      </c>
      <c r="HP26" s="217">
        <v>35</v>
      </c>
      <c r="HQ26" s="217">
        <v>1</v>
      </c>
      <c r="HR26" s="217">
        <v>36</v>
      </c>
      <c r="HS26" s="232">
        <v>0.97222222222222221</v>
      </c>
      <c r="HT26" s="147"/>
      <c r="HU26" s="229">
        <v>654</v>
      </c>
      <c r="HV26" s="215">
        <v>25</v>
      </c>
      <c r="HW26" s="215">
        <v>679</v>
      </c>
      <c r="HX26" s="232">
        <v>0.96318114874815908</v>
      </c>
      <c r="HY26" s="232">
        <v>0.15965346534653466</v>
      </c>
      <c r="HZ26" s="215">
        <v>129</v>
      </c>
      <c r="IC26" s="220"/>
      <c r="ID26" s="216" t="s">
        <v>700</v>
      </c>
      <c r="IE26" s="221" t="s">
        <v>701</v>
      </c>
      <c r="IF26" s="218">
        <v>97075766</v>
      </c>
      <c r="IH26" s="216" t="s">
        <v>702</v>
      </c>
      <c r="II26" s="216" t="s">
        <v>703</v>
      </c>
      <c r="IJ26" s="218">
        <v>6.3291885000000006E-2</v>
      </c>
      <c r="IL26" s="84"/>
      <c r="IM26" s="216" t="s">
        <v>704</v>
      </c>
      <c r="IN26" s="216" t="s">
        <v>705</v>
      </c>
      <c r="IO26" s="218">
        <v>484654801.08000004</v>
      </c>
      <c r="IR26" s="216" t="s">
        <v>706</v>
      </c>
      <c r="IS26" s="216" t="s">
        <v>707</v>
      </c>
      <c r="IT26" s="218">
        <v>13498114</v>
      </c>
    </row>
    <row r="27" spans="1:254">
      <c r="B27" s="216" t="s">
        <v>1649</v>
      </c>
      <c r="C27" s="216" t="s">
        <v>1878</v>
      </c>
      <c r="D27" s="216" t="s">
        <v>1878</v>
      </c>
      <c r="E27" s="216" t="s">
        <v>708</v>
      </c>
      <c r="F27" s="216" t="s">
        <v>1878</v>
      </c>
      <c r="G27" s="216" t="s">
        <v>1878</v>
      </c>
      <c r="H27" s="216" t="s">
        <v>1878</v>
      </c>
      <c r="I27" s="216" t="s">
        <v>1878</v>
      </c>
      <c r="J27" s="216" t="s">
        <v>1878</v>
      </c>
      <c r="K27" s="216" t="s">
        <v>1878</v>
      </c>
      <c r="L27" s="216" t="s">
        <v>1878</v>
      </c>
      <c r="M27" s="216" t="s">
        <v>1878</v>
      </c>
      <c r="N27" s="216" t="s">
        <v>1878</v>
      </c>
      <c r="O27" s="216" t="s">
        <v>1878</v>
      </c>
      <c r="P27" s="216" t="s">
        <v>1878</v>
      </c>
      <c r="AL27" s="216"/>
      <c r="AU27" s="216"/>
      <c r="AV27" s="216"/>
      <c r="AW27" s="216"/>
      <c r="HP27" s="217"/>
      <c r="HQ27" s="217"/>
      <c r="HR27" s="217"/>
      <c r="HS27" s="232"/>
      <c r="HT27" s="147"/>
      <c r="HU27" s="229"/>
      <c r="HX27" s="232"/>
      <c r="IC27" s="220"/>
      <c r="ID27" s="216" t="s">
        <v>709</v>
      </c>
      <c r="IE27" s="221" t="s">
        <v>710</v>
      </c>
      <c r="IF27" s="218">
        <v>-271340888</v>
      </c>
      <c r="IH27" s="216" t="s">
        <v>711</v>
      </c>
      <c r="II27" s="216" t="s">
        <v>712</v>
      </c>
      <c r="IJ27" s="218">
        <v>6.3291885199999995E-2</v>
      </c>
      <c r="IM27" s="216" t="s">
        <v>713</v>
      </c>
      <c r="IN27" s="216" t="s">
        <v>714</v>
      </c>
      <c r="IO27" s="218">
        <v>118061590.60000001</v>
      </c>
      <c r="IR27" s="216" t="s">
        <v>715</v>
      </c>
      <c r="IS27" s="216" t="s">
        <v>604</v>
      </c>
      <c r="IT27" s="218">
        <v>5664735</v>
      </c>
    </row>
    <row r="28" spans="1:254">
      <c r="A28" s="216" t="s">
        <v>716</v>
      </c>
      <c r="B28" s="218">
        <v>46454417280.869995</v>
      </c>
      <c r="C28" s="218">
        <v>73641560.719999984</v>
      </c>
      <c r="D28" s="218">
        <v>16231422788.259998</v>
      </c>
      <c r="E28" s="218">
        <v>2683689663.4899998</v>
      </c>
      <c r="F28" s="218">
        <v>825696219.07000005</v>
      </c>
      <c r="G28" s="218">
        <v>1857993444.4200003</v>
      </c>
      <c r="H28" s="218">
        <v>926754267.35000002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59596468.900000006</v>
      </c>
      <c r="O28" s="218">
        <v>-132413024.56999999</v>
      </c>
      <c r="P28" s="218">
        <v>0</v>
      </c>
      <c r="AL28" s="216"/>
      <c r="AU28" s="216"/>
      <c r="AV28" s="216"/>
      <c r="AW28" s="216"/>
      <c r="HO28" s="215" t="s">
        <v>717</v>
      </c>
      <c r="HP28" s="217">
        <v>6127</v>
      </c>
      <c r="HQ28" s="217">
        <v>269</v>
      </c>
      <c r="HR28" s="217">
        <v>6396</v>
      </c>
      <c r="HS28" s="232">
        <v>0.95794246404002503</v>
      </c>
      <c r="HT28" s="147"/>
      <c r="HU28" s="229">
        <v>16676</v>
      </c>
      <c r="HV28" s="215">
        <v>313</v>
      </c>
      <c r="HW28" s="215">
        <v>17370</v>
      </c>
      <c r="HX28" s="232">
        <v>0.96004605641911345</v>
      </c>
      <c r="HY28" s="232">
        <v>2.1934369602763387E-2</v>
      </c>
      <c r="HZ28" s="215">
        <v>381</v>
      </c>
      <c r="IC28" s="220"/>
      <c r="ID28" s="216" t="s">
        <v>718</v>
      </c>
      <c r="IE28" s="221" t="s">
        <v>719</v>
      </c>
      <c r="IF28" s="218">
        <v>0</v>
      </c>
      <c r="IH28" s="216" t="s">
        <v>720</v>
      </c>
      <c r="II28" s="216" t="s">
        <v>721</v>
      </c>
      <c r="IJ28" s="218">
        <v>1075281238.7852702</v>
      </c>
      <c r="IM28" s="216" t="s">
        <v>722</v>
      </c>
      <c r="IN28" s="216" t="s">
        <v>723</v>
      </c>
      <c r="IO28" s="218">
        <v>0</v>
      </c>
      <c r="IR28" s="216" t="s">
        <v>724</v>
      </c>
      <c r="IS28" s="216" t="s">
        <v>725</v>
      </c>
      <c r="IT28" s="218">
        <v>97998345</v>
      </c>
    </row>
    <row r="29" spans="1:254">
      <c r="A29" s="216" t="s">
        <v>726</v>
      </c>
      <c r="B29" s="218">
        <v>3573416714</v>
      </c>
      <c r="C29" s="218">
        <v>5664735</v>
      </c>
      <c r="D29" s="218">
        <v>1248570984</v>
      </c>
      <c r="E29" s="218">
        <v>206437666</v>
      </c>
      <c r="F29" s="218">
        <v>63515094</v>
      </c>
      <c r="G29" s="218">
        <v>142922573</v>
      </c>
      <c r="H29" s="218">
        <v>71288790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4584344</v>
      </c>
      <c r="O29" s="218">
        <v>-10185617</v>
      </c>
      <c r="P29" s="218">
        <v>0</v>
      </c>
      <c r="AL29" s="216"/>
      <c r="AR29" s="242"/>
      <c r="AU29" s="216"/>
      <c r="AW29" s="216"/>
      <c r="BH29" s="216" t="s">
        <v>2155</v>
      </c>
      <c r="HO29" s="215" t="s">
        <v>727</v>
      </c>
      <c r="HP29" s="217"/>
      <c r="HQ29" s="217"/>
      <c r="HR29" s="217"/>
      <c r="HS29" s="232">
        <v>0.9669295</v>
      </c>
      <c r="HT29" s="147"/>
      <c r="HU29" s="229">
        <v>40860</v>
      </c>
      <c r="HV29" s="215">
        <v>1514</v>
      </c>
      <c r="HW29" s="215">
        <v>42374</v>
      </c>
      <c r="HX29" s="232">
        <v>0.96427054325765804</v>
      </c>
      <c r="HY29" s="232">
        <v>5.9442422090029298E-2</v>
      </c>
      <c r="HZ29" s="215">
        <v>2678</v>
      </c>
      <c r="IC29" s="220"/>
      <c r="ID29" s="216" t="s">
        <v>728</v>
      </c>
      <c r="IE29" s="221" t="s">
        <v>729</v>
      </c>
      <c r="IF29" s="218">
        <v>81048364</v>
      </c>
      <c r="IH29" s="216" t="s">
        <v>730</v>
      </c>
      <c r="II29" s="216" t="s">
        <v>731</v>
      </c>
      <c r="IJ29" s="218">
        <v>0</v>
      </c>
      <c r="IM29" s="216" t="s">
        <v>732</v>
      </c>
      <c r="IN29" s="216" t="s">
        <v>733</v>
      </c>
      <c r="IO29" s="218">
        <v>0</v>
      </c>
      <c r="IR29" s="216" t="s">
        <v>734</v>
      </c>
      <c r="IS29" s="216" t="s">
        <v>614</v>
      </c>
      <c r="IT29" s="218">
        <v>1248570984</v>
      </c>
    </row>
    <row r="30" spans="1:254">
      <c r="B30" s="216" t="s">
        <v>735</v>
      </c>
      <c r="C30" s="216" t="s">
        <v>736</v>
      </c>
      <c r="D30" s="216" t="s">
        <v>736</v>
      </c>
      <c r="E30" s="216" t="s">
        <v>736</v>
      </c>
      <c r="F30" s="216" t="s">
        <v>736</v>
      </c>
      <c r="G30" s="216" t="s">
        <v>736</v>
      </c>
      <c r="H30" s="216" t="s">
        <v>736</v>
      </c>
      <c r="I30" s="216" t="s">
        <v>736</v>
      </c>
      <c r="J30" s="216" t="s">
        <v>736</v>
      </c>
      <c r="K30" s="216" t="s">
        <v>736</v>
      </c>
      <c r="L30" s="216" t="s">
        <v>736</v>
      </c>
      <c r="M30" s="216" t="s">
        <v>736</v>
      </c>
      <c r="N30" s="216" t="s">
        <v>736</v>
      </c>
      <c r="O30" s="216" t="s">
        <v>736</v>
      </c>
      <c r="P30" s="216" t="s">
        <v>736</v>
      </c>
      <c r="AL30" s="216"/>
      <c r="AU30" s="216"/>
      <c r="AW30" s="216"/>
      <c r="BH30" s="216" t="s">
        <v>1527</v>
      </c>
      <c r="HO30" s="215" t="s">
        <v>737</v>
      </c>
      <c r="HP30" s="217">
        <v>24698</v>
      </c>
      <c r="HQ30" s="217">
        <v>713</v>
      </c>
      <c r="HR30" s="217">
        <v>25411</v>
      </c>
      <c r="HS30" s="232">
        <v>0.97194128527015855</v>
      </c>
      <c r="HT30" s="147"/>
      <c r="HU30" s="229">
        <v>27397</v>
      </c>
      <c r="HV30" s="215">
        <v>766</v>
      </c>
      <c r="HW30" s="215">
        <v>28163</v>
      </c>
      <c r="HX30" s="232">
        <v>0.97280119305471713</v>
      </c>
      <c r="HY30" s="232">
        <v>4.6550206513643444E-2</v>
      </c>
      <c r="HZ30" s="215">
        <v>1375</v>
      </c>
      <c r="ID30" s="216" t="s">
        <v>738</v>
      </c>
      <c r="IE30" s="221" t="s">
        <v>739</v>
      </c>
      <c r="IF30" s="218">
        <v>725252</v>
      </c>
      <c r="IH30" s="216" t="s">
        <v>740</v>
      </c>
      <c r="II30" s="216" t="s">
        <v>741</v>
      </c>
      <c r="IJ30" s="218">
        <v>0</v>
      </c>
      <c r="IR30" s="216" t="s">
        <v>742</v>
      </c>
      <c r="IS30" s="216" t="s">
        <v>1596</v>
      </c>
      <c r="IT30" s="218">
        <v>3573416714</v>
      </c>
    </row>
    <row r="31" spans="1:254">
      <c r="AK31" s="216"/>
      <c r="AT31" s="216"/>
      <c r="AU31" s="84"/>
      <c r="AV31" s="216"/>
      <c r="BG31" s="216" t="s">
        <v>743</v>
      </c>
      <c r="HN31" s="215" t="s">
        <v>117</v>
      </c>
      <c r="HO31" s="217">
        <v>21569</v>
      </c>
      <c r="HP31" s="217">
        <v>526</v>
      </c>
      <c r="HQ31" s="217">
        <v>22095</v>
      </c>
      <c r="HR31" s="232">
        <v>0.97619370898393298</v>
      </c>
      <c r="HS31" s="147"/>
      <c r="HT31" s="229">
        <v>38418</v>
      </c>
      <c r="HU31" s="215">
        <v>948</v>
      </c>
      <c r="HV31" s="215">
        <v>39366</v>
      </c>
      <c r="HW31" s="232">
        <v>0.97591830513641209</v>
      </c>
      <c r="HX31" s="232">
        <v>3.3167075980454212E-3</v>
      </c>
      <c r="HY31" s="215">
        <v>131</v>
      </c>
      <c r="IB31" s="220"/>
      <c r="IC31" s="216" t="s">
        <v>744</v>
      </c>
      <c r="ID31" s="221" t="s">
        <v>745</v>
      </c>
      <c r="IE31" s="218">
        <v>0</v>
      </c>
      <c r="IG31" s="216" t="s">
        <v>746</v>
      </c>
      <c r="IH31" s="216" t="s">
        <v>747</v>
      </c>
      <c r="II31" s="218">
        <v>0</v>
      </c>
      <c r="IQ31" s="216" t="s">
        <v>748</v>
      </c>
      <c r="IR31" s="216" t="s">
        <v>749</v>
      </c>
      <c r="IS31" s="218">
        <v>-6495162</v>
      </c>
    </row>
    <row r="32" spans="1:254">
      <c r="AK32" s="216"/>
      <c r="AT32" s="216"/>
      <c r="AU32" s="84"/>
      <c r="AV32" s="216"/>
      <c r="BG32" s="216" t="s">
        <v>1548</v>
      </c>
      <c r="HO32" s="217"/>
      <c r="HP32" s="217"/>
      <c r="HQ32" s="217"/>
      <c r="HR32" s="232"/>
      <c r="HS32" s="147"/>
      <c r="HT32" s="229"/>
      <c r="HW32" s="232"/>
      <c r="IB32" s="220"/>
      <c r="IC32" s="216" t="s">
        <v>750</v>
      </c>
      <c r="ID32" s="221" t="s">
        <v>751</v>
      </c>
      <c r="IE32" s="218">
        <v>0</v>
      </c>
      <c r="IG32" s="216" t="s">
        <v>752</v>
      </c>
      <c r="IH32" s="216" t="s">
        <v>753</v>
      </c>
      <c r="II32" s="218">
        <v>4.57767969E-2</v>
      </c>
      <c r="IL32" s="216" t="s">
        <v>754</v>
      </c>
      <c r="IM32" s="216" t="s">
        <v>755</v>
      </c>
      <c r="IN32" s="218">
        <v>49977321</v>
      </c>
      <c r="IQ32" s="216" t="s">
        <v>756</v>
      </c>
      <c r="IR32" s="216" t="s">
        <v>1575</v>
      </c>
      <c r="IS32" s="218">
        <v>0</v>
      </c>
    </row>
    <row r="33" spans="1:255">
      <c r="K33" s="216" t="s">
        <v>757</v>
      </c>
      <c r="AK33" s="216"/>
      <c r="AT33" s="216"/>
      <c r="AU33" s="84"/>
      <c r="AV33" s="216"/>
      <c r="BH33" s="224" t="s">
        <v>1558</v>
      </c>
      <c r="BI33" s="224" t="s">
        <v>1558</v>
      </c>
      <c r="BJ33" s="224" t="s">
        <v>1558</v>
      </c>
      <c r="BK33" s="224" t="s">
        <v>1558</v>
      </c>
      <c r="BL33" s="224" t="s">
        <v>1558</v>
      </c>
      <c r="BM33" s="224" t="s">
        <v>1558</v>
      </c>
      <c r="HN33" s="215" t="s">
        <v>758</v>
      </c>
      <c r="HO33" s="217">
        <v>1966</v>
      </c>
      <c r="HP33" s="217">
        <v>577</v>
      </c>
      <c r="HQ33" s="217">
        <v>2543</v>
      </c>
      <c r="HR33" s="232">
        <v>0.77310263468344476</v>
      </c>
      <c r="HS33" s="147"/>
      <c r="HT33" s="229">
        <v>1099</v>
      </c>
      <c r="HU33" s="215">
        <v>40</v>
      </c>
      <c r="HV33" s="215">
        <v>1355</v>
      </c>
      <c r="HW33" s="232">
        <v>0.81107011070110702</v>
      </c>
      <c r="HX33" s="232">
        <v>0.15940959409594097</v>
      </c>
      <c r="HY33" s="215">
        <v>216</v>
      </c>
      <c r="IB33" s="220"/>
      <c r="IC33" s="216" t="s">
        <v>759</v>
      </c>
      <c r="ID33" s="221" t="s">
        <v>760</v>
      </c>
      <c r="IE33" s="218">
        <v>352824133</v>
      </c>
      <c r="IG33" s="216" t="s">
        <v>761</v>
      </c>
      <c r="IH33" s="216" t="s">
        <v>762</v>
      </c>
      <c r="II33" s="218">
        <v>1195182225.8299999</v>
      </c>
      <c r="IL33" s="216" t="s">
        <v>763</v>
      </c>
      <c r="IM33" s="216" t="s">
        <v>764</v>
      </c>
      <c r="IN33" s="218">
        <v>384180838</v>
      </c>
      <c r="IQ33" s="216" t="s">
        <v>765</v>
      </c>
      <c r="IR33" s="216" t="s">
        <v>1532</v>
      </c>
      <c r="IS33" s="218">
        <v>0</v>
      </c>
    </row>
    <row r="34" spans="1:255">
      <c r="A34" s="216" t="s">
        <v>766</v>
      </c>
      <c r="E34" s="219" t="s">
        <v>1583</v>
      </c>
      <c r="F34" s="219" t="s">
        <v>1583</v>
      </c>
      <c r="G34" s="219" t="s">
        <v>1583</v>
      </c>
      <c r="H34" s="219" t="s">
        <v>1583</v>
      </c>
      <c r="I34" s="219" t="s">
        <v>1583</v>
      </c>
      <c r="J34" s="219" t="s">
        <v>1583</v>
      </c>
      <c r="K34" s="219" t="s">
        <v>1583</v>
      </c>
      <c r="L34" s="219" t="s">
        <v>1583</v>
      </c>
      <c r="M34" s="219" t="s">
        <v>1583</v>
      </c>
      <c r="N34" s="219" t="s">
        <v>1583</v>
      </c>
      <c r="O34" s="219" t="s">
        <v>1583</v>
      </c>
      <c r="AK34" s="216"/>
      <c r="AT34" s="216"/>
      <c r="AU34" s="84"/>
      <c r="AV34" s="216"/>
      <c r="BH34" s="224" t="s">
        <v>1570</v>
      </c>
      <c r="BI34" s="224" t="s">
        <v>1570</v>
      </c>
      <c r="BJ34" s="224" t="s">
        <v>32</v>
      </c>
      <c r="BK34" s="224" t="s">
        <v>32</v>
      </c>
      <c r="BL34" s="224" t="s">
        <v>1570</v>
      </c>
      <c r="BM34" s="224" t="s">
        <v>1570</v>
      </c>
      <c r="HN34" s="215" t="s">
        <v>767</v>
      </c>
      <c r="HO34" s="217">
        <v>-10176</v>
      </c>
      <c r="HP34" s="217">
        <v>-2987</v>
      </c>
      <c r="HQ34" s="217">
        <v>-13163</v>
      </c>
      <c r="HR34" s="232">
        <v>0.77307604649396033</v>
      </c>
      <c r="HS34" s="147"/>
      <c r="HT34" s="229">
        <v>-19351</v>
      </c>
      <c r="HU34" s="215">
        <v>-717</v>
      </c>
      <c r="HV34" s="215">
        <v>-23865</v>
      </c>
      <c r="HW34" s="232">
        <v>0.81085271317829455</v>
      </c>
      <c r="HX34" s="232">
        <v>0.15910328933584747</v>
      </c>
      <c r="HY34" s="215">
        <v>-3797</v>
      </c>
      <c r="IB34" s="220"/>
      <c r="IC34" s="216" t="s">
        <v>768</v>
      </c>
      <c r="ID34" s="221" t="s">
        <v>769</v>
      </c>
      <c r="IE34" s="218">
        <v>0</v>
      </c>
      <c r="IG34" s="216" t="s">
        <v>770</v>
      </c>
      <c r="IH34" s="216" t="s">
        <v>771</v>
      </c>
      <c r="II34" s="218">
        <v>97998345.260000005</v>
      </c>
      <c r="IL34" s="216" t="s">
        <v>772</v>
      </c>
      <c r="IM34" s="216" t="s">
        <v>773</v>
      </c>
      <c r="IN34" s="218">
        <v>1296909241</v>
      </c>
      <c r="IQ34" s="216" t="s">
        <v>774</v>
      </c>
      <c r="IR34" s="216" t="s">
        <v>775</v>
      </c>
      <c r="IS34" s="218">
        <v>-2.6938459873199463</v>
      </c>
      <c r="IU34" s="216" t="s">
        <v>776</v>
      </c>
    </row>
    <row r="35" spans="1:255">
      <c r="F35" s="224" t="s">
        <v>777</v>
      </c>
      <c r="G35" s="224" t="s">
        <v>777</v>
      </c>
      <c r="H35" s="224" t="s">
        <v>778</v>
      </c>
      <c r="I35" s="224" t="s">
        <v>778</v>
      </c>
      <c r="J35" s="224" t="s">
        <v>779</v>
      </c>
      <c r="K35" s="224" t="s">
        <v>780</v>
      </c>
      <c r="L35" s="224" t="s">
        <v>780</v>
      </c>
      <c r="M35" s="224" t="s">
        <v>781</v>
      </c>
      <c r="N35" s="224" t="s">
        <v>781</v>
      </c>
      <c r="O35" s="224" t="s">
        <v>1605</v>
      </c>
      <c r="AK35" s="216"/>
      <c r="AT35" s="216"/>
      <c r="AU35" s="84"/>
      <c r="AV35" s="216"/>
      <c r="BG35" s="224" t="s">
        <v>1584</v>
      </c>
      <c r="BH35" s="224" t="s">
        <v>1585</v>
      </c>
      <c r="BI35" s="224" t="s">
        <v>2581</v>
      </c>
      <c r="BJ35" s="224" t="s">
        <v>1586</v>
      </c>
      <c r="BK35" s="224" t="s">
        <v>1587</v>
      </c>
      <c r="BL35" s="224" t="s">
        <v>1588</v>
      </c>
      <c r="BM35" s="224" t="s">
        <v>1589</v>
      </c>
      <c r="HN35" s="215" t="s">
        <v>782</v>
      </c>
      <c r="HO35" s="217">
        <v>-207</v>
      </c>
      <c r="HP35" s="217">
        <v>-3</v>
      </c>
      <c r="HQ35" s="217">
        <v>-210</v>
      </c>
      <c r="HR35" s="232">
        <v>0.98571428571428577</v>
      </c>
      <c r="HS35" s="147"/>
      <c r="HT35" s="229">
        <v>-23</v>
      </c>
      <c r="HU35" s="215">
        <v>0</v>
      </c>
      <c r="HV35" s="215">
        <v>-24</v>
      </c>
      <c r="HW35" s="232">
        <v>0.95833333333333337</v>
      </c>
      <c r="HX35" s="232">
        <v>4.1666666666666664E-2</v>
      </c>
      <c r="HY35" s="215">
        <v>-1</v>
      </c>
      <c r="IB35" s="220"/>
      <c r="IC35" s="216" t="s">
        <v>783</v>
      </c>
      <c r="ID35" s="221" t="s">
        <v>784</v>
      </c>
      <c r="IE35" s="218">
        <v>35913603.859999999</v>
      </c>
      <c r="IG35" s="216" t="s">
        <v>785</v>
      </c>
      <c r="IH35" s="216" t="s">
        <v>786</v>
      </c>
      <c r="II35" s="218">
        <v>18439787.004658666</v>
      </c>
      <c r="IL35" s="216" t="s">
        <v>787</v>
      </c>
      <c r="IM35" s="216" t="s">
        <v>788</v>
      </c>
      <c r="IN35" s="218">
        <v>5487488</v>
      </c>
      <c r="IQ35" s="216" t="s">
        <v>789</v>
      </c>
      <c r="IR35" s="216" t="s">
        <v>790</v>
      </c>
      <c r="IS35" s="218">
        <v>99467629.727384374</v>
      </c>
    </row>
    <row r="36" spans="1:255">
      <c r="A36" s="216" t="s">
        <v>791</v>
      </c>
      <c r="E36" s="224" t="s">
        <v>781</v>
      </c>
      <c r="F36" s="224" t="s">
        <v>792</v>
      </c>
      <c r="G36" s="224" t="s">
        <v>792</v>
      </c>
      <c r="H36" s="224" t="s">
        <v>793</v>
      </c>
      <c r="I36" s="224" t="s">
        <v>793</v>
      </c>
      <c r="J36" s="224" t="s">
        <v>794</v>
      </c>
      <c r="K36" s="224" t="s">
        <v>34</v>
      </c>
      <c r="L36" s="224" t="s">
        <v>32</v>
      </c>
      <c r="M36" s="224" t="s">
        <v>34</v>
      </c>
      <c r="N36" s="224" t="s">
        <v>32</v>
      </c>
      <c r="O36" s="224" t="s">
        <v>1624</v>
      </c>
      <c r="AK36" s="216"/>
      <c r="AT36" s="216"/>
      <c r="AU36" s="84"/>
      <c r="AV36" s="216"/>
      <c r="BH36" s="224" t="s">
        <v>1606</v>
      </c>
      <c r="BI36" s="224" t="s">
        <v>1606</v>
      </c>
      <c r="BJ36" s="224" t="s">
        <v>1606</v>
      </c>
      <c r="BK36" s="224" t="s">
        <v>1606</v>
      </c>
      <c r="BL36" s="224" t="s">
        <v>1606</v>
      </c>
      <c r="BM36" s="224" t="s">
        <v>1606</v>
      </c>
      <c r="HN36" s="234" t="s">
        <v>795</v>
      </c>
      <c r="HO36" s="235">
        <v>35</v>
      </c>
      <c r="HP36" s="235">
        <v>1</v>
      </c>
      <c r="HQ36" s="217">
        <v>36</v>
      </c>
      <c r="HR36" s="232">
        <v>0.97222222222222221</v>
      </c>
      <c r="HS36" s="147"/>
      <c r="HT36" s="229">
        <v>1.0000000000000001E-9</v>
      </c>
      <c r="HU36" s="215">
        <v>0</v>
      </c>
      <c r="HV36" s="215">
        <v>1.0000000000000001E-9</v>
      </c>
      <c r="HW36" s="232">
        <v>1</v>
      </c>
      <c r="HX36" s="232">
        <v>0</v>
      </c>
      <c r="HY36" s="215">
        <v>0</v>
      </c>
      <c r="IB36" s="220"/>
      <c r="IC36" s="216" t="s">
        <v>796</v>
      </c>
      <c r="ID36" s="221" t="s">
        <v>797</v>
      </c>
      <c r="IE36" s="218">
        <v>0</v>
      </c>
      <c r="IG36" s="216" t="s">
        <v>798</v>
      </c>
      <c r="IH36" s="216" t="s">
        <v>799</v>
      </c>
      <c r="II36" s="218">
        <v>0</v>
      </c>
      <c r="IL36" s="216" t="s">
        <v>800</v>
      </c>
      <c r="IM36" s="216" t="s">
        <v>801</v>
      </c>
      <c r="IN36" s="218">
        <v>460189879.26000005</v>
      </c>
      <c r="IQ36" s="216" t="s">
        <v>802</v>
      </c>
      <c r="IR36" s="216" t="s">
        <v>803</v>
      </c>
      <c r="IS36" s="218">
        <v>4.4816358299999998E-2</v>
      </c>
    </row>
    <row r="37" spans="1:255">
      <c r="A37" s="216" t="s">
        <v>804</v>
      </c>
      <c r="E37" s="224" t="s">
        <v>660</v>
      </c>
      <c r="F37" s="224" t="s">
        <v>805</v>
      </c>
      <c r="G37" s="224" t="s">
        <v>806</v>
      </c>
      <c r="H37" s="224" t="s">
        <v>1570</v>
      </c>
      <c r="I37" s="224" t="s">
        <v>1637</v>
      </c>
      <c r="J37" s="224" t="s">
        <v>1633</v>
      </c>
      <c r="K37" s="224" t="s">
        <v>39</v>
      </c>
      <c r="L37" s="224" t="s">
        <v>1617</v>
      </c>
      <c r="M37" s="224" t="s">
        <v>39</v>
      </c>
      <c r="N37" s="224" t="s">
        <v>1617</v>
      </c>
      <c r="O37" s="224" t="s">
        <v>1637</v>
      </c>
      <c r="AK37" s="216"/>
      <c r="AT37" s="216"/>
      <c r="AU37" s="84"/>
      <c r="AV37" s="216"/>
      <c r="HN37" s="234" t="s">
        <v>807</v>
      </c>
      <c r="HO37" s="235">
        <v>235</v>
      </c>
      <c r="HP37" s="235">
        <v>33</v>
      </c>
      <c r="HQ37" s="217">
        <v>268</v>
      </c>
      <c r="HR37" s="232">
        <v>0.87686567164179108</v>
      </c>
      <c r="HS37" s="147"/>
      <c r="HT37" s="229">
        <v>264</v>
      </c>
      <c r="HU37" s="215">
        <v>7</v>
      </c>
      <c r="HV37" s="215">
        <v>297</v>
      </c>
      <c r="HW37" s="232">
        <v>0.88888888888888884</v>
      </c>
      <c r="HX37" s="232">
        <v>8.7542087542087546E-2</v>
      </c>
      <c r="HY37" s="215">
        <v>26</v>
      </c>
      <c r="IB37" s="220"/>
      <c r="IC37" s="216" t="s">
        <v>808</v>
      </c>
      <c r="ID37" s="221" t="s">
        <v>809</v>
      </c>
      <c r="IE37" s="218">
        <v>1686619</v>
      </c>
      <c r="IG37" s="216" t="s">
        <v>810</v>
      </c>
      <c r="IH37" s="216" t="s">
        <v>811</v>
      </c>
      <c r="II37" s="218">
        <v>0</v>
      </c>
      <c r="IL37" s="216" t="s">
        <v>812</v>
      </c>
      <c r="IM37" s="216" t="s">
        <v>813</v>
      </c>
      <c r="IN37" s="218">
        <v>191981614.20076457</v>
      </c>
      <c r="IQ37" s="216" t="s">
        <v>814</v>
      </c>
      <c r="IR37" s="216" t="s">
        <v>815</v>
      </c>
      <c r="IS37" s="218">
        <v>6.3974069999999994E-2</v>
      </c>
    </row>
    <row r="38" spans="1:255">
      <c r="A38" s="216" t="s">
        <v>816</v>
      </c>
      <c r="E38" s="216" t="s">
        <v>708</v>
      </c>
      <c r="F38" s="216" t="s">
        <v>708</v>
      </c>
      <c r="G38" s="216" t="s">
        <v>708</v>
      </c>
      <c r="H38" s="216" t="s">
        <v>1878</v>
      </c>
      <c r="I38" s="216" t="s">
        <v>1878</v>
      </c>
      <c r="J38" s="216" t="s">
        <v>1878</v>
      </c>
      <c r="K38" s="216" t="s">
        <v>1878</v>
      </c>
      <c r="L38" s="216" t="s">
        <v>1878</v>
      </c>
      <c r="M38" s="216" t="s">
        <v>1878</v>
      </c>
      <c r="N38" s="216" t="s">
        <v>1878</v>
      </c>
      <c r="O38" s="216" t="s">
        <v>1878</v>
      </c>
      <c r="AK38" s="216"/>
      <c r="AT38" s="216"/>
      <c r="AV38" s="216"/>
      <c r="BG38" s="216" t="s">
        <v>1900</v>
      </c>
      <c r="BH38" s="218">
        <v>5702193</v>
      </c>
      <c r="BI38" s="218">
        <v>65892737</v>
      </c>
      <c r="BJ38" s="218">
        <v>11990080</v>
      </c>
      <c r="BK38" s="218">
        <v>1037592</v>
      </c>
      <c r="BL38" s="218">
        <v>5702193</v>
      </c>
      <c r="BM38" s="218">
        <v>6739785</v>
      </c>
      <c r="HO38" s="217"/>
      <c r="HP38" s="217"/>
      <c r="HQ38" s="217"/>
      <c r="HR38" s="232"/>
      <c r="HS38" s="147"/>
      <c r="HT38" s="229"/>
      <c r="HW38" s="232"/>
      <c r="IB38" s="220"/>
      <c r="IC38" s="216" t="s">
        <v>817</v>
      </c>
      <c r="ID38" s="221" t="s">
        <v>818</v>
      </c>
      <c r="IE38" s="218">
        <v>-174208874.43132132</v>
      </c>
      <c r="IG38" s="216" t="s">
        <v>819</v>
      </c>
      <c r="IH38" s="216" t="s">
        <v>820</v>
      </c>
      <c r="II38" s="218">
        <v>3150598.7456367076</v>
      </c>
      <c r="IL38" s="216" t="s">
        <v>821</v>
      </c>
      <c r="IM38" s="216" t="s">
        <v>822</v>
      </c>
      <c r="IN38" s="218">
        <v>1215768038.306154</v>
      </c>
      <c r="IQ38" s="216" t="s">
        <v>823</v>
      </c>
      <c r="IR38" s="216" t="s">
        <v>824</v>
      </c>
      <c r="IS38" s="218">
        <v>19513899.413888883</v>
      </c>
    </row>
    <row r="39" spans="1:255">
      <c r="A39" s="216" t="s">
        <v>825</v>
      </c>
      <c r="AK39" s="216"/>
      <c r="AT39" s="216"/>
      <c r="AV39" s="216"/>
      <c r="BG39" s="216" t="s">
        <v>1911</v>
      </c>
      <c r="BH39" s="218">
        <v>6240373</v>
      </c>
      <c r="BI39" s="218">
        <v>63090975</v>
      </c>
      <c r="BJ39" s="218">
        <v>12819504</v>
      </c>
      <c r="BK39" s="218">
        <v>1267986</v>
      </c>
      <c r="BL39" s="218">
        <v>6240373</v>
      </c>
      <c r="BM39" s="218">
        <v>7508359</v>
      </c>
      <c r="HN39" s="215" t="s">
        <v>2150</v>
      </c>
      <c r="HO39" s="217">
        <v>-3281</v>
      </c>
      <c r="HP39" s="217">
        <v>-536</v>
      </c>
      <c r="HQ39" s="217">
        <v>-3817</v>
      </c>
      <c r="HR39" s="232">
        <v>0.85957558291852243</v>
      </c>
      <c r="HS39" s="147"/>
      <c r="HT39" s="229">
        <v>-5911</v>
      </c>
      <c r="HU39" s="215">
        <v>-140</v>
      </c>
      <c r="HV39" s="215">
        <v>-6636</v>
      </c>
      <c r="HW39" s="232">
        <v>0.89074743821579261</v>
      </c>
      <c r="HX39" s="232">
        <v>8.8155515370705248E-2</v>
      </c>
      <c r="HY39" s="215">
        <v>-585</v>
      </c>
      <c r="IB39" s="220"/>
      <c r="IC39" s="216" t="s">
        <v>826</v>
      </c>
      <c r="ID39" s="221" t="s">
        <v>827</v>
      </c>
      <c r="IE39" s="218">
        <v>86563058.700000003</v>
      </c>
      <c r="IG39" s="216" t="s">
        <v>828</v>
      </c>
      <c r="IH39" s="216" t="s">
        <v>829</v>
      </c>
      <c r="II39" s="218">
        <v>0</v>
      </c>
      <c r="IL39" s="216" t="s">
        <v>830</v>
      </c>
      <c r="IM39" s="216" t="s">
        <v>831</v>
      </c>
      <c r="IN39" s="218">
        <v>2536948131</v>
      </c>
      <c r="IQ39" s="216" t="s">
        <v>832</v>
      </c>
      <c r="IR39" s="216" t="s">
        <v>833</v>
      </c>
      <c r="IS39" s="218">
        <v>2.25887213E-2</v>
      </c>
    </row>
    <row r="40" spans="1:255">
      <c r="A40" s="216" t="s">
        <v>834</v>
      </c>
      <c r="E40" s="84">
        <v>77733396.310000002</v>
      </c>
      <c r="F40" s="84">
        <v>0</v>
      </c>
      <c r="G40" s="84">
        <v>0</v>
      </c>
      <c r="H40" s="218">
        <v>0</v>
      </c>
      <c r="I40" s="218">
        <v>0</v>
      </c>
      <c r="J40" s="84">
        <v>0</v>
      </c>
      <c r="K40" s="86">
        <v>0</v>
      </c>
      <c r="L40" s="86">
        <v>0</v>
      </c>
      <c r="M40" s="86">
        <v>242649159.78999999</v>
      </c>
      <c r="N40" s="86">
        <v>-101363465.06999999</v>
      </c>
      <c r="O40" s="86">
        <v>0</v>
      </c>
      <c r="AK40" s="216"/>
      <c r="AN40" s="216"/>
      <c r="AO40" s="216"/>
      <c r="AT40" s="216"/>
      <c r="AV40" s="216"/>
      <c r="BG40" s="216" t="s">
        <v>589</v>
      </c>
      <c r="BH40" s="218">
        <v>6240373</v>
      </c>
      <c r="BI40" s="218">
        <v>62877758</v>
      </c>
      <c r="BJ40" s="218">
        <v>12857698</v>
      </c>
      <c r="BK40" s="218">
        <v>1276077</v>
      </c>
      <c r="BL40" s="218">
        <v>6240373</v>
      </c>
      <c r="BM40" s="218">
        <v>7516450</v>
      </c>
      <c r="HN40" s="215" t="s">
        <v>835</v>
      </c>
      <c r="HO40" s="217">
        <v>-1683</v>
      </c>
      <c r="HP40" s="217">
        <v>-30</v>
      </c>
      <c r="HQ40" s="217">
        <v>-1713</v>
      </c>
      <c r="HR40" s="232">
        <v>0.98248686514886163</v>
      </c>
      <c r="HS40" s="147"/>
      <c r="HT40" s="229">
        <v>-896</v>
      </c>
      <c r="HU40" s="215">
        <v>-16</v>
      </c>
      <c r="HV40" s="215">
        <v>-938</v>
      </c>
      <c r="HW40" s="232">
        <v>0.95522388059701491</v>
      </c>
      <c r="HX40" s="232">
        <v>2.7718550106609809E-2</v>
      </c>
      <c r="HY40" s="215">
        <v>-26</v>
      </c>
      <c r="IB40" s="220"/>
      <c r="IC40" s="216" t="s">
        <v>836</v>
      </c>
      <c r="ID40" s="221" t="s">
        <v>837</v>
      </c>
      <c r="IE40" s="218">
        <v>0</v>
      </c>
      <c r="IG40" s="216" t="s">
        <v>838</v>
      </c>
      <c r="IH40" s="216" t="s">
        <v>839</v>
      </c>
      <c r="II40" s="218">
        <v>0</v>
      </c>
      <c r="IL40" s="216" t="s">
        <v>840</v>
      </c>
      <c r="IM40" s="216" t="s">
        <v>841</v>
      </c>
      <c r="IN40" s="218">
        <v>13498114</v>
      </c>
      <c r="IQ40" s="216" t="s">
        <v>842</v>
      </c>
      <c r="IR40" s="216" t="s">
        <v>843</v>
      </c>
      <c r="IS40" s="218">
        <v>384180838</v>
      </c>
      <c r="IU40" s="216" t="s">
        <v>843</v>
      </c>
    </row>
    <row r="41" spans="1:255">
      <c r="A41" s="216" t="s">
        <v>844</v>
      </c>
      <c r="E41" s="84">
        <v>80579204.670000002</v>
      </c>
      <c r="F41" s="84">
        <v>0</v>
      </c>
      <c r="G41" s="84">
        <v>0</v>
      </c>
      <c r="H41" s="218">
        <v>0</v>
      </c>
      <c r="I41" s="218">
        <v>0</v>
      </c>
      <c r="J41" s="84">
        <v>0</v>
      </c>
      <c r="K41" s="86">
        <v>0</v>
      </c>
      <c r="L41" s="86">
        <v>0</v>
      </c>
      <c r="M41" s="86">
        <v>242587194.83000001</v>
      </c>
      <c r="N41" s="86">
        <v>-101751199.48999999</v>
      </c>
      <c r="O41" s="86">
        <v>0</v>
      </c>
      <c r="AK41" s="216"/>
      <c r="AO41" s="216"/>
      <c r="AP41" s="216"/>
      <c r="AT41" s="216"/>
      <c r="AV41" s="216"/>
      <c r="BG41" s="216" t="s">
        <v>599</v>
      </c>
      <c r="BH41" s="218">
        <v>6240373</v>
      </c>
      <c r="BI41" s="218">
        <v>62618096</v>
      </c>
      <c r="BJ41" s="218">
        <v>12886844</v>
      </c>
      <c r="BK41" s="218">
        <v>1284273</v>
      </c>
      <c r="BL41" s="218">
        <v>6240373</v>
      </c>
      <c r="BM41" s="218">
        <v>7524646</v>
      </c>
      <c r="HO41" s="217"/>
      <c r="HP41" s="217"/>
      <c r="HQ41" s="217"/>
      <c r="HR41" s="232"/>
      <c r="HS41" s="147"/>
      <c r="HT41" s="229"/>
      <c r="HW41" s="232"/>
      <c r="IB41" s="220"/>
      <c r="IC41" s="216" t="s">
        <v>845</v>
      </c>
      <c r="ID41" s="221" t="s">
        <v>846</v>
      </c>
      <c r="IE41" s="218">
        <v>13293646.220000001</v>
      </c>
      <c r="IG41" s="216" t="s">
        <v>847</v>
      </c>
      <c r="IH41" s="216" t="s">
        <v>848</v>
      </c>
      <c r="II41" s="218">
        <v>358173130.94</v>
      </c>
      <c r="IL41" s="216" t="s">
        <v>849</v>
      </c>
      <c r="IM41" s="216" t="s">
        <v>850</v>
      </c>
      <c r="IN41" s="218">
        <v>193496964</v>
      </c>
      <c r="IQ41" s="216" t="s">
        <v>851</v>
      </c>
      <c r="IR41" s="216" t="s">
        <v>852</v>
      </c>
      <c r="IS41" s="218">
        <v>460189879.26000005</v>
      </c>
      <c r="IU41" s="216" t="s">
        <v>852</v>
      </c>
    </row>
    <row r="42" spans="1:255">
      <c r="A42" s="216" t="s">
        <v>853</v>
      </c>
      <c r="E42" s="84">
        <v>84574582.61999999</v>
      </c>
      <c r="F42" s="84">
        <v>0</v>
      </c>
      <c r="G42" s="84">
        <v>0</v>
      </c>
      <c r="H42" s="218">
        <v>0</v>
      </c>
      <c r="I42" s="218">
        <v>0</v>
      </c>
      <c r="J42" s="84">
        <v>0</v>
      </c>
      <c r="K42" s="86">
        <v>0</v>
      </c>
      <c r="L42" s="86">
        <v>0</v>
      </c>
      <c r="M42" s="86">
        <v>242583928.63000003</v>
      </c>
      <c r="N42" s="86">
        <v>-102133691.58</v>
      </c>
      <c r="O42" s="86">
        <v>0</v>
      </c>
      <c r="AK42" s="216"/>
      <c r="AO42" s="216"/>
      <c r="AP42" s="216"/>
      <c r="AT42" s="216"/>
      <c r="AV42" s="216"/>
      <c r="BG42" s="216" t="s">
        <v>610</v>
      </c>
      <c r="BH42" s="218">
        <v>6240373</v>
      </c>
      <c r="BI42" s="218">
        <v>62426103</v>
      </c>
      <c r="BJ42" s="218">
        <v>12917721</v>
      </c>
      <c r="BK42" s="218">
        <v>1291309</v>
      </c>
      <c r="BL42" s="218">
        <v>6240373</v>
      </c>
      <c r="BM42" s="218">
        <v>7531682</v>
      </c>
      <c r="HO42" s="217"/>
      <c r="HP42" s="217"/>
      <c r="HQ42" s="217"/>
      <c r="HR42" s="232"/>
      <c r="HS42" s="147"/>
      <c r="HT42" s="229"/>
      <c r="HW42" s="232"/>
      <c r="IB42" s="220"/>
      <c r="IC42" s="216" t="s">
        <v>854</v>
      </c>
      <c r="ID42" s="221" t="s">
        <v>855</v>
      </c>
      <c r="IE42" s="218">
        <v>15086375</v>
      </c>
      <c r="IG42" s="216" t="s">
        <v>856</v>
      </c>
      <c r="IH42" s="216" t="s">
        <v>857</v>
      </c>
      <c r="II42" s="218">
        <v>0</v>
      </c>
      <c r="IL42" s="216" t="s">
        <v>858</v>
      </c>
      <c r="IM42" s="216" t="s">
        <v>859</v>
      </c>
      <c r="IN42" s="218">
        <v>1171744527</v>
      </c>
      <c r="IQ42" s="216" t="s">
        <v>860</v>
      </c>
      <c r="IR42" s="216" t="s">
        <v>861</v>
      </c>
      <c r="IS42" s="218">
        <v>1296909241</v>
      </c>
      <c r="IU42" s="216" t="s">
        <v>861</v>
      </c>
    </row>
    <row r="43" spans="1:255">
      <c r="A43" s="216" t="s">
        <v>862</v>
      </c>
      <c r="E43" s="84">
        <v>87908547.73999998</v>
      </c>
      <c r="F43" s="84">
        <v>0</v>
      </c>
      <c r="G43" s="84">
        <v>0</v>
      </c>
      <c r="H43" s="218">
        <v>0</v>
      </c>
      <c r="I43" s="218">
        <v>0</v>
      </c>
      <c r="J43" s="84">
        <v>0</v>
      </c>
      <c r="K43" s="86">
        <v>0</v>
      </c>
      <c r="L43" s="86">
        <v>0</v>
      </c>
      <c r="M43" s="86">
        <v>242675528.83000001</v>
      </c>
      <c r="N43" s="86">
        <v>-102481032.97</v>
      </c>
      <c r="O43" s="86">
        <v>0</v>
      </c>
      <c r="AK43" s="216"/>
      <c r="AO43" s="216"/>
      <c r="AP43" s="216"/>
      <c r="AV43" s="216"/>
      <c r="BG43" s="216" t="s">
        <v>619</v>
      </c>
      <c r="BH43" s="218">
        <v>6240373</v>
      </c>
      <c r="BI43" s="218">
        <v>62272631</v>
      </c>
      <c r="BJ43" s="218">
        <v>12948904</v>
      </c>
      <c r="BK43" s="218">
        <v>1297616</v>
      </c>
      <c r="BL43" s="218">
        <v>6240373</v>
      </c>
      <c r="BM43" s="218">
        <v>7537989</v>
      </c>
      <c r="HM43" s="149" t="s">
        <v>174</v>
      </c>
      <c r="HO43" s="217"/>
      <c r="HP43" s="217"/>
      <c r="HQ43" s="217"/>
      <c r="HR43" s="232"/>
      <c r="HS43" s="147"/>
      <c r="HT43" s="229"/>
      <c r="HW43" s="232"/>
      <c r="IB43" s="220"/>
      <c r="IC43" s="216" t="s">
        <v>863</v>
      </c>
      <c r="ID43" s="221" t="s">
        <v>864</v>
      </c>
      <c r="IE43" s="218">
        <v>-1585512</v>
      </c>
      <c r="IG43" s="216" t="s">
        <v>865</v>
      </c>
      <c r="IH43" s="216" t="s">
        <v>866</v>
      </c>
      <c r="II43" s="218">
        <v>1448854</v>
      </c>
      <c r="IL43" s="216" t="s">
        <v>867</v>
      </c>
      <c r="IM43" s="216" t="s">
        <v>868</v>
      </c>
      <c r="IN43" s="218">
        <v>3380216.45</v>
      </c>
      <c r="IQ43" s="216" t="s">
        <v>869</v>
      </c>
      <c r="IR43" s="216" t="s">
        <v>870</v>
      </c>
      <c r="IS43" s="218">
        <v>191981614.20076457</v>
      </c>
      <c r="IU43" s="216" t="s">
        <v>870</v>
      </c>
    </row>
    <row r="44" spans="1:255">
      <c r="A44" s="216" t="s">
        <v>871</v>
      </c>
      <c r="E44" s="84">
        <v>92418983.179999992</v>
      </c>
      <c r="F44" s="84">
        <v>0</v>
      </c>
      <c r="G44" s="84">
        <v>0</v>
      </c>
      <c r="H44" s="218">
        <v>0</v>
      </c>
      <c r="I44" s="218">
        <v>0</v>
      </c>
      <c r="J44" s="84">
        <v>0</v>
      </c>
      <c r="K44" s="86">
        <v>0</v>
      </c>
      <c r="L44" s="86">
        <v>0</v>
      </c>
      <c r="M44" s="86">
        <v>242664231.65000001</v>
      </c>
      <c r="N44" s="86">
        <v>-102869638.37</v>
      </c>
      <c r="O44" s="86">
        <v>0</v>
      </c>
      <c r="AK44" s="216"/>
      <c r="AP44" s="216"/>
      <c r="AV44" s="216"/>
      <c r="BG44" s="216" t="s">
        <v>630</v>
      </c>
      <c r="BH44" s="218">
        <v>6250480</v>
      </c>
      <c r="BI44" s="218">
        <v>62093624</v>
      </c>
      <c r="BJ44" s="218">
        <v>12979632</v>
      </c>
      <c r="BK44" s="218">
        <v>1306558</v>
      </c>
      <c r="BL44" s="218">
        <v>6250480</v>
      </c>
      <c r="BM44" s="218">
        <v>7557038</v>
      </c>
      <c r="HO44" s="217"/>
      <c r="HP44" s="217"/>
      <c r="HQ44" s="217"/>
      <c r="HR44" s="232"/>
      <c r="HS44" s="147"/>
      <c r="HT44" s="229"/>
      <c r="HW44" s="232"/>
      <c r="IB44" s="220"/>
      <c r="IC44" s="216" t="s">
        <v>872</v>
      </c>
      <c r="ID44" s="221" t="s">
        <v>873</v>
      </c>
      <c r="IE44" s="218">
        <v>-8993707</v>
      </c>
      <c r="IG44" s="216" t="s">
        <v>874</v>
      </c>
      <c r="IH44" s="216" t="s">
        <v>875</v>
      </c>
      <c r="II44" s="218">
        <v>119900987.04472964</v>
      </c>
      <c r="IL44" s="216" t="s">
        <v>876</v>
      </c>
      <c r="IM44" s="216" t="s">
        <v>877</v>
      </c>
      <c r="IN44" s="218">
        <v>424484.53</v>
      </c>
      <c r="IQ44" s="216" t="s">
        <v>878</v>
      </c>
      <c r="IR44" s="216" t="s">
        <v>879</v>
      </c>
      <c r="IS44" s="218">
        <v>49977321</v>
      </c>
      <c r="IU44" s="216" t="s">
        <v>879</v>
      </c>
    </row>
    <row r="45" spans="1:255">
      <c r="A45" s="216" t="s">
        <v>880</v>
      </c>
      <c r="E45" s="84">
        <v>97319709.899999991</v>
      </c>
      <c r="F45" s="84">
        <v>0</v>
      </c>
      <c r="G45" s="84">
        <v>0</v>
      </c>
      <c r="H45" s="218">
        <v>0</v>
      </c>
      <c r="I45" s="218">
        <v>0</v>
      </c>
      <c r="J45" s="84">
        <v>0</v>
      </c>
      <c r="K45" s="86">
        <v>0</v>
      </c>
      <c r="L45" s="86">
        <v>0</v>
      </c>
      <c r="M45" s="86">
        <v>242425778.18000001</v>
      </c>
      <c r="N45" s="86">
        <v>-103200785.42000002</v>
      </c>
      <c r="O45" s="86">
        <v>0</v>
      </c>
      <c r="P45" s="243"/>
      <c r="AK45" s="216"/>
      <c r="AP45" s="216"/>
      <c r="AV45" s="216"/>
      <c r="BG45" s="216" t="s">
        <v>640</v>
      </c>
      <c r="BH45" s="218">
        <v>6250480</v>
      </c>
      <c r="BI45" s="218">
        <v>61978406</v>
      </c>
      <c r="BJ45" s="218">
        <v>12971597</v>
      </c>
      <c r="BK45" s="218">
        <v>1308177</v>
      </c>
      <c r="BL45" s="218">
        <v>6250480</v>
      </c>
      <c r="BM45" s="218">
        <v>7558657</v>
      </c>
      <c r="HM45" s="215" t="s">
        <v>881</v>
      </c>
      <c r="HO45" s="217">
        <v>11846</v>
      </c>
      <c r="HP45" s="217">
        <v>218</v>
      </c>
      <c r="HQ45" s="217">
        <v>12064</v>
      </c>
      <c r="HR45" s="232">
        <v>0.98192970822281167</v>
      </c>
      <c r="HS45" s="147"/>
      <c r="HT45" s="229">
        <v>13816</v>
      </c>
      <c r="HU45" s="215">
        <v>269</v>
      </c>
      <c r="HV45" s="215">
        <v>14085</v>
      </c>
      <c r="HW45" s="232">
        <v>0.98090166844160454</v>
      </c>
      <c r="HX45" s="215">
        <v>0</v>
      </c>
      <c r="HY45" s="215">
        <v>0</v>
      </c>
      <c r="IB45" s="220"/>
      <c r="IC45" s="216" t="s">
        <v>882</v>
      </c>
      <c r="ID45" s="221" t="s">
        <v>883</v>
      </c>
      <c r="IE45" s="218">
        <v>352156727</v>
      </c>
      <c r="IG45" s="216" t="s">
        <v>884</v>
      </c>
      <c r="IH45" s="216" t="s">
        <v>885</v>
      </c>
      <c r="II45" s="218">
        <v>110358685.47705732</v>
      </c>
      <c r="IL45" s="216" t="s">
        <v>886</v>
      </c>
      <c r="IM45" s="216" t="s">
        <v>887</v>
      </c>
      <c r="IN45" s="218">
        <v>2.25887213E-2</v>
      </c>
      <c r="IQ45" s="216" t="s">
        <v>888</v>
      </c>
      <c r="IR45" s="216" t="s">
        <v>889</v>
      </c>
      <c r="IS45" s="218">
        <v>5487488</v>
      </c>
      <c r="IU45" s="216" t="s">
        <v>889</v>
      </c>
    </row>
    <row r="46" spans="1:255" s="85" customFormat="1">
      <c r="A46" s="150" t="s">
        <v>890</v>
      </c>
      <c r="E46" s="84">
        <v>101606329.72000003</v>
      </c>
      <c r="F46" s="84">
        <v>0</v>
      </c>
      <c r="G46" s="84">
        <v>0</v>
      </c>
      <c r="H46" s="86">
        <v>0</v>
      </c>
      <c r="I46" s="86">
        <v>0</v>
      </c>
      <c r="J46" s="84">
        <v>0</v>
      </c>
      <c r="K46" s="86">
        <v>0</v>
      </c>
      <c r="L46" s="86">
        <v>0</v>
      </c>
      <c r="M46" s="86">
        <v>242410943.04000002</v>
      </c>
      <c r="N46" s="86">
        <v>-103594342.66000004</v>
      </c>
      <c r="O46" s="86">
        <v>0</v>
      </c>
      <c r="P46" s="244"/>
      <c r="Q46" s="244"/>
      <c r="AK46" s="150"/>
      <c r="AP46" s="150"/>
      <c r="AV46" s="150"/>
      <c r="BG46" s="150" t="s">
        <v>650</v>
      </c>
      <c r="BH46" s="86">
        <v>6250480</v>
      </c>
      <c r="BI46" s="86">
        <v>62961602</v>
      </c>
      <c r="BJ46" s="86">
        <v>13041767</v>
      </c>
      <c r="BK46" s="86">
        <v>1294715</v>
      </c>
      <c r="BL46" s="86">
        <v>6250480</v>
      </c>
      <c r="BM46" s="86">
        <v>7545195</v>
      </c>
      <c r="HO46" s="153"/>
      <c r="HP46" s="153"/>
      <c r="HQ46" s="153"/>
      <c r="HR46" s="90"/>
      <c r="HS46" s="147"/>
      <c r="HT46" s="237"/>
      <c r="HW46" s="90"/>
      <c r="IA46" s="215"/>
      <c r="IB46" s="238"/>
      <c r="IC46" s="150" t="s">
        <v>891</v>
      </c>
      <c r="ID46" s="239" t="s">
        <v>892</v>
      </c>
      <c r="IE46" s="218">
        <v>233139273</v>
      </c>
      <c r="IG46" s="150" t="s">
        <v>893</v>
      </c>
      <c r="IH46" s="150" t="s">
        <v>894</v>
      </c>
      <c r="II46" s="218">
        <v>-105282720.02</v>
      </c>
      <c r="IL46" s="150" t="s">
        <v>895</v>
      </c>
      <c r="IM46" s="150" t="s">
        <v>896</v>
      </c>
      <c r="IN46" s="86">
        <v>-8530473.1799999997</v>
      </c>
      <c r="IQ46" s="150" t="s">
        <v>897</v>
      </c>
      <c r="IR46" s="150" t="s">
        <v>898</v>
      </c>
      <c r="IS46" s="86">
        <v>-181978.91999999998</v>
      </c>
      <c r="IU46" s="150" t="s">
        <v>898</v>
      </c>
    </row>
    <row r="47" spans="1:255" s="85" customFormat="1">
      <c r="A47" s="150" t="s">
        <v>899</v>
      </c>
      <c r="E47" s="84">
        <v>105568302.21999998</v>
      </c>
      <c r="F47" s="84">
        <v>0</v>
      </c>
      <c r="G47" s="84">
        <v>0</v>
      </c>
      <c r="H47" s="86">
        <v>0</v>
      </c>
      <c r="I47" s="86">
        <v>0</v>
      </c>
      <c r="J47" s="84">
        <v>0</v>
      </c>
      <c r="K47" s="86">
        <v>0</v>
      </c>
      <c r="L47" s="86">
        <v>0</v>
      </c>
      <c r="M47" s="86">
        <v>242438030.55000001</v>
      </c>
      <c r="N47" s="86">
        <v>-103843387.73999999</v>
      </c>
      <c r="O47" s="86">
        <v>0</v>
      </c>
      <c r="P47" s="244"/>
      <c r="Q47" s="244"/>
      <c r="AK47" s="150"/>
      <c r="AP47" s="150"/>
      <c r="AV47" s="150"/>
      <c r="BG47" s="150" t="s">
        <v>900</v>
      </c>
      <c r="BH47" s="86">
        <v>6250480</v>
      </c>
      <c r="BI47" s="86">
        <v>64118636</v>
      </c>
      <c r="BJ47" s="86">
        <v>13076371</v>
      </c>
      <c r="BK47" s="86">
        <v>1274724</v>
      </c>
      <c r="BL47" s="86">
        <v>6250480</v>
      </c>
      <c r="BM47" s="86">
        <v>7525204</v>
      </c>
      <c r="HM47" s="85" t="s">
        <v>901</v>
      </c>
      <c r="HO47" s="153"/>
      <c r="HP47" s="153"/>
      <c r="HQ47" s="153"/>
      <c r="HR47" s="232">
        <v>0.9669295</v>
      </c>
      <c r="HS47" s="147"/>
      <c r="HT47" s="237" t="s">
        <v>902</v>
      </c>
      <c r="HW47" s="90">
        <v>0.96427050000000003</v>
      </c>
      <c r="HX47" s="90">
        <v>5.9442399999999999E-2</v>
      </c>
      <c r="HY47" s="85">
        <v>0</v>
      </c>
      <c r="IA47" s="215"/>
      <c r="IB47" s="238"/>
      <c r="IC47" s="150" t="s">
        <v>903</v>
      </c>
      <c r="ID47" s="239" t="s">
        <v>904</v>
      </c>
      <c r="IE47" s="218">
        <v>191981614.20076457</v>
      </c>
      <c r="IG47" s="150" t="s">
        <v>905</v>
      </c>
      <c r="IH47" s="150" t="s">
        <v>906</v>
      </c>
      <c r="II47" s="218">
        <v>361323729.6856367</v>
      </c>
      <c r="IL47" s="150" t="s">
        <v>907</v>
      </c>
      <c r="IM47" s="150" t="s">
        <v>908</v>
      </c>
      <c r="IN47" s="218">
        <v>0</v>
      </c>
      <c r="IO47" s="150"/>
      <c r="IQ47" s="150" t="s">
        <v>909</v>
      </c>
      <c r="IR47" s="150" t="s">
        <v>910</v>
      </c>
      <c r="IS47" s="86">
        <v>1664803.6923076899</v>
      </c>
    </row>
    <row r="48" spans="1:255" s="85" customFormat="1">
      <c r="A48" s="150" t="s">
        <v>911</v>
      </c>
      <c r="E48" s="84">
        <v>111030064.10000002</v>
      </c>
      <c r="F48" s="84">
        <v>0</v>
      </c>
      <c r="G48" s="84">
        <v>0</v>
      </c>
      <c r="H48" s="86">
        <v>0</v>
      </c>
      <c r="I48" s="86">
        <v>0</v>
      </c>
      <c r="J48" s="84">
        <v>0</v>
      </c>
      <c r="K48" s="86">
        <v>0</v>
      </c>
      <c r="L48" s="86">
        <v>0</v>
      </c>
      <c r="M48" s="86">
        <v>242418755.97000003</v>
      </c>
      <c r="N48" s="86">
        <v>-104109021.2</v>
      </c>
      <c r="O48" s="86">
        <v>0</v>
      </c>
      <c r="P48" s="244"/>
      <c r="Q48" s="244"/>
      <c r="AK48" s="150"/>
      <c r="AP48" s="150"/>
      <c r="AV48" s="150"/>
      <c r="BG48" s="150" t="s">
        <v>1879</v>
      </c>
      <c r="BH48" s="86">
        <v>6250480</v>
      </c>
      <c r="BI48" s="86">
        <v>63984030</v>
      </c>
      <c r="BJ48" s="86">
        <v>13106286</v>
      </c>
      <c r="BK48" s="86">
        <v>1280329</v>
      </c>
      <c r="BL48" s="86">
        <v>6250480</v>
      </c>
      <c r="BM48" s="86">
        <v>7530809</v>
      </c>
      <c r="HO48" s="153"/>
      <c r="HP48" s="153"/>
      <c r="HQ48" s="153"/>
      <c r="HR48" s="90"/>
      <c r="HS48" s="147"/>
      <c r="HT48" s="237"/>
      <c r="HW48" s="90"/>
      <c r="IA48" s="215"/>
      <c r="IB48" s="238"/>
      <c r="IC48" s="150" t="s">
        <v>912</v>
      </c>
      <c r="ID48" s="239" t="s">
        <v>913</v>
      </c>
      <c r="IE48" s="86">
        <v>21591731</v>
      </c>
      <c r="IG48" s="150" t="s">
        <v>914</v>
      </c>
      <c r="IH48" s="150" t="s">
        <v>915</v>
      </c>
      <c r="II48" s="218">
        <v>9831219.0990493447</v>
      </c>
      <c r="IL48" s="150" t="s">
        <v>916</v>
      </c>
      <c r="IM48" s="150" t="s">
        <v>917</v>
      </c>
      <c r="IN48" s="218">
        <v>0</v>
      </c>
      <c r="IO48" s="150"/>
      <c r="IQ48" s="150" t="s">
        <v>918</v>
      </c>
      <c r="IR48" s="150" t="s">
        <v>919</v>
      </c>
      <c r="IS48" s="86">
        <v>0.39002545329999999</v>
      </c>
    </row>
    <row r="49" spans="1:255" s="85" customFormat="1">
      <c r="A49" s="150" t="s">
        <v>920</v>
      </c>
      <c r="E49" s="84">
        <v>72250250.799999997</v>
      </c>
      <c r="F49" s="84">
        <v>0</v>
      </c>
      <c r="G49" s="84">
        <v>0</v>
      </c>
      <c r="H49" s="86">
        <v>0</v>
      </c>
      <c r="I49" s="86">
        <v>0</v>
      </c>
      <c r="J49" s="84">
        <v>0</v>
      </c>
      <c r="K49" s="86">
        <v>0</v>
      </c>
      <c r="L49" s="86">
        <v>0</v>
      </c>
      <c r="M49" s="86">
        <v>285920819.37</v>
      </c>
      <c r="N49" s="86">
        <v>-104488920.73</v>
      </c>
      <c r="O49" s="86">
        <v>0</v>
      </c>
      <c r="P49" s="244"/>
      <c r="Q49" s="244"/>
      <c r="AK49" s="150"/>
      <c r="AP49" s="150"/>
      <c r="AV49" s="150"/>
      <c r="BG49" s="150" t="s">
        <v>1889</v>
      </c>
      <c r="BH49" s="86">
        <v>6250480</v>
      </c>
      <c r="BI49" s="86">
        <v>64146179</v>
      </c>
      <c r="BJ49" s="86">
        <v>13148207</v>
      </c>
      <c r="BK49" s="86">
        <v>1281177</v>
      </c>
      <c r="BL49" s="86">
        <v>6250480</v>
      </c>
      <c r="BM49" s="86">
        <v>7531657</v>
      </c>
      <c r="HM49" s="85" t="s">
        <v>921</v>
      </c>
      <c r="HO49" s="153"/>
      <c r="HP49" s="153"/>
      <c r="HQ49" s="153"/>
      <c r="HR49" s="232">
        <v>0.96763759999999999</v>
      </c>
      <c r="HS49" s="147"/>
      <c r="HT49" s="245" t="s">
        <v>922</v>
      </c>
      <c r="HW49" s="90">
        <v>0.96690940000000003</v>
      </c>
      <c r="HX49" s="85">
        <v>0</v>
      </c>
      <c r="HY49" s="85">
        <v>0</v>
      </c>
      <c r="IA49" s="215"/>
      <c r="IB49" s="238"/>
      <c r="IC49" s="150" t="s">
        <v>923</v>
      </c>
      <c r="ID49" s="239" t="s">
        <v>924</v>
      </c>
      <c r="IE49" s="86">
        <v>185996296</v>
      </c>
      <c r="IG49" s="150" t="s">
        <v>925</v>
      </c>
      <c r="IH49" s="150" t="s">
        <v>926</v>
      </c>
      <c r="II49" s="86">
        <v>88167126.160950661</v>
      </c>
      <c r="IL49" s="150" t="s">
        <v>927</v>
      </c>
      <c r="IM49" s="150" t="s">
        <v>928</v>
      </c>
      <c r="IN49" s="218">
        <v>0</v>
      </c>
      <c r="IO49" s="150"/>
      <c r="IQ49" s="150" t="s">
        <v>929</v>
      </c>
      <c r="IR49" s="150" t="s">
        <v>930</v>
      </c>
      <c r="IS49" s="86">
        <v>6.8273992800000002E-2</v>
      </c>
    </row>
    <row r="50" spans="1:255" s="85" customFormat="1">
      <c r="A50" s="150" t="s">
        <v>931</v>
      </c>
      <c r="E50" s="84">
        <v>72029778.019999981</v>
      </c>
      <c r="F50" s="84">
        <v>0</v>
      </c>
      <c r="G50" s="84">
        <v>0</v>
      </c>
      <c r="H50" s="86">
        <v>0</v>
      </c>
      <c r="I50" s="86">
        <v>0</v>
      </c>
      <c r="J50" s="84">
        <v>0</v>
      </c>
      <c r="K50" s="86">
        <v>0</v>
      </c>
      <c r="L50" s="86">
        <v>0</v>
      </c>
      <c r="M50" s="86">
        <v>287549174.44</v>
      </c>
      <c r="N50" s="86">
        <v>-104987163.84999998</v>
      </c>
      <c r="O50" s="86">
        <v>0</v>
      </c>
      <c r="P50" s="244"/>
      <c r="Q50" s="244"/>
      <c r="AK50" s="150"/>
      <c r="AP50" s="150"/>
      <c r="AV50" s="150"/>
      <c r="BG50" s="150" t="s">
        <v>932</v>
      </c>
      <c r="BH50" s="84">
        <v>6250480</v>
      </c>
      <c r="BI50" s="84">
        <v>65909947</v>
      </c>
      <c r="BJ50" s="84">
        <v>13255701</v>
      </c>
      <c r="BK50" s="84">
        <v>1257086</v>
      </c>
      <c r="BL50" s="84">
        <v>6250480</v>
      </c>
      <c r="BM50" s="84">
        <v>7507566</v>
      </c>
      <c r="HO50" s="153"/>
      <c r="HP50" s="153"/>
      <c r="HQ50" s="153"/>
      <c r="HR50" s="90"/>
      <c r="HS50" s="147"/>
      <c r="HT50" s="237"/>
      <c r="HW50" s="90"/>
      <c r="IA50" s="215"/>
      <c r="IB50" s="238"/>
      <c r="IC50" s="150" t="s">
        <v>933</v>
      </c>
      <c r="ID50" s="239" t="s">
        <v>934</v>
      </c>
      <c r="IE50" s="86">
        <v>-115848194</v>
      </c>
      <c r="IG50" s="150" t="s">
        <v>935</v>
      </c>
      <c r="IH50" s="246" t="s">
        <v>771</v>
      </c>
      <c r="II50" s="218">
        <v>97998345.260000005</v>
      </c>
      <c r="IL50" s="150" t="s">
        <v>936</v>
      </c>
      <c r="IM50" s="150" t="s">
        <v>937</v>
      </c>
      <c r="IN50" s="218">
        <v>0</v>
      </c>
      <c r="IO50" s="150"/>
      <c r="IQ50" s="150" t="s">
        <v>938</v>
      </c>
      <c r="IR50" s="150" t="s">
        <v>939</v>
      </c>
      <c r="IS50" s="86">
        <v>0</v>
      </c>
    </row>
    <row r="51" spans="1:255">
      <c r="A51" s="216" t="s">
        <v>940</v>
      </c>
      <c r="E51" s="84">
        <v>73287333.890000001</v>
      </c>
      <c r="F51" s="84">
        <v>0</v>
      </c>
      <c r="G51" s="84">
        <v>0</v>
      </c>
      <c r="H51" s="218">
        <v>0</v>
      </c>
      <c r="I51" s="218">
        <v>0</v>
      </c>
      <c r="J51" s="84">
        <v>0</v>
      </c>
      <c r="K51" s="218">
        <v>0</v>
      </c>
      <c r="L51" s="218">
        <v>0</v>
      </c>
      <c r="M51" s="218">
        <v>287947692.52000004</v>
      </c>
      <c r="N51" s="218">
        <v>-104869800.90999998</v>
      </c>
      <c r="O51" s="218">
        <v>0</v>
      </c>
      <c r="P51" s="243"/>
      <c r="Q51" s="243"/>
      <c r="R51" s="243"/>
      <c r="S51" s="243"/>
      <c r="AK51" s="242"/>
      <c r="AP51" s="216"/>
      <c r="AV51" s="216"/>
      <c r="BG51" s="216" t="s">
        <v>670</v>
      </c>
      <c r="BH51" s="218">
        <v>80657418</v>
      </c>
      <c r="BI51" s="218">
        <v>824370724</v>
      </c>
      <c r="BJ51" s="218">
        <v>168000312</v>
      </c>
      <c r="BK51" s="218">
        <v>16457619</v>
      </c>
      <c r="BL51" s="218">
        <v>80657418</v>
      </c>
      <c r="BM51" s="218">
        <v>97115037</v>
      </c>
      <c r="HM51" s="215" t="s">
        <v>941</v>
      </c>
      <c r="HO51" s="217"/>
      <c r="HP51" s="217"/>
      <c r="HQ51" s="217"/>
      <c r="HS51" s="147"/>
      <c r="HT51" s="229"/>
      <c r="IB51" s="220"/>
      <c r="IC51" s="216" t="s">
        <v>942</v>
      </c>
      <c r="ID51" s="221" t="s">
        <v>943</v>
      </c>
      <c r="IE51" s="218">
        <v>-67153891</v>
      </c>
      <c r="IG51" s="216" t="s">
        <v>944</v>
      </c>
      <c r="IH51" s="216" t="s">
        <v>945</v>
      </c>
      <c r="II51" s="218">
        <v>0</v>
      </c>
      <c r="IL51" s="216" t="s">
        <v>946</v>
      </c>
      <c r="IM51" s="216" t="s">
        <v>947</v>
      </c>
      <c r="IN51" s="218">
        <v>0</v>
      </c>
      <c r="IO51" s="216"/>
      <c r="IQ51" s="216" t="s">
        <v>948</v>
      </c>
      <c r="IR51" s="216" t="s">
        <v>949</v>
      </c>
      <c r="IS51" s="218">
        <v>4.5095165999999999E-2</v>
      </c>
      <c r="IU51" s="216" t="s">
        <v>949</v>
      </c>
    </row>
    <row r="52" spans="1:255">
      <c r="A52" s="216" t="s">
        <v>3166</v>
      </c>
      <c r="E52" s="84">
        <v>4819648.9800000004</v>
      </c>
      <c r="F52" s="84">
        <v>0</v>
      </c>
      <c r="G52" s="84">
        <v>0</v>
      </c>
      <c r="H52" s="218">
        <v>0</v>
      </c>
      <c r="I52" s="218">
        <v>0</v>
      </c>
      <c r="J52" s="84">
        <v>0</v>
      </c>
      <c r="K52" s="218">
        <v>0</v>
      </c>
      <c r="L52" s="218">
        <v>0</v>
      </c>
      <c r="M52" s="218">
        <v>358173130.94</v>
      </c>
      <c r="N52" s="218">
        <v>-105282720.02</v>
      </c>
      <c r="O52" s="84">
        <v>0</v>
      </c>
      <c r="AK52" s="216"/>
      <c r="AP52" s="216"/>
      <c r="AV52" s="216"/>
      <c r="BG52" s="216" t="s">
        <v>680</v>
      </c>
      <c r="BH52" s="218">
        <v>6204417</v>
      </c>
      <c r="BI52" s="218">
        <v>63413133</v>
      </c>
      <c r="BJ52" s="218">
        <v>12923101</v>
      </c>
      <c r="BK52" s="218">
        <v>1265971</v>
      </c>
      <c r="BL52" s="218">
        <v>6204417</v>
      </c>
      <c r="BM52" s="218">
        <v>7470387</v>
      </c>
      <c r="HN52" s="215" t="s">
        <v>3167</v>
      </c>
      <c r="HO52" s="217">
        <v>60068</v>
      </c>
      <c r="HP52" s="217">
        <v>2184</v>
      </c>
      <c r="HQ52" s="217">
        <v>62252</v>
      </c>
      <c r="HR52" s="232">
        <v>0.96491678982201379</v>
      </c>
      <c r="HS52" s="147"/>
      <c r="HT52" s="229">
        <v>74523</v>
      </c>
      <c r="HU52" s="215">
        <v>2677</v>
      </c>
      <c r="HV52" s="215">
        <v>77200</v>
      </c>
      <c r="HW52" s="232">
        <v>0.96532383419689116</v>
      </c>
      <c r="HX52" s="232">
        <v>7.0998796630565589E-2</v>
      </c>
      <c r="HY52" s="215">
        <v>5900</v>
      </c>
      <c r="IB52" s="220"/>
      <c r="IC52" s="216" t="s">
        <v>3168</v>
      </c>
      <c r="ID52" s="221" t="s">
        <v>3169</v>
      </c>
      <c r="IE52" s="218">
        <v>-1</v>
      </c>
      <c r="IG52" s="216" t="s">
        <v>3170</v>
      </c>
      <c r="IH52" s="216" t="s">
        <v>3171</v>
      </c>
      <c r="II52" s="218">
        <v>0</v>
      </c>
      <c r="IL52" s="216" t="s">
        <v>3172</v>
      </c>
      <c r="IM52" s="216" t="s">
        <v>3173</v>
      </c>
      <c r="IN52" s="218">
        <v>0</v>
      </c>
      <c r="IQ52" s="216" t="s">
        <v>3174</v>
      </c>
      <c r="IR52" s="216" t="s">
        <v>3175</v>
      </c>
      <c r="IS52" s="218">
        <v>116742287.28652766</v>
      </c>
    </row>
    <row r="53" spans="1:255">
      <c r="O53" s="84"/>
      <c r="AK53" s="216"/>
      <c r="AP53" s="216"/>
      <c r="AV53" s="216"/>
      <c r="HN53" s="215" t="s">
        <v>3176</v>
      </c>
      <c r="HO53" s="217">
        <v>6836</v>
      </c>
      <c r="HP53" s="217">
        <v>252</v>
      </c>
      <c r="HQ53" s="217">
        <v>7088</v>
      </c>
      <c r="HR53" s="232">
        <v>0.96444695259593682</v>
      </c>
      <c r="HS53" s="147"/>
      <c r="HT53" s="229">
        <v>7922</v>
      </c>
      <c r="HU53" s="215">
        <v>288</v>
      </c>
      <c r="HV53" s="215">
        <v>8210</v>
      </c>
      <c r="HW53" s="232">
        <v>0.96492082825822167</v>
      </c>
      <c r="HX53" s="232">
        <v>8.5189241815747841E-4</v>
      </c>
      <c r="HY53" s="215">
        <v>7</v>
      </c>
      <c r="IB53" s="220"/>
      <c r="IC53" s="216" t="s">
        <v>3177</v>
      </c>
      <c r="ID53" s="221" t="s">
        <v>3178</v>
      </c>
      <c r="IE53" s="218">
        <v>0</v>
      </c>
      <c r="IG53" s="216" t="s">
        <v>3179</v>
      </c>
      <c r="IH53" s="216" t="s">
        <v>3180</v>
      </c>
      <c r="II53" s="218">
        <v>32751</v>
      </c>
      <c r="IL53" s="216" t="s">
        <v>3181</v>
      </c>
      <c r="IM53" s="216" t="s">
        <v>3182</v>
      </c>
      <c r="IN53" s="218">
        <v>0</v>
      </c>
      <c r="IQ53" s="216" t="s">
        <v>3183</v>
      </c>
      <c r="IR53" s="216" t="s">
        <v>3184</v>
      </c>
      <c r="IS53" s="218">
        <v>0</v>
      </c>
    </row>
    <row r="54" spans="1:255">
      <c r="E54" s="216" t="s">
        <v>1878</v>
      </c>
      <c r="F54" s="216" t="s">
        <v>1878</v>
      </c>
      <c r="G54" s="216" t="s">
        <v>1878</v>
      </c>
      <c r="H54" s="216" t="s">
        <v>1878</v>
      </c>
      <c r="I54" s="216" t="s">
        <v>1878</v>
      </c>
      <c r="J54" s="216" t="s">
        <v>1878</v>
      </c>
      <c r="K54" s="216" t="s">
        <v>1878</v>
      </c>
      <c r="L54" s="216" t="s">
        <v>1878</v>
      </c>
      <c r="M54" s="216" t="s">
        <v>1878</v>
      </c>
      <c r="N54" s="216" t="s">
        <v>1878</v>
      </c>
      <c r="O54" s="216" t="s">
        <v>1878</v>
      </c>
      <c r="AK54" s="216"/>
      <c r="AP54" s="216"/>
      <c r="AV54" s="216"/>
      <c r="HN54" s="215" t="s">
        <v>3185</v>
      </c>
      <c r="HO54" s="217">
        <v>24690</v>
      </c>
      <c r="HP54" s="217">
        <v>66</v>
      </c>
      <c r="HQ54" s="217">
        <v>24756</v>
      </c>
      <c r="HR54" s="232">
        <v>0.99733397964129911</v>
      </c>
      <c r="HS54" s="147"/>
      <c r="HT54" s="229">
        <v>32974</v>
      </c>
      <c r="HU54" s="215">
        <v>74</v>
      </c>
      <c r="HV54" s="215">
        <v>33048</v>
      </c>
      <c r="HW54" s="232">
        <v>0.99776083272815297</v>
      </c>
      <c r="HX54" s="215">
        <v>0</v>
      </c>
      <c r="HY54" s="215">
        <v>0</v>
      </c>
      <c r="IB54" s="220"/>
      <c r="IC54" s="216" t="s">
        <v>3186</v>
      </c>
      <c r="ID54" s="221" t="s">
        <v>3187</v>
      </c>
      <c r="IE54" s="218">
        <v>12446388</v>
      </c>
      <c r="IG54" s="216" t="s">
        <v>3188</v>
      </c>
      <c r="IH54" s="216" t="s">
        <v>3189</v>
      </c>
      <c r="II54" s="218" t="e">
        <v>#DIV/0!</v>
      </c>
      <c r="IL54" s="216" t="s">
        <v>3190</v>
      </c>
      <c r="IM54" s="216" t="s">
        <v>3191</v>
      </c>
      <c r="IN54" s="218">
        <v>114105429.35000004</v>
      </c>
      <c r="IQ54" s="216" t="s">
        <v>3192</v>
      </c>
      <c r="IR54" s="216" t="s">
        <v>3193</v>
      </c>
      <c r="IS54" s="218">
        <v>0</v>
      </c>
      <c r="IU54" s="216" t="s">
        <v>3194</v>
      </c>
    </row>
    <row r="55" spans="1:255">
      <c r="E55" s="218">
        <v>1061126132.1500001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3402444368.7400002</v>
      </c>
      <c r="N55" s="218">
        <v>-1344975170.0100002</v>
      </c>
      <c r="O55" s="218">
        <v>0</v>
      </c>
      <c r="AK55" s="216"/>
      <c r="AP55" s="216"/>
      <c r="AV55" s="216"/>
      <c r="HN55" s="215" t="s">
        <v>3195</v>
      </c>
      <c r="HO55" s="217">
        <v>13763</v>
      </c>
      <c r="HP55" s="217">
        <v>2</v>
      </c>
      <c r="HQ55" s="217">
        <v>13765</v>
      </c>
      <c r="HR55" s="232">
        <v>0.99985470395931708</v>
      </c>
      <c r="HS55" s="147"/>
      <c r="HT55" s="229">
        <v>15115</v>
      </c>
      <c r="HU55" s="215">
        <v>3</v>
      </c>
      <c r="HV55" s="215">
        <v>15118</v>
      </c>
      <c r="HW55" s="232">
        <v>0.99980156105304929</v>
      </c>
      <c r="HX55" s="215">
        <v>0</v>
      </c>
      <c r="HY55" s="215">
        <v>0</v>
      </c>
      <c r="IB55" s="220"/>
      <c r="IC55" s="216" t="s">
        <v>3196</v>
      </c>
      <c r="ID55" s="221" t="s">
        <v>3197</v>
      </c>
      <c r="IE55" s="218">
        <v>0</v>
      </c>
      <c r="IG55" s="216" t="s">
        <v>3198</v>
      </c>
      <c r="IH55" s="216" t="s">
        <v>3199</v>
      </c>
      <c r="II55" s="218">
        <v>4.5776796799999998E-2</v>
      </c>
      <c r="IL55" s="216" t="s">
        <v>3200</v>
      </c>
      <c r="IM55" s="216" t="s">
        <v>3201</v>
      </c>
      <c r="IN55" s="218">
        <v>-6202500.0000000047</v>
      </c>
      <c r="IQ55" s="216" t="s">
        <v>3202</v>
      </c>
      <c r="IR55" s="216" t="s">
        <v>3203</v>
      </c>
      <c r="IS55" s="218">
        <v>7771484</v>
      </c>
    </row>
    <row r="56" spans="1:255">
      <c r="E56" s="218">
        <v>81625087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261726490</v>
      </c>
      <c r="N56" s="218">
        <v>-103459628</v>
      </c>
      <c r="O56" s="218">
        <v>0</v>
      </c>
      <c r="AK56" s="216"/>
      <c r="AP56" s="216"/>
      <c r="AV56" s="216"/>
      <c r="HN56" s="215" t="s">
        <v>3204</v>
      </c>
      <c r="HO56" s="217">
        <v>11967</v>
      </c>
      <c r="HP56" s="217">
        <v>0</v>
      </c>
      <c r="HQ56" s="217">
        <v>11967</v>
      </c>
      <c r="HR56" s="232">
        <v>1</v>
      </c>
      <c r="HS56" s="147"/>
      <c r="HT56" s="229">
        <v>10930</v>
      </c>
      <c r="HU56" s="215">
        <v>0</v>
      </c>
      <c r="HV56" s="215">
        <v>10930</v>
      </c>
      <c r="HW56" s="232">
        <v>1</v>
      </c>
      <c r="HX56" s="215">
        <v>0</v>
      </c>
      <c r="HY56" s="215">
        <v>0</v>
      </c>
      <c r="IB56" s="220"/>
      <c r="IC56" s="216" t="s">
        <v>3205</v>
      </c>
      <c r="ID56" s="221" t="s">
        <v>3206</v>
      </c>
      <c r="IE56" s="218">
        <v>0</v>
      </c>
      <c r="IG56" s="216" t="s">
        <v>3207</v>
      </c>
      <c r="IH56" s="216" t="s">
        <v>3208</v>
      </c>
      <c r="II56" s="218">
        <v>0</v>
      </c>
      <c r="IL56" s="216" t="s">
        <v>3209</v>
      </c>
      <c r="IM56" s="216" t="s">
        <v>3210</v>
      </c>
      <c r="IN56" s="218">
        <v>-105725000</v>
      </c>
      <c r="IQ56" s="216" t="s">
        <v>3211</v>
      </c>
      <c r="IR56" s="216" t="s">
        <v>3212</v>
      </c>
      <c r="IS56" s="218">
        <v>1113445382.6900001</v>
      </c>
    </row>
    <row r="57" spans="1:255">
      <c r="E57" s="216" t="s">
        <v>736</v>
      </c>
      <c r="F57" s="216" t="s">
        <v>736</v>
      </c>
      <c r="G57" s="216" t="s">
        <v>736</v>
      </c>
      <c r="H57" s="216" t="s">
        <v>736</v>
      </c>
      <c r="I57" s="216" t="s">
        <v>736</v>
      </c>
      <c r="J57" s="216" t="s">
        <v>736</v>
      </c>
      <c r="K57" s="216" t="s">
        <v>736</v>
      </c>
      <c r="L57" s="216" t="s">
        <v>736</v>
      </c>
      <c r="M57" s="216" t="s">
        <v>736</v>
      </c>
      <c r="N57" s="216" t="s">
        <v>736</v>
      </c>
      <c r="O57" s="216" t="s">
        <v>736</v>
      </c>
      <c r="AK57" s="216"/>
      <c r="AP57" s="216"/>
      <c r="AV57" s="216"/>
      <c r="HN57" s="215" t="s">
        <v>3213</v>
      </c>
      <c r="HO57" s="217">
        <v>40214</v>
      </c>
      <c r="HP57" s="217">
        <v>887</v>
      </c>
      <c r="HQ57" s="217">
        <v>41101</v>
      </c>
      <c r="HR57" s="232">
        <v>0.97841901656893993</v>
      </c>
      <c r="HS57" s="147"/>
      <c r="HT57" s="229">
        <v>40957</v>
      </c>
      <c r="HU57" s="215">
        <v>891</v>
      </c>
      <c r="HV57" s="215">
        <v>41848</v>
      </c>
      <c r="HW57" s="232">
        <v>0.97870865991206268</v>
      </c>
      <c r="HX57" s="232">
        <v>3.0353584503452432E-2</v>
      </c>
      <c r="HY57" s="215">
        <v>1310</v>
      </c>
      <c r="IB57" s="220"/>
      <c r="IC57" s="216" t="s">
        <v>3214</v>
      </c>
      <c r="ID57" s="221" t="s">
        <v>3215</v>
      </c>
      <c r="IE57" s="218">
        <v>0</v>
      </c>
      <c r="IG57" s="216" t="s">
        <v>3216</v>
      </c>
      <c r="IH57" s="216" t="s">
        <v>3217</v>
      </c>
      <c r="II57" s="218">
        <v>0</v>
      </c>
      <c r="IL57" s="216" t="s">
        <v>3218</v>
      </c>
      <c r="IM57" s="216" t="s">
        <v>3219</v>
      </c>
      <c r="IN57" s="218">
        <v>-11135800.439999999</v>
      </c>
      <c r="IQ57" s="216" t="s">
        <v>3220</v>
      </c>
      <c r="IR57" s="216" t="s">
        <v>3221</v>
      </c>
      <c r="IS57" s="218">
        <v>1195182225.8299999</v>
      </c>
      <c r="IU57" s="216" t="s">
        <v>3221</v>
      </c>
    </row>
    <row r="58" spans="1:255">
      <c r="F58" s="84"/>
      <c r="AK58" s="242"/>
      <c r="AP58" s="216"/>
      <c r="AV58" s="216"/>
      <c r="HO58" s="217"/>
      <c r="HP58" s="217"/>
      <c r="HQ58" s="217"/>
      <c r="HR58" s="232"/>
      <c r="HS58" s="147"/>
      <c r="HT58" s="229"/>
      <c r="HW58" s="232"/>
      <c r="IB58" s="220"/>
      <c r="IC58" s="216" t="s">
        <v>3222</v>
      </c>
      <c r="ID58" s="221" t="s">
        <v>3223</v>
      </c>
      <c r="IE58" s="218">
        <v>629</v>
      </c>
      <c r="IG58" s="216" t="s">
        <v>3224</v>
      </c>
      <c r="IH58" s="216" t="s">
        <v>3225</v>
      </c>
      <c r="II58" s="218">
        <v>0</v>
      </c>
      <c r="IL58" s="216" t="s">
        <v>3226</v>
      </c>
      <c r="IM58" s="216" t="s">
        <v>3227</v>
      </c>
      <c r="IN58" s="218">
        <v>134790028.13999999</v>
      </c>
      <c r="IQ58" s="216" t="s">
        <v>3228</v>
      </c>
      <c r="IR58" s="216" t="s">
        <v>3229</v>
      </c>
      <c r="IS58" s="218">
        <v>4.5776796799999998E-2</v>
      </c>
      <c r="IU58" s="216" t="s">
        <v>3229</v>
      </c>
    </row>
    <row r="59" spans="1:255">
      <c r="F59" s="84"/>
      <c r="AK59" s="216"/>
      <c r="AP59" s="216"/>
      <c r="AV59" s="216"/>
      <c r="HN59" s="215" t="s">
        <v>3230</v>
      </c>
      <c r="HO59" s="217"/>
      <c r="HP59" s="217"/>
      <c r="HQ59" s="217"/>
      <c r="HR59" s="232">
        <v>0.97983229999999999</v>
      </c>
      <c r="HS59" s="147"/>
      <c r="HT59" s="229"/>
      <c r="HW59" s="232">
        <v>0.97888430000000004</v>
      </c>
      <c r="IB59" s="220"/>
      <c r="IC59" s="216" t="s">
        <v>3231</v>
      </c>
      <c r="ID59" s="221" t="s">
        <v>3232</v>
      </c>
      <c r="IE59" s="218">
        <v>0</v>
      </c>
      <c r="IG59" s="216" t="s">
        <v>3233</v>
      </c>
      <c r="IH59" s="216" t="s">
        <v>3234</v>
      </c>
      <c r="II59" s="218">
        <v>1664803.6923076899</v>
      </c>
      <c r="IL59" s="216" t="s">
        <v>3235</v>
      </c>
      <c r="IM59" s="216" t="s">
        <v>3236</v>
      </c>
      <c r="IN59" s="218">
        <v>92581584.150000006</v>
      </c>
      <c r="IQ59" s="216" t="s">
        <v>3237</v>
      </c>
      <c r="IR59" s="216" t="s">
        <v>3238</v>
      </c>
      <c r="IS59" s="218">
        <v>6.3291885000000006E-2</v>
      </c>
      <c r="IU59" s="216" t="s">
        <v>3238</v>
      </c>
    </row>
    <row r="60" spans="1:255">
      <c r="A60" s="84"/>
      <c r="B60" s="84"/>
      <c r="C60" s="84"/>
      <c r="D60" s="84"/>
      <c r="F60" s="84"/>
      <c r="AK60" s="216"/>
      <c r="AV60" s="216"/>
      <c r="HO60" s="217"/>
      <c r="HP60" s="217"/>
      <c r="HQ60" s="217"/>
      <c r="HR60" s="232"/>
      <c r="HS60" s="147"/>
      <c r="HT60" s="229"/>
      <c r="HW60" s="232"/>
      <c r="IB60" s="220"/>
      <c r="IC60" s="216" t="s">
        <v>3239</v>
      </c>
      <c r="ID60" s="221" t="s">
        <v>3240</v>
      </c>
      <c r="IE60" s="218">
        <v>15102690</v>
      </c>
      <c r="IG60" s="216" t="s">
        <v>3241</v>
      </c>
      <c r="IH60" s="216" t="s">
        <v>3242</v>
      </c>
      <c r="II60" s="218">
        <v>0</v>
      </c>
      <c r="IL60" s="216" t="s">
        <v>3243</v>
      </c>
      <c r="IM60" s="216" t="s">
        <v>3244</v>
      </c>
      <c r="IN60" s="218">
        <v>0</v>
      </c>
      <c r="IQ60" s="216" t="s">
        <v>3245</v>
      </c>
      <c r="IR60" s="216" t="s">
        <v>3246</v>
      </c>
      <c r="IS60" s="218">
        <v>35913603.859999999</v>
      </c>
      <c r="IU60" s="216" t="s">
        <v>3246</v>
      </c>
    </row>
    <row r="61" spans="1:255">
      <c r="A61" s="216" t="s">
        <v>2155</v>
      </c>
      <c r="C61" s="216" t="s">
        <v>2583</v>
      </c>
      <c r="AK61" s="216"/>
      <c r="AV61" s="216"/>
      <c r="HM61" s="215" t="s">
        <v>3247</v>
      </c>
      <c r="HO61" s="217">
        <v>59734</v>
      </c>
      <c r="HP61" s="217">
        <v>1393</v>
      </c>
      <c r="HQ61" s="217">
        <v>61127</v>
      </c>
      <c r="HR61" s="232">
        <v>0.97721137958676196</v>
      </c>
      <c r="HS61" s="147"/>
      <c r="HT61" s="229">
        <v>77565</v>
      </c>
      <c r="HU61" s="215">
        <v>1965</v>
      </c>
      <c r="HV61" s="215">
        <v>79530</v>
      </c>
      <c r="HW61" s="232">
        <v>0.97529234251225949</v>
      </c>
      <c r="HX61" s="232">
        <v>5.2266552266552267E-2</v>
      </c>
      <c r="HY61" s="215">
        <v>4386</v>
      </c>
      <c r="IB61" s="220"/>
      <c r="IC61" s="216" t="s">
        <v>3248</v>
      </c>
      <c r="ID61" s="221" t="s">
        <v>3249</v>
      </c>
      <c r="IE61" s="218">
        <v>-173403</v>
      </c>
      <c r="IG61" s="216" t="s">
        <v>3250</v>
      </c>
      <c r="IH61" s="216" t="s">
        <v>3251</v>
      </c>
      <c r="II61" s="218">
        <v>0</v>
      </c>
      <c r="IL61" s="216" t="s">
        <v>3252</v>
      </c>
      <c r="IM61" s="216" t="s">
        <v>3253</v>
      </c>
      <c r="IN61" s="218">
        <v>-41383866.13000001</v>
      </c>
      <c r="IQ61" s="216" t="s">
        <v>3254</v>
      </c>
      <c r="IR61" s="216" t="s">
        <v>3255</v>
      </c>
      <c r="IS61" s="218">
        <v>97998345.260000005</v>
      </c>
      <c r="IU61" s="216" t="s">
        <v>3255</v>
      </c>
    </row>
    <row r="62" spans="1:255">
      <c r="A62" s="216" t="s">
        <v>3256</v>
      </c>
      <c r="AK62" s="216"/>
      <c r="AV62" s="216"/>
      <c r="HO62" s="217"/>
      <c r="HP62" s="217"/>
      <c r="HQ62" s="217"/>
      <c r="HR62" s="232"/>
      <c r="HS62" s="147"/>
      <c r="HT62" s="229"/>
      <c r="HW62" s="232"/>
      <c r="IB62" s="220"/>
      <c r="IC62" s="216" t="s">
        <v>3257</v>
      </c>
      <c r="ID62" s="221" t="s">
        <v>3258</v>
      </c>
      <c r="IE62" s="218">
        <v>0</v>
      </c>
      <c r="IG62" s="216" t="s">
        <v>3259</v>
      </c>
      <c r="IH62" s="216" t="s">
        <v>3260</v>
      </c>
      <c r="II62" s="218">
        <v>-2575553.1414129599</v>
      </c>
      <c r="IL62" s="216" t="s">
        <v>3261</v>
      </c>
      <c r="IM62" s="216" t="s">
        <v>3262</v>
      </c>
      <c r="IN62" s="218">
        <v>336117265.78000003</v>
      </c>
      <c r="IQ62" s="216" t="s">
        <v>3263</v>
      </c>
      <c r="IR62" s="216" t="s">
        <v>3264</v>
      </c>
      <c r="IS62" s="218">
        <v>86563058.700000003</v>
      </c>
      <c r="IU62" s="216" t="s">
        <v>3264</v>
      </c>
    </row>
    <row r="63" spans="1:255">
      <c r="A63" s="216" t="s">
        <v>3265</v>
      </c>
      <c r="AK63" s="216"/>
      <c r="AP63" s="84"/>
      <c r="AV63" s="216"/>
      <c r="HM63" s="215" t="s">
        <v>3266</v>
      </c>
      <c r="HO63" s="217">
        <v>0</v>
      </c>
      <c r="HP63" s="217">
        <v>0</v>
      </c>
      <c r="HQ63" s="217">
        <v>0</v>
      </c>
      <c r="HR63" s="232">
        <v>0</v>
      </c>
      <c r="HS63" s="147"/>
      <c r="HT63" s="229">
        <v>73</v>
      </c>
      <c r="HU63" s="215">
        <v>3</v>
      </c>
      <c r="HV63" s="215">
        <v>76</v>
      </c>
      <c r="HW63" s="232">
        <v>0.97529234251225949</v>
      </c>
      <c r="HX63" s="232">
        <v>5.2266552266552267E-2</v>
      </c>
      <c r="HY63" s="215">
        <v>179</v>
      </c>
      <c r="IB63" s="220"/>
      <c r="IC63" s="216" t="s">
        <v>3267</v>
      </c>
      <c r="ID63" s="221" t="s">
        <v>3268</v>
      </c>
      <c r="IE63" s="218">
        <v>191314208.20076457</v>
      </c>
      <c r="IG63" s="216" t="s">
        <v>3269</v>
      </c>
      <c r="IH63" s="216" t="s">
        <v>3270</v>
      </c>
      <c r="II63" s="218">
        <v>119900987.04472964</v>
      </c>
      <c r="IQ63" s="216" t="s">
        <v>3271</v>
      </c>
      <c r="IR63" s="216" t="s">
        <v>3272</v>
      </c>
      <c r="IS63" s="218">
        <v>198625267.13999999</v>
      </c>
    </row>
    <row r="64" spans="1:255">
      <c r="A64" s="216" t="s">
        <v>3273</v>
      </c>
      <c r="AK64" s="216"/>
      <c r="AP64" s="84"/>
      <c r="AV64" s="216"/>
      <c r="HO64" s="217"/>
      <c r="HP64" s="217"/>
      <c r="HQ64" s="217"/>
      <c r="HR64" s="232"/>
      <c r="HS64" s="147"/>
      <c r="HT64" s="229"/>
      <c r="HW64" s="232"/>
      <c r="IB64" s="220"/>
      <c r="IC64" s="216" t="s">
        <v>3274</v>
      </c>
      <c r="ID64" s="221" t="s">
        <v>3275</v>
      </c>
      <c r="IE64" s="218">
        <v>4521</v>
      </c>
      <c r="IG64" s="216" t="s">
        <v>3276</v>
      </c>
      <c r="IH64" s="216" t="s">
        <v>3277</v>
      </c>
      <c r="II64" s="218">
        <v>116742287.28652766</v>
      </c>
      <c r="IL64" s="216" t="s">
        <v>3278</v>
      </c>
      <c r="IM64" s="216" t="s">
        <v>3279</v>
      </c>
      <c r="IN64" s="218">
        <v>47276125.160000004</v>
      </c>
      <c r="IQ64" s="216" t="s">
        <v>3280</v>
      </c>
      <c r="IR64" s="216" t="s">
        <v>3281</v>
      </c>
      <c r="IS64" s="218">
        <v>368215630.48000002</v>
      </c>
    </row>
    <row r="65" spans="1:255">
      <c r="A65" s="216" t="s">
        <v>3282</v>
      </c>
      <c r="AP65" s="84"/>
      <c r="AV65" s="216"/>
      <c r="HM65" s="215" t="s">
        <v>3283</v>
      </c>
      <c r="HO65" s="217">
        <v>-1465</v>
      </c>
      <c r="HP65" s="217">
        <v>-34</v>
      </c>
      <c r="HQ65" s="217">
        <v>-1499</v>
      </c>
      <c r="HR65" s="232">
        <v>0.97731821214142767</v>
      </c>
      <c r="HS65" s="147"/>
      <c r="HT65" s="229">
        <v>-1462</v>
      </c>
      <c r="HU65" s="215">
        <v>-37</v>
      </c>
      <c r="HV65" s="215">
        <v>-1499</v>
      </c>
      <c r="HW65" s="232">
        <v>0.97531687791861243</v>
      </c>
      <c r="HX65" s="232">
        <v>0.1813216821409066</v>
      </c>
      <c r="HY65" s="215">
        <v>-332</v>
      </c>
      <c r="IB65" s="220"/>
      <c r="IC65" s="216" t="s">
        <v>3284</v>
      </c>
      <c r="ID65" s="221" t="s">
        <v>3285</v>
      </c>
      <c r="IE65" s="218">
        <v>0</v>
      </c>
      <c r="IG65" s="216" t="s">
        <v>3286</v>
      </c>
      <c r="IH65" s="216" t="s">
        <v>3287</v>
      </c>
      <c r="II65" s="218">
        <v>99467629.727384374</v>
      </c>
      <c r="IL65" s="216" t="s">
        <v>3288</v>
      </c>
      <c r="IM65" s="216" t="s">
        <v>3289</v>
      </c>
      <c r="IN65" s="218">
        <v>923663.77000000188</v>
      </c>
      <c r="IQ65" s="216" t="s">
        <v>3290</v>
      </c>
      <c r="IR65" s="216" t="s">
        <v>3291</v>
      </c>
      <c r="IS65" s="218">
        <v>35913603.859999999</v>
      </c>
    </row>
    <row r="66" spans="1:255">
      <c r="A66" s="216" t="s">
        <v>1557</v>
      </c>
      <c r="AP66" s="84"/>
      <c r="AV66" s="216"/>
      <c r="HO66" s="217"/>
      <c r="HP66" s="217"/>
      <c r="HQ66" s="217"/>
      <c r="HR66" s="232"/>
      <c r="HS66" s="147"/>
      <c r="HT66" s="229"/>
      <c r="HW66" s="232"/>
      <c r="IB66" s="220"/>
      <c r="IC66" s="216" t="s">
        <v>3292</v>
      </c>
      <c r="ID66" s="221" t="s">
        <v>3293</v>
      </c>
      <c r="IE66" s="218">
        <v>0</v>
      </c>
      <c r="IG66" s="216" t="s">
        <v>3294</v>
      </c>
      <c r="IH66" s="216" t="s">
        <v>3295</v>
      </c>
      <c r="II66" s="218">
        <v>110358685.47705732</v>
      </c>
      <c r="IL66" s="216" t="s">
        <v>3296</v>
      </c>
      <c r="IM66" s="216" t="s">
        <v>3297</v>
      </c>
      <c r="IN66" s="218">
        <v>34038.810115200002</v>
      </c>
      <c r="IQ66" s="216" t="s">
        <v>3298</v>
      </c>
      <c r="IR66" s="216" t="s">
        <v>3299</v>
      </c>
      <c r="IS66" s="218">
        <v>1292814164.02</v>
      </c>
    </row>
    <row r="67" spans="1:255">
      <c r="AP67" s="84"/>
      <c r="AV67" s="216"/>
      <c r="HM67" s="215" t="s">
        <v>3300</v>
      </c>
      <c r="HO67" s="217"/>
      <c r="HP67" s="217"/>
      <c r="HQ67" s="217"/>
      <c r="HR67" s="232"/>
      <c r="HS67" s="147"/>
      <c r="HT67" s="229"/>
      <c r="HW67" s="232"/>
      <c r="IB67" s="220"/>
      <c r="IC67" s="216" t="s">
        <v>3301</v>
      </c>
      <c r="ID67" s="221" t="s">
        <v>3302</v>
      </c>
      <c r="IE67" s="218">
        <v>0</v>
      </c>
      <c r="IG67" s="216" t="s">
        <v>3303</v>
      </c>
      <c r="IH67" s="216" t="s">
        <v>3304</v>
      </c>
      <c r="II67" s="218">
        <v>5771744</v>
      </c>
      <c r="IL67" s="216" t="s">
        <v>3305</v>
      </c>
      <c r="IM67" s="216" t="s">
        <v>3306</v>
      </c>
      <c r="IN67" s="218">
        <v>47594452.837895997</v>
      </c>
      <c r="IQ67" s="216" t="s">
        <v>3307</v>
      </c>
      <c r="IR67" s="216" t="s">
        <v>3308</v>
      </c>
      <c r="IS67" s="218">
        <v>0</v>
      </c>
    </row>
    <row r="68" spans="1:255">
      <c r="D68" s="224" t="s">
        <v>32</v>
      </c>
      <c r="E68" s="224" t="s">
        <v>2657</v>
      </c>
      <c r="G68" s="224" t="s">
        <v>1580</v>
      </c>
      <c r="AV68" s="216"/>
      <c r="HN68" s="215" t="s">
        <v>3309</v>
      </c>
      <c r="HO68" s="217">
        <v>15722</v>
      </c>
      <c r="HP68" s="217">
        <v>417</v>
      </c>
      <c r="HQ68" s="217"/>
      <c r="HR68" s="232"/>
      <c r="HS68" s="147"/>
      <c r="HT68" s="229">
        <v>20293</v>
      </c>
      <c r="HU68" s="215">
        <v>536</v>
      </c>
      <c r="HW68" s="232"/>
      <c r="HY68" s="215">
        <v>612</v>
      </c>
      <c r="IB68" s="220"/>
      <c r="IC68" s="216" t="s">
        <v>3310</v>
      </c>
      <c r="ID68" s="221" t="s">
        <v>3311</v>
      </c>
      <c r="IE68" s="218">
        <v>-34034</v>
      </c>
      <c r="IG68" s="216" t="s">
        <v>3312</v>
      </c>
      <c r="IH68" s="216" t="s">
        <v>3313</v>
      </c>
      <c r="II68" s="218">
        <v>17750858.447780401</v>
      </c>
      <c r="IQ68" s="216" t="s">
        <v>3314</v>
      </c>
      <c r="IR68" s="216" t="s">
        <v>3315</v>
      </c>
      <c r="IS68" s="218">
        <v>0</v>
      </c>
    </row>
    <row r="69" spans="1:255">
      <c r="C69" s="224" t="s">
        <v>34</v>
      </c>
      <c r="D69" s="224" t="s">
        <v>2661</v>
      </c>
      <c r="E69" s="224" t="s">
        <v>34</v>
      </c>
      <c r="F69" s="224" t="s">
        <v>3316</v>
      </c>
      <c r="G69" s="224" t="s">
        <v>36</v>
      </c>
      <c r="H69" s="224" t="s">
        <v>37</v>
      </c>
      <c r="I69" s="224" t="s">
        <v>2657</v>
      </c>
      <c r="J69" s="216" t="s">
        <v>3317</v>
      </c>
      <c r="K69" s="216" t="s">
        <v>3318</v>
      </c>
      <c r="AV69" s="216"/>
      <c r="HN69" s="215" t="s">
        <v>3319</v>
      </c>
      <c r="HO69" s="217">
        <v>4320</v>
      </c>
      <c r="HP69" s="217">
        <v>79</v>
      </c>
      <c r="HQ69" s="217"/>
      <c r="HR69" s="232"/>
      <c r="HS69" s="147"/>
      <c r="HT69" s="229">
        <v>4971</v>
      </c>
      <c r="HU69" s="215">
        <v>90</v>
      </c>
      <c r="HW69" s="232"/>
      <c r="HY69" s="215">
        <v>99</v>
      </c>
      <c r="IB69" s="220"/>
      <c r="ID69" s="247" t="s">
        <v>3320</v>
      </c>
      <c r="IE69" s="218">
        <v>-938279</v>
      </c>
      <c r="IG69" s="216" t="s">
        <v>3321</v>
      </c>
      <c r="IH69" s="216" t="s">
        <v>3322</v>
      </c>
      <c r="II69" s="218">
        <v>0</v>
      </c>
      <c r="IL69" s="216" t="s">
        <v>3323</v>
      </c>
      <c r="IM69" s="216" t="s">
        <v>3324</v>
      </c>
      <c r="IN69" s="218">
        <v>41234894</v>
      </c>
      <c r="IQ69" s="216" t="s">
        <v>3325</v>
      </c>
      <c r="IR69" s="216" t="s">
        <v>3326</v>
      </c>
      <c r="IS69" s="218">
        <v>126660324.16999997</v>
      </c>
    </row>
    <row r="70" spans="1:255">
      <c r="C70" s="224" t="s">
        <v>39</v>
      </c>
      <c r="D70" s="224" t="s">
        <v>2669</v>
      </c>
      <c r="E70" s="224" t="s">
        <v>39</v>
      </c>
      <c r="F70" s="224" t="s">
        <v>40</v>
      </c>
      <c r="G70" s="224" t="s">
        <v>41</v>
      </c>
      <c r="H70" s="224" t="s">
        <v>2672</v>
      </c>
      <c r="I70" s="224" t="s">
        <v>42</v>
      </c>
      <c r="J70" s="216" t="s">
        <v>3327</v>
      </c>
      <c r="K70" s="216" t="s">
        <v>3328</v>
      </c>
      <c r="AV70" s="216"/>
      <c r="HN70" s="215" t="s">
        <v>3329</v>
      </c>
      <c r="HO70" s="217">
        <v>10732</v>
      </c>
      <c r="HP70" s="217">
        <v>0</v>
      </c>
      <c r="HQ70" s="217"/>
      <c r="HR70" s="232"/>
      <c r="HS70" s="147"/>
      <c r="HT70" s="229">
        <v>11372</v>
      </c>
      <c r="HU70" s="215">
        <v>0</v>
      </c>
      <c r="HW70" s="232"/>
      <c r="HY70" s="215">
        <v>0</v>
      </c>
      <c r="IB70" s="220"/>
      <c r="IC70" s="216" t="s">
        <v>3330</v>
      </c>
      <c r="ID70" s="221" t="s">
        <v>3331</v>
      </c>
      <c r="IE70" s="218">
        <v>2741717</v>
      </c>
      <c r="IG70" s="216" t="s">
        <v>3332</v>
      </c>
      <c r="IH70" s="216" t="s">
        <v>3333</v>
      </c>
      <c r="II70" s="218">
        <v>0</v>
      </c>
      <c r="IL70" s="216" t="s">
        <v>3334</v>
      </c>
      <c r="IM70" s="216" t="s">
        <v>3335</v>
      </c>
      <c r="IN70" s="218">
        <v>9929792</v>
      </c>
      <c r="IQ70" s="242" t="s">
        <v>3336</v>
      </c>
      <c r="IR70" s="242" t="s">
        <v>3337</v>
      </c>
      <c r="IS70" s="84">
        <v>0</v>
      </c>
    </row>
    <row r="71" spans="1:255">
      <c r="C71" s="216" t="s">
        <v>708</v>
      </c>
      <c r="D71" s="216" t="s">
        <v>708</v>
      </c>
      <c r="E71" s="216" t="s">
        <v>708</v>
      </c>
      <c r="F71" s="216" t="s">
        <v>708</v>
      </c>
      <c r="G71" s="216" t="s">
        <v>708</v>
      </c>
      <c r="H71" s="216" t="s">
        <v>708</v>
      </c>
      <c r="I71" s="216" t="s">
        <v>708</v>
      </c>
      <c r="J71" s="216" t="s">
        <v>708</v>
      </c>
      <c r="K71" s="216" t="s">
        <v>708</v>
      </c>
      <c r="AV71" s="216"/>
      <c r="HN71" s="215" t="s">
        <v>3300</v>
      </c>
      <c r="HO71" s="217">
        <v>292</v>
      </c>
      <c r="HP71" s="217">
        <v>9</v>
      </c>
      <c r="HQ71" s="217"/>
      <c r="HR71" s="232"/>
      <c r="HS71" s="147"/>
      <c r="HT71" s="229">
        <v>333</v>
      </c>
      <c r="HU71" s="215">
        <v>9</v>
      </c>
      <c r="HW71" s="232"/>
      <c r="HY71" s="215">
        <v>0</v>
      </c>
      <c r="IB71" s="220"/>
      <c r="IC71" s="216" t="s">
        <v>3338</v>
      </c>
      <c r="ID71" s="221" t="s">
        <v>3339</v>
      </c>
      <c r="IE71" s="218">
        <v>14937791</v>
      </c>
      <c r="IG71" s="216" t="s">
        <v>3340</v>
      </c>
      <c r="IH71" s="216" t="s">
        <v>3341</v>
      </c>
      <c r="II71" s="218">
        <v>18439787.004658666</v>
      </c>
      <c r="IL71" s="216" t="s">
        <v>3342</v>
      </c>
      <c r="IM71" s="216" t="s">
        <v>3343</v>
      </c>
      <c r="IN71" s="218">
        <v>45996976.670000002</v>
      </c>
      <c r="IQ71" s="216" t="s">
        <v>3344</v>
      </c>
      <c r="IR71" s="216" t="s">
        <v>3345</v>
      </c>
      <c r="IS71" s="218">
        <v>0</v>
      </c>
    </row>
    <row r="72" spans="1:255">
      <c r="A72" s="216" t="s">
        <v>2676</v>
      </c>
      <c r="C72" s="218">
        <v>3573416714</v>
      </c>
      <c r="D72" s="218">
        <v>1248570984</v>
      </c>
      <c r="E72" s="218">
        <v>2324845730</v>
      </c>
      <c r="F72" s="218">
        <v>5664735</v>
      </c>
      <c r="G72" s="218">
        <v>206437666</v>
      </c>
      <c r="H72" s="218">
        <v>0</v>
      </c>
      <c r="I72" s="218">
        <v>2536948131</v>
      </c>
      <c r="J72" s="218">
        <v>233139273</v>
      </c>
      <c r="K72" s="218">
        <v>2770087404</v>
      </c>
      <c r="AV72" s="216"/>
      <c r="HO72" s="215">
        <v>31066</v>
      </c>
      <c r="HP72" s="215">
        <v>505</v>
      </c>
      <c r="HQ72" s="217">
        <v>31571</v>
      </c>
      <c r="HR72" s="232">
        <v>0.98400430775078396</v>
      </c>
      <c r="HS72" s="147"/>
      <c r="HT72" s="229">
        <v>25597</v>
      </c>
      <c r="HU72" s="215">
        <v>635</v>
      </c>
      <c r="HV72" s="215">
        <v>26232</v>
      </c>
      <c r="HW72" s="232">
        <v>0.97579292467215617</v>
      </c>
      <c r="HX72" s="232">
        <v>2.6389043536354528E-2</v>
      </c>
      <c r="HY72" s="215">
        <v>711</v>
      </c>
      <c r="IB72" s="220"/>
      <c r="IC72" s="216" t="s">
        <v>3346</v>
      </c>
      <c r="ID72" s="221" t="s">
        <v>3347</v>
      </c>
      <c r="IE72" s="218">
        <v>0</v>
      </c>
      <c r="IG72" s="216" t="s">
        <v>3348</v>
      </c>
      <c r="IH72" s="216" t="s">
        <v>3349</v>
      </c>
      <c r="II72" s="218">
        <v>5926529</v>
      </c>
      <c r="IL72" s="216" t="s">
        <v>3350</v>
      </c>
      <c r="IM72" s="216" t="s">
        <v>3351</v>
      </c>
      <c r="IN72" s="218">
        <v>7445696.7200000007</v>
      </c>
      <c r="IQ72" s="216" t="s">
        <v>3352</v>
      </c>
      <c r="IR72" s="216" t="s">
        <v>3353</v>
      </c>
      <c r="IS72" s="218">
        <v>-10770091.049999999</v>
      </c>
    </row>
    <row r="73" spans="1:255">
      <c r="A73" s="216" t="s">
        <v>3354</v>
      </c>
      <c r="AV73" s="216"/>
      <c r="IB73" s="220"/>
      <c r="IC73" s="216" t="s">
        <v>3355</v>
      </c>
      <c r="ID73" s="221" t="s">
        <v>3356</v>
      </c>
      <c r="IE73" s="218">
        <v>-1111518</v>
      </c>
      <c r="IG73" s="216" t="s">
        <v>3357</v>
      </c>
      <c r="IH73" s="216" t="s">
        <v>3358</v>
      </c>
      <c r="II73" s="218">
        <v>0</v>
      </c>
      <c r="IQ73" s="216" t="s">
        <v>3359</v>
      </c>
      <c r="IR73" s="216" t="s">
        <v>3360</v>
      </c>
      <c r="IS73" s="218">
        <v>3958173.16</v>
      </c>
    </row>
    <row r="74" spans="1:255">
      <c r="A74" s="216" t="s">
        <v>116</v>
      </c>
      <c r="C74" s="218">
        <v>-264605092.82494095</v>
      </c>
      <c r="D74" s="218">
        <v>-103459628.46230771</v>
      </c>
      <c r="E74" s="218">
        <v>-161145464.36263323</v>
      </c>
      <c r="G74" s="215">
        <v>-81625087</v>
      </c>
      <c r="I74" s="218">
        <v>-242770551.36263323</v>
      </c>
      <c r="J74" s="84">
        <v>-8107877.2191046532</v>
      </c>
      <c r="K74" s="218">
        <v>-250878428.58173788</v>
      </c>
      <c r="AV74" s="216"/>
      <c r="IB74" s="220"/>
      <c r="IC74" s="216" t="s">
        <v>3361</v>
      </c>
      <c r="ID74" s="221" t="s">
        <v>3362</v>
      </c>
      <c r="IE74" s="218">
        <v>14769612</v>
      </c>
      <c r="IG74" s="216" t="s">
        <v>3363</v>
      </c>
      <c r="IH74" s="216" t="s">
        <v>3364</v>
      </c>
      <c r="II74" s="218">
        <v>0</v>
      </c>
      <c r="IQ74" s="216" t="s">
        <v>3365</v>
      </c>
      <c r="IR74" s="216" t="s">
        <v>3366</v>
      </c>
      <c r="IS74" s="218">
        <v>0</v>
      </c>
    </row>
    <row r="75" spans="1:255">
      <c r="A75" s="216" t="s">
        <v>2603</v>
      </c>
      <c r="C75" s="218">
        <v>-856518610.87124264</v>
      </c>
      <c r="D75" s="218">
        <v>-46304320.534307264</v>
      </c>
      <c r="E75" s="218">
        <v>-810214290.3369354</v>
      </c>
      <c r="G75" s="218">
        <v>-1580149.4446153848</v>
      </c>
      <c r="I75" s="218">
        <v>-811794439.78155077</v>
      </c>
      <c r="J75" s="218">
        <v>-14179424.535615385</v>
      </c>
      <c r="K75" s="86">
        <v>-825973864.31716609</v>
      </c>
      <c r="AV75" s="216"/>
      <c r="IB75" s="220"/>
      <c r="IC75" s="216" t="s">
        <v>3367</v>
      </c>
      <c r="ID75" s="221" t="s">
        <v>3368</v>
      </c>
      <c r="IE75" s="218">
        <v>-15841259</v>
      </c>
      <c r="IG75" s="216" t="s">
        <v>3369</v>
      </c>
      <c r="IH75" s="216" t="s">
        <v>3370</v>
      </c>
      <c r="II75" s="218">
        <v>268663560.84766263</v>
      </c>
      <c r="IQ75" s="216" t="s">
        <v>3371</v>
      </c>
      <c r="IR75" s="216" t="s">
        <v>3372</v>
      </c>
      <c r="IS75" s="218">
        <v>0</v>
      </c>
    </row>
    <row r="76" spans="1:255">
      <c r="A76" s="216" t="s">
        <v>3373</v>
      </c>
      <c r="C76" s="218">
        <v>0</v>
      </c>
      <c r="D76" s="218">
        <v>0</v>
      </c>
      <c r="E76" s="218">
        <v>0</v>
      </c>
      <c r="I76" s="218">
        <v>0</v>
      </c>
      <c r="K76" s="218">
        <v>0</v>
      </c>
      <c r="AV76" s="216"/>
      <c r="IB76" s="220"/>
      <c r="IC76" s="216" t="s">
        <v>3374</v>
      </c>
      <c r="ID76" s="221" t="s">
        <v>3375</v>
      </c>
      <c r="IE76" s="218">
        <v>0</v>
      </c>
      <c r="IG76" s="216" t="s">
        <v>3376</v>
      </c>
      <c r="IH76" s="216" t="s">
        <v>3377</v>
      </c>
      <c r="II76" s="218">
        <v>5488683</v>
      </c>
      <c r="IQ76" s="216" t="s">
        <v>3378</v>
      </c>
      <c r="IR76" s="216" t="s">
        <v>3379</v>
      </c>
      <c r="IS76" s="218">
        <v>-6480124</v>
      </c>
    </row>
    <row r="77" spans="1:255">
      <c r="A77" s="236" t="s">
        <v>3380</v>
      </c>
      <c r="G77" s="248">
        <v>-71633783</v>
      </c>
      <c r="I77" s="218">
        <v>-71633783</v>
      </c>
      <c r="K77" s="218">
        <v>-71633783</v>
      </c>
      <c r="M77" s="236" t="s">
        <v>3381</v>
      </c>
      <c r="AV77" s="216"/>
      <c r="IB77" s="220"/>
      <c r="IC77" s="216" t="s">
        <v>3382</v>
      </c>
      <c r="ID77" s="221" t="s">
        <v>3383</v>
      </c>
      <c r="IE77" s="218">
        <v>0</v>
      </c>
      <c r="IG77" s="216" t="s">
        <v>3384</v>
      </c>
      <c r="IH77" s="216" t="s">
        <v>3385</v>
      </c>
      <c r="II77" s="218">
        <v>11428289.352376439</v>
      </c>
      <c r="IQ77" s="216" t="s">
        <v>3386</v>
      </c>
      <c r="IR77" s="216" t="s">
        <v>3387</v>
      </c>
      <c r="IS77" s="218">
        <v>4.57767969E-2</v>
      </c>
      <c r="IU77" s="216" t="s">
        <v>3387</v>
      </c>
    </row>
    <row r="78" spans="1:255">
      <c r="A78" s="216" t="s">
        <v>47</v>
      </c>
      <c r="C78" s="218">
        <v>-10348760.044615384</v>
      </c>
      <c r="D78" s="218">
        <v>831113.16811161535</v>
      </c>
      <c r="E78" s="218">
        <v>-11179873.212726999</v>
      </c>
      <c r="G78" s="218">
        <v>-10069.361538461566</v>
      </c>
      <c r="I78" s="218">
        <v>-11189942.574265461</v>
      </c>
      <c r="J78" s="218">
        <v>-2036919.4476923076</v>
      </c>
      <c r="K78" s="218">
        <v>-13226862.02195777</v>
      </c>
      <c r="AV78" s="216"/>
      <c r="IB78" s="220"/>
      <c r="IC78" s="215" t="s">
        <v>3388</v>
      </c>
      <c r="ID78" s="247" t="s">
        <v>3389</v>
      </c>
      <c r="IE78" s="218">
        <v>0</v>
      </c>
      <c r="IG78" s="216" t="s">
        <v>3390</v>
      </c>
      <c r="IH78" s="216" t="s">
        <v>3391</v>
      </c>
      <c r="II78" s="218">
        <v>9831219.0990493447</v>
      </c>
      <c r="IQ78" s="216" t="s">
        <v>3392</v>
      </c>
      <c r="IR78" s="216" t="s">
        <v>3393</v>
      </c>
      <c r="IS78" s="218">
        <v>6.3291889399999995E-2</v>
      </c>
      <c r="IU78" s="216" t="s">
        <v>3393</v>
      </c>
    </row>
    <row r="79" spans="1:255">
      <c r="A79" s="216" t="s">
        <v>2148</v>
      </c>
      <c r="C79" s="218">
        <v>-4584344</v>
      </c>
      <c r="D79" s="218">
        <v>10185617</v>
      </c>
      <c r="E79" s="218">
        <v>-14769961</v>
      </c>
      <c r="I79" s="218">
        <v>-14769961</v>
      </c>
      <c r="K79" s="218">
        <v>-14769961</v>
      </c>
      <c r="AV79" s="216"/>
      <c r="IB79" s="220"/>
      <c r="IC79" s="215" t="s">
        <v>3248</v>
      </c>
      <c r="ID79" s="247">
        <v>0</v>
      </c>
      <c r="IE79" s="218">
        <v>0</v>
      </c>
      <c r="IG79" s="216" t="s">
        <v>3394</v>
      </c>
      <c r="IH79" s="216" t="s">
        <v>3395</v>
      </c>
      <c r="II79" s="218">
        <v>0</v>
      </c>
      <c r="IQ79" s="216" t="s">
        <v>3396</v>
      </c>
      <c r="IR79" s="216" t="s">
        <v>3397</v>
      </c>
      <c r="IS79" s="218">
        <v>1195182225.8299999</v>
      </c>
    </row>
    <row r="80" spans="1:255">
      <c r="A80" s="216" t="s">
        <v>3398</v>
      </c>
      <c r="C80" s="218">
        <v>0</v>
      </c>
      <c r="D80" s="218">
        <v>0</v>
      </c>
      <c r="E80" s="218">
        <v>0</v>
      </c>
      <c r="I80" s="218">
        <v>0</v>
      </c>
      <c r="K80" s="218">
        <v>0</v>
      </c>
      <c r="AV80" s="216"/>
      <c r="IB80" s="220"/>
      <c r="IC80" s="215" t="s">
        <v>3399</v>
      </c>
      <c r="ID80" s="247" t="s">
        <v>3400</v>
      </c>
      <c r="IE80" s="218">
        <v>11619</v>
      </c>
      <c r="IG80" s="216" t="s">
        <v>3401</v>
      </c>
      <c r="IH80" s="216" t="s">
        <v>3402</v>
      </c>
      <c r="II80" s="218">
        <v>0</v>
      </c>
      <c r="IQ80" s="216" t="s">
        <v>3403</v>
      </c>
      <c r="IR80" s="216" t="s">
        <v>3404</v>
      </c>
      <c r="IS80" s="218">
        <v>5664735.4399999995</v>
      </c>
    </row>
    <row r="81" spans="1:255">
      <c r="A81" s="216" t="s">
        <v>3405</v>
      </c>
      <c r="D81" s="218">
        <v>0</v>
      </c>
      <c r="E81" s="218">
        <v>0</v>
      </c>
      <c r="I81" s="218">
        <v>0</v>
      </c>
      <c r="K81" s="218">
        <v>0</v>
      </c>
      <c r="AV81" s="216"/>
      <c r="IB81" s="220"/>
      <c r="IC81" s="215" t="s">
        <v>3406</v>
      </c>
      <c r="ID81" s="247" t="s">
        <v>3407</v>
      </c>
      <c r="IE81" s="218">
        <v>7098</v>
      </c>
      <c r="IG81" s="216" t="s">
        <v>3408</v>
      </c>
      <c r="IH81" s="216" t="s">
        <v>3409</v>
      </c>
      <c r="II81" s="218">
        <v>1448854</v>
      </c>
      <c r="IQ81" s="216" t="s">
        <v>3410</v>
      </c>
      <c r="IR81" s="216" t="s">
        <v>3411</v>
      </c>
      <c r="IS81" s="218">
        <v>3733242422.1299996</v>
      </c>
    </row>
    <row r="82" spans="1:255">
      <c r="A82" s="216" t="s">
        <v>3412</v>
      </c>
      <c r="C82" s="218">
        <v>0</v>
      </c>
      <c r="D82" s="218">
        <v>0</v>
      </c>
      <c r="E82" s="218">
        <v>0</v>
      </c>
      <c r="I82" s="218">
        <v>0</v>
      </c>
      <c r="K82" s="218">
        <v>0</v>
      </c>
      <c r="AV82" s="216"/>
      <c r="IB82" s="220"/>
      <c r="IC82" s="215" t="s">
        <v>3406</v>
      </c>
      <c r="ID82" s="247" t="s">
        <v>3413</v>
      </c>
      <c r="IE82" s="218">
        <v>0</v>
      </c>
      <c r="IG82" s="216" t="s">
        <v>3408</v>
      </c>
      <c r="IH82" s="216" t="s">
        <v>3409</v>
      </c>
      <c r="II82" s="218">
        <v>1448854</v>
      </c>
      <c r="IQ82" s="216" t="s">
        <v>3414</v>
      </c>
      <c r="IR82" s="216" t="s">
        <v>3415</v>
      </c>
      <c r="IS82" s="218">
        <v>97998345.260000005</v>
      </c>
    </row>
    <row r="83" spans="1:255">
      <c r="A83" s="216" t="s">
        <v>779</v>
      </c>
      <c r="F83" s="218">
        <v>0</v>
      </c>
      <c r="I83" s="218">
        <v>0</v>
      </c>
      <c r="K83" s="218">
        <v>0</v>
      </c>
      <c r="AV83" s="216"/>
      <c r="IB83" s="220"/>
      <c r="IC83" s="234" t="s">
        <v>3406</v>
      </c>
      <c r="ID83" s="247" t="s">
        <v>3416</v>
      </c>
      <c r="IE83" s="218">
        <v>0</v>
      </c>
      <c r="IG83" s="216" t="s">
        <v>3417</v>
      </c>
      <c r="IH83" s="216" t="s">
        <v>3418</v>
      </c>
      <c r="II83" s="218">
        <v>0</v>
      </c>
      <c r="IQ83" s="216" t="s">
        <v>3419</v>
      </c>
      <c r="IR83" s="216" t="s">
        <v>3420</v>
      </c>
      <c r="IS83" s="218">
        <v>86563058.700000003</v>
      </c>
    </row>
    <row r="84" spans="1:255">
      <c r="A84" s="216" t="s">
        <v>780</v>
      </c>
      <c r="C84" s="218">
        <v>0</v>
      </c>
      <c r="D84" s="218">
        <v>0</v>
      </c>
      <c r="E84" s="218">
        <v>0</v>
      </c>
      <c r="I84" s="218">
        <v>0</v>
      </c>
      <c r="K84" s="218">
        <v>0</v>
      </c>
      <c r="AV84" s="216"/>
      <c r="IE84" s="218"/>
      <c r="IG84" s="216" t="s">
        <v>3421</v>
      </c>
      <c r="IH84" s="216" t="s">
        <v>3422</v>
      </c>
      <c r="II84" s="218">
        <v>0</v>
      </c>
      <c r="IQ84" s="216" t="s">
        <v>3423</v>
      </c>
      <c r="IR84" s="216" t="s">
        <v>3424</v>
      </c>
      <c r="IS84" s="218">
        <v>3380216.45</v>
      </c>
    </row>
    <row r="85" spans="1:255">
      <c r="A85" s="216" t="s">
        <v>3425</v>
      </c>
      <c r="C85" s="218">
        <v>0</v>
      </c>
      <c r="D85" s="218">
        <v>0</v>
      </c>
      <c r="E85" s="218">
        <v>0</v>
      </c>
      <c r="I85" s="218">
        <v>0</v>
      </c>
      <c r="K85" s="218">
        <v>0</v>
      </c>
      <c r="AV85" s="216"/>
      <c r="IC85" s="216" t="s">
        <v>3426</v>
      </c>
      <c r="IE85" s="218"/>
      <c r="IG85" s="216" t="s">
        <v>3427</v>
      </c>
      <c r="IH85" s="216" t="s">
        <v>3428</v>
      </c>
      <c r="II85" s="218">
        <v>1227737615</v>
      </c>
      <c r="IQ85" s="216" t="s">
        <v>3429</v>
      </c>
      <c r="IR85" s="216" t="s">
        <v>3430</v>
      </c>
      <c r="IS85" s="218">
        <v>6.3291885199999995E-2</v>
      </c>
      <c r="IU85" s="216" t="s">
        <v>3430</v>
      </c>
    </row>
    <row r="86" spans="1:255">
      <c r="A86" s="216" t="s">
        <v>3431</v>
      </c>
      <c r="J86" s="218">
        <v>-725252</v>
      </c>
      <c r="K86" s="218">
        <v>-725252</v>
      </c>
      <c r="AV86" s="216"/>
      <c r="IC86" s="216" t="s">
        <v>3432</v>
      </c>
      <c r="IG86" s="216" t="s">
        <v>3433</v>
      </c>
      <c r="IH86" s="216" t="s">
        <v>883</v>
      </c>
      <c r="II86" s="218">
        <v>5797177.4799999995</v>
      </c>
      <c r="IQ86" s="216" t="s">
        <v>3434</v>
      </c>
      <c r="IR86" s="216" t="s">
        <v>3435</v>
      </c>
      <c r="IS86" s="218">
        <v>11428289.352376439</v>
      </c>
    </row>
    <row r="87" spans="1:255">
      <c r="A87" s="216" t="s">
        <v>3436</v>
      </c>
      <c r="J87" s="218">
        <v>15844173</v>
      </c>
      <c r="K87" s="218">
        <v>15844173</v>
      </c>
      <c r="AV87" s="216"/>
      <c r="IC87" s="216" t="s">
        <v>3437</v>
      </c>
      <c r="IG87" s="216" t="s">
        <v>3438</v>
      </c>
      <c r="IH87" s="216" t="s">
        <v>3439</v>
      </c>
      <c r="II87" s="218">
        <v>2300162.79</v>
      </c>
      <c r="IQ87" s="216" t="s">
        <v>3440</v>
      </c>
      <c r="IR87" s="216" t="s">
        <v>3441</v>
      </c>
      <c r="IS87" s="218">
        <v>-109097627.02195776</v>
      </c>
      <c r="IU87" s="216" t="s">
        <v>3442</v>
      </c>
    </row>
    <row r="88" spans="1:255">
      <c r="A88" s="216" t="s">
        <v>3443</v>
      </c>
      <c r="J88" s="218">
        <v>-21591731</v>
      </c>
      <c r="K88" s="218">
        <v>-21591731</v>
      </c>
      <c r="AV88" s="216"/>
      <c r="IC88" s="216" t="s">
        <v>3444</v>
      </c>
      <c r="IG88" s="216" t="s">
        <v>3445</v>
      </c>
      <c r="IH88" s="216" t="s">
        <v>3446</v>
      </c>
      <c r="II88" s="218">
        <v>2281115.0734389164</v>
      </c>
      <c r="IQ88" s="216" t="s">
        <v>895</v>
      </c>
      <c r="IR88" s="216" t="s">
        <v>3447</v>
      </c>
      <c r="IS88" s="218">
        <v>-8530473.1799999997</v>
      </c>
      <c r="IU88" s="216" t="s">
        <v>3447</v>
      </c>
    </row>
    <row r="89" spans="1:255">
      <c r="A89" s="216" t="s">
        <v>3448</v>
      </c>
      <c r="J89" s="218">
        <v>-185996296</v>
      </c>
      <c r="K89" s="218">
        <v>-185996296</v>
      </c>
      <c r="IG89" s="216" t="s">
        <v>3449</v>
      </c>
      <c r="IH89" s="216" t="s">
        <v>3450</v>
      </c>
      <c r="II89" s="218">
        <v>-1103695</v>
      </c>
      <c r="IJ89" s="218"/>
      <c r="IQ89" s="216" t="s">
        <v>3451</v>
      </c>
      <c r="IR89" s="216" t="s">
        <v>3452</v>
      </c>
      <c r="IS89" s="218">
        <v>0</v>
      </c>
      <c r="IU89" s="216" t="s">
        <v>3452</v>
      </c>
    </row>
    <row r="90" spans="1:255">
      <c r="A90" s="216" t="s">
        <v>3453</v>
      </c>
      <c r="J90" s="218">
        <v>67153891</v>
      </c>
      <c r="K90" s="218">
        <v>67153891</v>
      </c>
      <c r="IC90" s="216" t="s">
        <v>3454</v>
      </c>
      <c r="IG90" s="216" t="s">
        <v>3455</v>
      </c>
      <c r="IH90" s="216" t="s">
        <v>628</v>
      </c>
      <c r="II90" s="218">
        <v>0</v>
      </c>
      <c r="IQ90" s="216" t="s">
        <v>3456</v>
      </c>
      <c r="IR90" s="216" t="s">
        <v>3457</v>
      </c>
      <c r="IS90" s="218">
        <v>0</v>
      </c>
      <c r="IU90" s="216" t="s">
        <v>3457</v>
      </c>
    </row>
    <row r="91" spans="1:255">
      <c r="A91" s="216" t="s">
        <v>3458</v>
      </c>
      <c r="J91" s="218">
        <v>115848194</v>
      </c>
      <c r="K91" s="218">
        <v>115848194</v>
      </c>
      <c r="AU91" s="216"/>
      <c r="IG91" s="216" t="s">
        <v>3459</v>
      </c>
      <c r="IH91" s="216" t="s">
        <v>689</v>
      </c>
      <c r="II91" s="218">
        <v>0</v>
      </c>
      <c r="IQ91" s="216" t="s">
        <v>3460</v>
      </c>
      <c r="IR91" s="216" t="s">
        <v>3461</v>
      </c>
      <c r="IS91" s="218">
        <v>0</v>
      </c>
      <c r="IU91" s="216" t="s">
        <v>3461</v>
      </c>
    </row>
    <row r="92" spans="1:255">
      <c r="A92" s="216" t="s">
        <v>3462</v>
      </c>
      <c r="J92" s="218">
        <v>0</v>
      </c>
      <c r="K92" s="218">
        <v>0</v>
      </c>
      <c r="AU92" s="216"/>
      <c r="IG92" s="216" t="s">
        <v>3463</v>
      </c>
      <c r="IH92" s="216" t="s">
        <v>698</v>
      </c>
      <c r="II92" s="218">
        <v>0</v>
      </c>
      <c r="IQ92" s="216" t="s">
        <v>3464</v>
      </c>
      <c r="IR92" s="216" t="s">
        <v>3465</v>
      </c>
      <c r="IS92" s="218">
        <v>0</v>
      </c>
      <c r="IU92" s="216" t="s">
        <v>3465</v>
      </c>
    </row>
    <row r="93" spans="1:255">
      <c r="A93" s="216" t="s">
        <v>3466</v>
      </c>
      <c r="J93" s="218">
        <v>0</v>
      </c>
      <c r="K93" s="218">
        <v>0</v>
      </c>
      <c r="AU93" s="216"/>
      <c r="IG93" s="216" t="s">
        <v>3467</v>
      </c>
      <c r="IH93" s="216" t="s">
        <v>678</v>
      </c>
      <c r="II93" s="218">
        <v>0</v>
      </c>
      <c r="IQ93" s="216" t="s">
        <v>3468</v>
      </c>
      <c r="IR93" s="249" t="s">
        <v>3469</v>
      </c>
      <c r="IS93" s="218">
        <v>434014545.26000005</v>
      </c>
      <c r="IU93" s="216" t="s">
        <v>3469</v>
      </c>
    </row>
    <row r="94" spans="1:255">
      <c r="A94" s="216" t="s">
        <v>3470</v>
      </c>
      <c r="J94" s="218">
        <v>0</v>
      </c>
      <c r="K94" s="218">
        <v>0</v>
      </c>
      <c r="L94" s="215">
        <v>-935071491.33912373</v>
      </c>
      <c r="AU94" s="216"/>
      <c r="IG94" s="216" t="s">
        <v>3471</v>
      </c>
      <c r="IH94" s="216" t="s">
        <v>3472</v>
      </c>
      <c r="II94" s="218">
        <v>0</v>
      </c>
      <c r="IQ94" s="216" t="s">
        <v>3473</v>
      </c>
      <c r="IR94" s="249" t="s">
        <v>3474</v>
      </c>
      <c r="IS94" s="218">
        <v>26175334</v>
      </c>
      <c r="IU94" s="218">
        <v>26175334</v>
      </c>
    </row>
    <row r="95" spans="1:255">
      <c r="C95" s="216" t="s">
        <v>708</v>
      </c>
      <c r="D95" s="216" t="s">
        <v>708</v>
      </c>
      <c r="E95" s="216" t="s">
        <v>708</v>
      </c>
      <c r="F95" s="216" t="s">
        <v>708</v>
      </c>
      <c r="G95" s="216" t="s">
        <v>708</v>
      </c>
      <c r="H95" s="216" t="s">
        <v>708</v>
      </c>
      <c r="I95" s="216" t="s">
        <v>708</v>
      </c>
      <c r="J95" s="216" t="s">
        <v>708</v>
      </c>
      <c r="K95" s="216" t="s">
        <v>708</v>
      </c>
      <c r="AU95" s="216"/>
      <c r="IG95" s="216" t="s">
        <v>3475</v>
      </c>
      <c r="IH95" s="216" t="s">
        <v>3476</v>
      </c>
      <c r="II95" s="218">
        <v>0</v>
      </c>
      <c r="IQ95" s="216" t="s">
        <v>3477</v>
      </c>
      <c r="IR95" s="249" t="s">
        <v>3478</v>
      </c>
      <c r="IS95" s="218">
        <v>101576487</v>
      </c>
      <c r="IU95" s="216" t="s">
        <v>3478</v>
      </c>
    </row>
    <row r="96" spans="1:255">
      <c r="A96" s="216" t="s">
        <v>3479</v>
      </c>
      <c r="C96" s="218">
        <v>2437359906.259201</v>
      </c>
      <c r="D96" s="218">
        <v>1109823765.1714966</v>
      </c>
      <c r="E96" s="218">
        <v>1327536141.0877042</v>
      </c>
      <c r="F96" s="218">
        <v>5664735</v>
      </c>
      <c r="G96" s="218">
        <v>51588577.193846159</v>
      </c>
      <c r="H96" s="218">
        <v>0</v>
      </c>
      <c r="I96" s="218">
        <v>1384789453.2815504</v>
      </c>
      <c r="J96" s="86">
        <v>199348030.79758766</v>
      </c>
      <c r="K96" s="218">
        <v>1584137484.079138</v>
      </c>
      <c r="IG96" s="216" t="s">
        <v>3480</v>
      </c>
      <c r="IH96" s="216" t="s">
        <v>668</v>
      </c>
      <c r="II96" s="218">
        <v>0</v>
      </c>
      <c r="IQ96" s="216" t="s">
        <v>1558</v>
      </c>
      <c r="IR96" s="249" t="s">
        <v>3481</v>
      </c>
      <c r="IS96" s="218">
        <v>9503466</v>
      </c>
      <c r="IU96" s="216" t="s">
        <v>3481</v>
      </c>
    </row>
    <row r="97" spans="1:255">
      <c r="A97" s="216" t="s">
        <v>3482</v>
      </c>
      <c r="C97" s="250">
        <v>0.97593759999999996</v>
      </c>
      <c r="D97" s="250">
        <v>0.97475109999999998</v>
      </c>
      <c r="E97" s="250"/>
      <c r="F97" s="250">
        <v>0.96871050000000003</v>
      </c>
      <c r="G97" s="250">
        <v>0.96876720000000005</v>
      </c>
      <c r="H97" s="251"/>
      <c r="I97" s="251"/>
      <c r="J97" s="89"/>
      <c r="K97" s="251"/>
      <c r="IG97" s="216" t="s">
        <v>3483</v>
      </c>
      <c r="IH97" s="216" t="s">
        <v>3484</v>
      </c>
      <c r="II97" s="218">
        <v>16628.541232215564</v>
      </c>
      <c r="IQ97" s="216" t="s">
        <v>3485</v>
      </c>
      <c r="IR97" s="249" t="s">
        <v>3486</v>
      </c>
      <c r="IS97" s="218">
        <v>36773990</v>
      </c>
      <c r="IU97" s="216" t="s">
        <v>3486</v>
      </c>
    </row>
    <row r="98" spans="1:255">
      <c r="C98" s="216" t="s">
        <v>708</v>
      </c>
      <c r="D98" s="216" t="s">
        <v>708</v>
      </c>
      <c r="E98" s="216" t="s">
        <v>708</v>
      </c>
      <c r="F98" s="216" t="s">
        <v>708</v>
      </c>
      <c r="G98" s="216" t="s">
        <v>708</v>
      </c>
      <c r="H98" s="216" t="s">
        <v>708</v>
      </c>
      <c r="I98" s="216" t="s">
        <v>708</v>
      </c>
      <c r="J98" s="150" t="s">
        <v>708</v>
      </c>
      <c r="K98" s="216" t="s">
        <v>708</v>
      </c>
      <c r="IG98" s="216" t="s">
        <v>3487</v>
      </c>
      <c r="IH98" s="216" t="s">
        <v>3488</v>
      </c>
      <c r="II98" s="218">
        <v>325474.38117101946</v>
      </c>
      <c r="IQ98" s="216" t="s">
        <v>3489</v>
      </c>
      <c r="IR98" s="249" t="s">
        <v>3490</v>
      </c>
      <c r="IS98" s="218">
        <v>21351166</v>
      </c>
      <c r="IU98" s="216" t="s">
        <v>3490</v>
      </c>
    </row>
    <row r="99" spans="1:255">
      <c r="A99" s="216" t="s">
        <v>3491</v>
      </c>
      <c r="C99" s="218">
        <v>2378711177</v>
      </c>
      <c r="D99" s="218">
        <v>1081801936</v>
      </c>
      <c r="E99" s="218">
        <v>1296909241</v>
      </c>
      <c r="F99" s="218">
        <v>5487488</v>
      </c>
      <c r="G99" s="218">
        <v>49977321</v>
      </c>
      <c r="H99" s="218">
        <v>0</v>
      </c>
      <c r="I99" s="218">
        <v>1352374050</v>
      </c>
      <c r="J99" s="86">
        <v>191981614.20076457</v>
      </c>
      <c r="K99" s="218">
        <v>1544355664.2007647</v>
      </c>
      <c r="S99" s="218">
        <v>5797177.4799999995</v>
      </c>
      <c r="T99" s="218">
        <v>2300162.79</v>
      </c>
      <c r="U99" s="218">
        <v>2281115.0734389164</v>
      </c>
      <c r="V99" s="218">
        <v>-2575553.1414129599</v>
      </c>
      <c r="IG99" s="216" t="s">
        <v>3492</v>
      </c>
      <c r="IH99" s="216" t="s">
        <v>3493</v>
      </c>
      <c r="II99" s="218">
        <v>264605092.82494095</v>
      </c>
      <c r="IQ99" s="216" t="s">
        <v>3494</v>
      </c>
      <c r="IR99" s="249" t="s">
        <v>3495</v>
      </c>
      <c r="IS99" s="218">
        <v>0</v>
      </c>
      <c r="IU99" s="216" t="s">
        <v>3495</v>
      </c>
    </row>
    <row r="100" spans="1:255">
      <c r="C100" s="216" t="s">
        <v>708</v>
      </c>
      <c r="D100" s="216" t="s">
        <v>708</v>
      </c>
      <c r="E100" s="216" t="s">
        <v>708</v>
      </c>
      <c r="F100" s="216" t="s">
        <v>708</v>
      </c>
      <c r="G100" s="216" t="s">
        <v>708</v>
      </c>
      <c r="H100" s="216" t="s">
        <v>708</v>
      </c>
      <c r="I100" s="216" t="s">
        <v>708</v>
      </c>
      <c r="J100" s="150" t="s">
        <v>708</v>
      </c>
      <c r="K100" s="216" t="s">
        <v>708</v>
      </c>
      <c r="S100" s="218">
        <v>264605092.82494101</v>
      </c>
      <c r="IG100" s="216" t="s">
        <v>3496</v>
      </c>
      <c r="IH100" s="216" t="s">
        <v>3497</v>
      </c>
      <c r="II100" s="218">
        <v>361323729.6856367</v>
      </c>
      <c r="IQ100" s="216" t="s">
        <v>3498</v>
      </c>
      <c r="IR100" s="249" t="s">
        <v>3499</v>
      </c>
      <c r="IS100" s="218">
        <v>13882343</v>
      </c>
      <c r="IU100" s="216" t="s">
        <v>3499</v>
      </c>
    </row>
    <row r="101" spans="1:255">
      <c r="A101" s="216" t="s">
        <v>3500</v>
      </c>
      <c r="J101" s="86">
        <v>-33791242.202412337</v>
      </c>
      <c r="K101" s="86">
        <v>-1185949919.9208617</v>
      </c>
      <c r="L101" s="88" t="s">
        <v>3501</v>
      </c>
      <c r="S101" s="218">
        <v>505060483</v>
      </c>
      <c r="T101" s="218">
        <v>282498790</v>
      </c>
      <c r="U101" s="218">
        <v>16265385</v>
      </c>
      <c r="V101" s="218">
        <v>35060633</v>
      </c>
      <c r="W101" s="218">
        <v>0</v>
      </c>
      <c r="X101" s="218">
        <v>0</v>
      </c>
      <c r="Y101" s="218">
        <v>45742650</v>
      </c>
      <c r="Z101" s="218">
        <v>-271340888</v>
      </c>
      <c r="AA101" s="215">
        <v>7098</v>
      </c>
      <c r="IG101" s="216" t="s">
        <v>3502</v>
      </c>
      <c r="IH101" s="216" t="s">
        <v>3503</v>
      </c>
      <c r="II101" s="218">
        <v>-103459628.46230771</v>
      </c>
      <c r="IQ101" s="216" t="s">
        <v>3504</v>
      </c>
      <c r="IR101" s="249" t="s">
        <v>3505</v>
      </c>
      <c r="IS101" s="218">
        <v>756924</v>
      </c>
      <c r="IU101" s="216" t="s">
        <v>3505</v>
      </c>
    </row>
    <row r="102" spans="1:255">
      <c r="A102" s="216" t="s">
        <v>3506</v>
      </c>
      <c r="I102" s="215">
        <v>442665.01669231057</v>
      </c>
      <c r="J102" s="84">
        <v>198905365.78089535</v>
      </c>
      <c r="K102" s="93"/>
      <c r="L102" s="93"/>
      <c r="M102" s="93"/>
      <c r="S102" s="218">
        <v>5754077.5576923098</v>
      </c>
      <c r="T102" s="218">
        <v>2088659.4784615401</v>
      </c>
      <c r="U102" s="218">
        <v>1850652.1829508101</v>
      </c>
      <c r="V102" s="218">
        <v>-1585512</v>
      </c>
      <c r="IG102" s="216" t="s">
        <v>3507</v>
      </c>
      <c r="IH102" s="216" t="s">
        <v>3508</v>
      </c>
      <c r="II102" s="218">
        <v>-105282720.02</v>
      </c>
      <c r="IQ102" s="216" t="s">
        <v>3509</v>
      </c>
      <c r="IR102" s="249" t="s">
        <v>3510</v>
      </c>
      <c r="IS102" s="218">
        <v>65462737</v>
      </c>
      <c r="IU102" s="216" t="s">
        <v>3510</v>
      </c>
    </row>
    <row r="103" spans="1:255">
      <c r="A103" s="216" t="s">
        <v>3511</v>
      </c>
      <c r="J103" s="88"/>
      <c r="K103" s="88"/>
      <c r="L103" s="85"/>
      <c r="S103" s="218">
        <v>0</v>
      </c>
      <c r="T103" s="218">
        <v>0</v>
      </c>
      <c r="IG103" s="216" t="s">
        <v>3512</v>
      </c>
      <c r="IH103" s="216" t="s">
        <v>3513</v>
      </c>
      <c r="II103" s="218">
        <v>5754077.557692308</v>
      </c>
      <c r="IQ103" s="216" t="s">
        <v>1617</v>
      </c>
      <c r="IR103" s="249" t="s">
        <v>3514</v>
      </c>
      <c r="IS103" s="218">
        <v>77980748</v>
      </c>
      <c r="IU103" s="216" t="s">
        <v>3514</v>
      </c>
    </row>
    <row r="104" spans="1:255">
      <c r="A104" s="216" t="s">
        <v>3515</v>
      </c>
      <c r="J104" s="93"/>
      <c r="K104" s="93"/>
      <c r="L104" s="85"/>
      <c r="S104" s="218">
        <v>725252</v>
      </c>
      <c r="IG104" s="216" t="s">
        <v>3516</v>
      </c>
      <c r="IH104" s="216" t="s">
        <v>3517</v>
      </c>
      <c r="II104" s="218">
        <v>5797177.4799999995</v>
      </c>
      <c r="IQ104" s="216" t="s">
        <v>2669</v>
      </c>
      <c r="IR104" s="249" t="s">
        <v>3518</v>
      </c>
      <c r="IS104" s="218">
        <v>5135148</v>
      </c>
      <c r="IU104" s="216" t="s">
        <v>3518</v>
      </c>
    </row>
    <row r="105" spans="1:255">
      <c r="A105" s="216" t="s">
        <v>3519</v>
      </c>
      <c r="J105" s="162"/>
      <c r="K105" s="93"/>
      <c r="S105" s="218">
        <v>0</v>
      </c>
      <c r="IG105" s="216" t="s">
        <v>3520</v>
      </c>
      <c r="IH105" s="216" t="s">
        <v>3521</v>
      </c>
      <c r="II105" s="218">
        <v>2088659.4784615384</v>
      </c>
      <c r="IQ105" s="216" t="s">
        <v>3522</v>
      </c>
      <c r="IR105" s="249" t="s">
        <v>3523</v>
      </c>
      <c r="IS105" s="218">
        <v>-1133805</v>
      </c>
      <c r="IU105" s="216" t="s">
        <v>3523</v>
      </c>
    </row>
    <row r="106" spans="1:255">
      <c r="A106" s="216" t="s">
        <v>3524</v>
      </c>
      <c r="J106" s="162"/>
      <c r="K106" s="162"/>
      <c r="S106" s="218">
        <v>352824133</v>
      </c>
      <c r="T106" s="218">
        <v>-174208874.43132132</v>
      </c>
      <c r="U106" s="218">
        <v>352156727</v>
      </c>
      <c r="IG106" s="216" t="s">
        <v>3525</v>
      </c>
      <c r="IH106" s="216" t="s">
        <v>3526</v>
      </c>
      <c r="II106" s="218">
        <v>2300162.79</v>
      </c>
      <c r="IQ106" s="216" t="s">
        <v>3527</v>
      </c>
      <c r="IR106" s="249" t="s">
        <v>3528</v>
      </c>
      <c r="IS106" s="218">
        <v>25910860</v>
      </c>
      <c r="IU106" s="216" t="s">
        <v>3529</v>
      </c>
    </row>
    <row r="107" spans="1:255">
      <c r="A107" s="216" t="s">
        <v>3530</v>
      </c>
      <c r="J107" s="93">
        <v>-33791241.75472004</v>
      </c>
      <c r="K107" s="93">
        <v>-1185949919.4731696</v>
      </c>
      <c r="L107" s="215" t="s">
        <v>3531</v>
      </c>
      <c r="S107" s="218">
        <v>57877</v>
      </c>
      <c r="T107" s="218">
        <v>319850</v>
      </c>
      <c r="U107" s="218">
        <v>335213</v>
      </c>
      <c r="V107" s="218">
        <v>0</v>
      </c>
      <c r="IG107" s="216" t="s">
        <v>3532</v>
      </c>
      <c r="IH107" s="216" t="s">
        <v>3533</v>
      </c>
      <c r="II107" s="218">
        <v>1850652.182950807</v>
      </c>
      <c r="IQ107" s="216" t="s">
        <v>2663</v>
      </c>
      <c r="IR107" s="249" t="s">
        <v>3534</v>
      </c>
      <c r="IS107" s="218">
        <v>20894831</v>
      </c>
      <c r="IU107" s="216" t="s">
        <v>3534</v>
      </c>
    </row>
    <row r="108" spans="1:255">
      <c r="A108" s="216" t="s">
        <v>2560</v>
      </c>
      <c r="S108" s="218">
        <v>361323729.6856367</v>
      </c>
      <c r="T108" s="218">
        <v>-105282720.02</v>
      </c>
      <c r="IG108" s="216" t="s">
        <v>3535</v>
      </c>
      <c r="IH108" s="216" t="s">
        <v>846</v>
      </c>
      <c r="II108" s="218">
        <v>2281115.0734389164</v>
      </c>
      <c r="IQ108" s="216" t="s">
        <v>3536</v>
      </c>
      <c r="IR108" s="249" t="s">
        <v>3537</v>
      </c>
      <c r="IS108" s="218">
        <v>6085943</v>
      </c>
      <c r="IU108" s="216" t="s">
        <v>3537</v>
      </c>
    </row>
    <row r="109" spans="1:255">
      <c r="A109" s="216" t="s">
        <v>3538</v>
      </c>
      <c r="S109" s="218">
        <v>484654801.08000004</v>
      </c>
      <c r="T109" s="218">
        <v>118061590.60000001</v>
      </c>
      <c r="IG109" s="216" t="s">
        <v>3539</v>
      </c>
      <c r="IH109" s="216" t="s">
        <v>3540</v>
      </c>
      <c r="II109" s="218">
        <v>-1585512</v>
      </c>
      <c r="IQ109" s="216" t="s">
        <v>3541</v>
      </c>
      <c r="IR109" s="249" t="s">
        <v>3542</v>
      </c>
      <c r="IS109" s="218">
        <v>662318915.20076466</v>
      </c>
      <c r="IU109" s="216" t="s">
        <v>3542</v>
      </c>
    </row>
    <row r="110" spans="1:255">
      <c r="A110" s="216" t="s">
        <v>3543</v>
      </c>
      <c r="S110" s="218">
        <v>0</v>
      </c>
      <c r="T110" s="218">
        <v>0</v>
      </c>
      <c r="U110" s="215">
        <v>11619</v>
      </c>
      <c r="IG110" s="216" t="s">
        <v>3544</v>
      </c>
      <c r="IH110" s="216" t="s">
        <v>3545</v>
      </c>
      <c r="II110" s="218">
        <v>-2575553.1414129599</v>
      </c>
      <c r="IQ110" s="216" t="s">
        <v>2573</v>
      </c>
      <c r="IR110" s="249" t="s">
        <v>3546</v>
      </c>
      <c r="IS110" s="218">
        <v>16531399</v>
      </c>
      <c r="IU110" s="216" t="s">
        <v>3546</v>
      </c>
    </row>
    <row r="111" spans="1:255">
      <c r="A111" s="216" t="s">
        <v>2622</v>
      </c>
      <c r="II111" s="218"/>
      <c r="IQ111" s="216" t="s">
        <v>2574</v>
      </c>
      <c r="IR111" s="249" t="s">
        <v>3547</v>
      </c>
      <c r="IS111" s="218">
        <v>53369489</v>
      </c>
      <c r="IU111" s="216" t="s">
        <v>3547</v>
      </c>
    </row>
    <row r="112" spans="1:255">
      <c r="A112" s="216" t="s">
        <v>3548</v>
      </c>
      <c r="S112" s="218">
        <v>0</v>
      </c>
      <c r="T112" s="218">
        <v>0</v>
      </c>
      <c r="IQ112" s="216" t="s">
        <v>2575</v>
      </c>
      <c r="IR112" s="249" t="s">
        <v>3549</v>
      </c>
      <c r="IS112" s="218">
        <v>22179914</v>
      </c>
      <c r="IU112" s="216" t="s">
        <v>3549</v>
      </c>
    </row>
    <row r="113" spans="1:255">
      <c r="A113" s="216" t="s">
        <v>3550</v>
      </c>
      <c r="S113" s="218">
        <v>0</v>
      </c>
      <c r="IG113" s="216" t="s">
        <v>3551</v>
      </c>
      <c r="IH113" s="216" t="s">
        <v>3552</v>
      </c>
      <c r="II113" s="218">
        <v>-1585512</v>
      </c>
      <c r="IQ113" s="216" t="s">
        <v>3553</v>
      </c>
      <c r="IR113" s="249" t="s">
        <v>3554</v>
      </c>
      <c r="IS113" s="218">
        <v>0</v>
      </c>
      <c r="IU113" s="216" t="s">
        <v>3554</v>
      </c>
    </row>
    <row r="114" spans="1:255">
      <c r="S114" s="218">
        <v>0</v>
      </c>
      <c r="IQ114" s="216" t="s">
        <v>3555</v>
      </c>
      <c r="IR114" s="249" t="s">
        <v>3556</v>
      </c>
      <c r="IS114" s="218">
        <v>201584961</v>
      </c>
      <c r="IU114" s="216" t="s">
        <v>3556</v>
      </c>
    </row>
    <row r="115" spans="1:255">
      <c r="A115" s="216" t="s">
        <v>3557</v>
      </c>
      <c r="S115" s="218">
        <v>0</v>
      </c>
      <c r="IQ115" s="216" t="s">
        <v>2576</v>
      </c>
      <c r="IR115" s="249" t="s">
        <v>3558</v>
      </c>
      <c r="IS115" s="218">
        <v>602338018</v>
      </c>
      <c r="IU115" s="216" t="s">
        <v>3559</v>
      </c>
    </row>
    <row r="116" spans="1:255">
      <c r="A116" s="216" t="s">
        <v>3560</v>
      </c>
      <c r="S116" s="218">
        <v>119900987.04472964</v>
      </c>
      <c r="T116" s="218">
        <v>9831219.0990493447</v>
      </c>
      <c r="U116" s="218">
        <v>110358685.47705732</v>
      </c>
      <c r="V116" s="218">
        <v>1448854</v>
      </c>
      <c r="W116" s="218">
        <v>18439787.004658666</v>
      </c>
      <c r="IQ116" s="216" t="s">
        <v>3561</v>
      </c>
      <c r="IR116" s="249" t="s">
        <v>3562</v>
      </c>
      <c r="IS116" s="218">
        <v>4245758</v>
      </c>
      <c r="IU116" s="216" t="s">
        <v>3558</v>
      </c>
    </row>
    <row r="117" spans="1:255">
      <c r="A117" s="216" t="s">
        <v>3563</v>
      </c>
      <c r="S117" s="218">
        <v>603329320.74000001</v>
      </c>
      <c r="IQ117" s="216" t="s">
        <v>3564</v>
      </c>
      <c r="IR117" s="216" t="s">
        <v>3565</v>
      </c>
      <c r="IS117" s="218">
        <v>261726490</v>
      </c>
    </row>
    <row r="118" spans="1:255">
      <c r="A118" s="216" t="s">
        <v>3566</v>
      </c>
      <c r="S118" s="218">
        <v>40354804.57</v>
      </c>
      <c r="T118" s="218">
        <v>424484.53</v>
      </c>
      <c r="U118" s="218">
        <v>7684.47</v>
      </c>
      <c r="IQ118" s="216" t="s">
        <v>3567</v>
      </c>
      <c r="IR118" s="216" t="s">
        <v>3568</v>
      </c>
      <c r="IS118" s="218">
        <v>-103459628</v>
      </c>
    </row>
    <row r="119" spans="1:255">
      <c r="S119" s="218">
        <v>11426980.489999998</v>
      </c>
      <c r="T119" s="218">
        <v>-802250.23</v>
      </c>
      <c r="IQ119" s="216" t="s">
        <v>3569</v>
      </c>
      <c r="IR119" s="216" t="s">
        <v>3570</v>
      </c>
      <c r="IS119" s="218">
        <v>0</v>
      </c>
    </row>
    <row r="120" spans="1:255">
      <c r="S120" s="218">
        <v>236974.55</v>
      </c>
      <c r="IQ120" s="216" t="s">
        <v>3571</v>
      </c>
      <c r="IR120" s="216" t="s">
        <v>3572</v>
      </c>
      <c r="IS120" s="218">
        <v>0</v>
      </c>
    </row>
    <row r="121" spans="1:255">
      <c r="A121" s="216" t="s">
        <v>3573</v>
      </c>
      <c r="C121" s="216"/>
      <c r="D121" s="224" t="s">
        <v>2155</v>
      </c>
      <c r="K121" s="216" t="s">
        <v>58</v>
      </c>
      <c r="S121" s="218">
        <v>0</v>
      </c>
      <c r="IQ121" s="216" t="s">
        <v>3574</v>
      </c>
      <c r="IR121" s="216" t="s">
        <v>3575</v>
      </c>
      <c r="IS121" s="218">
        <v>0</v>
      </c>
    </row>
    <row r="122" spans="1:255">
      <c r="A122" s="216" t="s">
        <v>30</v>
      </c>
      <c r="D122" s="224" t="s">
        <v>69</v>
      </c>
      <c r="K122" s="216" t="s">
        <v>30</v>
      </c>
      <c r="S122" s="218">
        <v>653886230</v>
      </c>
      <c r="IG122" s="216" t="s">
        <v>3576</v>
      </c>
      <c r="IH122" s="216" t="s">
        <v>3577</v>
      </c>
      <c r="II122" s="218">
        <v>250878428.67019916</v>
      </c>
      <c r="IQ122" s="216" t="s">
        <v>3578</v>
      </c>
      <c r="IR122" s="216" t="s">
        <v>3579</v>
      </c>
      <c r="IS122" s="218">
        <v>0</v>
      </c>
    </row>
    <row r="123" spans="1:255">
      <c r="A123" s="216" t="s">
        <v>3580</v>
      </c>
      <c r="D123" s="224" t="s">
        <v>31</v>
      </c>
      <c r="S123" s="218">
        <v>20142</v>
      </c>
      <c r="T123" s="218">
        <v>1049.326</v>
      </c>
      <c r="U123" s="218">
        <v>39772382.774000004</v>
      </c>
      <c r="V123" s="218">
        <v>796761.73999999987</v>
      </c>
      <c r="W123" s="218">
        <v>-756923.65299999993</v>
      </c>
      <c r="X123" s="218">
        <v>119471.8</v>
      </c>
      <c r="IG123" s="216" t="s">
        <v>3581</v>
      </c>
      <c r="IH123" s="216" t="s">
        <v>3582</v>
      </c>
      <c r="II123" s="218">
        <v>268663560.84766263</v>
      </c>
      <c r="IQ123" s="216" t="s">
        <v>3583</v>
      </c>
      <c r="IR123" s="216" t="s">
        <v>3584</v>
      </c>
      <c r="IS123" s="218">
        <v>0</v>
      </c>
    </row>
    <row r="124" spans="1:255">
      <c r="A124" s="216" t="s">
        <v>3585</v>
      </c>
      <c r="F124" s="216" t="s">
        <v>1557</v>
      </c>
      <c r="S124" s="218">
        <v>424484.53</v>
      </c>
      <c r="T124" s="218">
        <v>7684.47</v>
      </c>
      <c r="IG124" s="216" t="s">
        <v>3586</v>
      </c>
      <c r="IH124" s="216" t="s">
        <v>3587</v>
      </c>
      <c r="II124" s="218">
        <v>261726489.90307695</v>
      </c>
      <c r="IQ124" s="216" t="s">
        <v>3588</v>
      </c>
      <c r="IR124" s="216" t="s">
        <v>3589</v>
      </c>
      <c r="IS124" s="218">
        <v>358173130.94</v>
      </c>
    </row>
    <row r="125" spans="1:255">
      <c r="A125" s="216" t="s">
        <v>3590</v>
      </c>
      <c r="S125" s="218">
        <v>9252.74</v>
      </c>
      <c r="IG125" s="216" t="s">
        <v>950</v>
      </c>
      <c r="IH125" s="216" t="s">
        <v>951</v>
      </c>
      <c r="II125" s="218">
        <v>358173130.94</v>
      </c>
      <c r="IQ125" s="216" t="s">
        <v>952</v>
      </c>
      <c r="IR125" s="216" t="s">
        <v>953</v>
      </c>
      <c r="IS125" s="218">
        <v>-105282720.02</v>
      </c>
    </row>
    <row r="126" spans="1:255">
      <c r="A126" s="216" t="s">
        <v>1557</v>
      </c>
      <c r="IG126" s="216" t="s">
        <v>954</v>
      </c>
      <c r="IH126" s="216" t="s">
        <v>955</v>
      </c>
      <c r="II126" s="218">
        <v>2878602.9218640001</v>
      </c>
      <c r="IQ126" s="216" t="s">
        <v>956</v>
      </c>
      <c r="IR126" s="216" t="s">
        <v>957</v>
      </c>
      <c r="IS126" s="218">
        <v>0</v>
      </c>
    </row>
    <row r="127" spans="1:255">
      <c r="C127" s="216" t="s">
        <v>2583</v>
      </c>
      <c r="D127" s="224" t="s">
        <v>32</v>
      </c>
      <c r="E127" s="224" t="s">
        <v>2657</v>
      </c>
      <c r="G127" s="224" t="s">
        <v>33</v>
      </c>
      <c r="R127" s="242" t="s">
        <v>958</v>
      </c>
      <c r="S127" s="84">
        <v>14148096</v>
      </c>
      <c r="IG127" s="216" t="s">
        <v>959</v>
      </c>
      <c r="IH127" s="216" t="s">
        <v>820</v>
      </c>
      <c r="II127" s="218">
        <v>3150598.7456367076</v>
      </c>
      <c r="IQ127" s="216" t="s">
        <v>960</v>
      </c>
      <c r="IR127" s="216" t="s">
        <v>961</v>
      </c>
      <c r="IS127" s="218">
        <v>0</v>
      </c>
    </row>
    <row r="128" spans="1:255">
      <c r="C128" s="224" t="s">
        <v>34</v>
      </c>
      <c r="D128" s="224" t="s">
        <v>2661</v>
      </c>
      <c r="E128" s="224" t="s">
        <v>34</v>
      </c>
      <c r="F128" s="224" t="s">
        <v>35</v>
      </c>
      <c r="G128" s="224" t="s">
        <v>36</v>
      </c>
      <c r="H128" s="224" t="s">
        <v>37</v>
      </c>
      <c r="I128" s="224" t="s">
        <v>2657</v>
      </c>
      <c r="J128" s="224" t="s">
        <v>38</v>
      </c>
      <c r="K128" s="224" t="s">
        <v>2581</v>
      </c>
      <c r="IG128" s="216" t="s">
        <v>962</v>
      </c>
      <c r="IH128" s="216" t="s">
        <v>963</v>
      </c>
      <c r="II128" s="218">
        <v>-103459628.46230771</v>
      </c>
      <c r="IQ128" s="216" t="s">
        <v>964</v>
      </c>
      <c r="IR128" s="216" t="s">
        <v>965</v>
      </c>
      <c r="IS128" s="218">
        <v>0</v>
      </c>
    </row>
    <row r="129" spans="1:253">
      <c r="C129" s="224" t="s">
        <v>39</v>
      </c>
      <c r="D129" s="224" t="s">
        <v>2669</v>
      </c>
      <c r="E129" s="224" t="s">
        <v>39</v>
      </c>
      <c r="F129" s="224" t="s">
        <v>40</v>
      </c>
      <c r="G129" s="224" t="s">
        <v>41</v>
      </c>
      <c r="H129" s="224" t="s">
        <v>2672</v>
      </c>
      <c r="I129" s="224" t="s">
        <v>42</v>
      </c>
      <c r="J129" s="224" t="s">
        <v>43</v>
      </c>
      <c r="K129" s="224" t="s">
        <v>31</v>
      </c>
      <c r="IG129" s="216" t="s">
        <v>966</v>
      </c>
      <c r="IH129" s="216" t="s">
        <v>3513</v>
      </c>
      <c r="II129" s="218">
        <v>5754077.557692308</v>
      </c>
      <c r="IQ129" s="216" t="s">
        <v>967</v>
      </c>
      <c r="IR129" s="216" t="s">
        <v>968</v>
      </c>
      <c r="IS129" s="218">
        <v>0</v>
      </c>
    </row>
    <row r="130" spans="1:253">
      <c r="C130" s="216" t="s">
        <v>969</v>
      </c>
      <c r="D130" s="216" t="s">
        <v>970</v>
      </c>
      <c r="E130" s="216" t="s">
        <v>970</v>
      </c>
      <c r="F130" s="216" t="s">
        <v>1582</v>
      </c>
      <c r="G130" s="216" t="s">
        <v>708</v>
      </c>
      <c r="H130" s="216" t="s">
        <v>708</v>
      </c>
      <c r="I130" s="216" t="s">
        <v>708</v>
      </c>
      <c r="J130" s="216" t="s">
        <v>708</v>
      </c>
      <c r="K130" s="216" t="s">
        <v>708</v>
      </c>
      <c r="IG130" s="216" t="s">
        <v>971</v>
      </c>
      <c r="IH130" s="216" t="s">
        <v>972</v>
      </c>
      <c r="II130" s="218">
        <v>2088659.4784615384</v>
      </c>
      <c r="IQ130" s="216" t="s">
        <v>973</v>
      </c>
      <c r="IR130" s="216" t="s">
        <v>974</v>
      </c>
      <c r="IS130" s="218">
        <v>0</v>
      </c>
    </row>
    <row r="131" spans="1:253">
      <c r="A131" s="216" t="s">
        <v>2676</v>
      </c>
      <c r="C131" s="218">
        <v>3573416714</v>
      </c>
      <c r="D131" s="218">
        <v>1248570984</v>
      </c>
      <c r="E131" s="218">
        <v>2324845730</v>
      </c>
      <c r="F131" s="218">
        <v>5664735</v>
      </c>
      <c r="G131" s="218">
        <v>206437666</v>
      </c>
      <c r="H131" s="218">
        <v>0</v>
      </c>
      <c r="I131" s="218">
        <v>2536948131</v>
      </c>
      <c r="J131" s="218">
        <v>233139273</v>
      </c>
      <c r="K131" s="218">
        <v>2770087404</v>
      </c>
      <c r="IG131" s="216" t="s">
        <v>975</v>
      </c>
      <c r="IH131" s="216" t="s">
        <v>3533</v>
      </c>
      <c r="II131" s="218">
        <v>1850652.182950807</v>
      </c>
      <c r="IK131" s="218">
        <v>2878602.9218640625</v>
      </c>
      <c r="IQ131" s="216" t="s">
        <v>976</v>
      </c>
      <c r="IR131" s="216" t="s">
        <v>977</v>
      </c>
      <c r="IS131" s="218">
        <v>18069477.220136665</v>
      </c>
    </row>
    <row r="132" spans="1:253">
      <c r="A132" s="216" t="s">
        <v>44</v>
      </c>
      <c r="C132" s="216" t="s">
        <v>969</v>
      </c>
      <c r="D132" s="216" t="s">
        <v>969</v>
      </c>
      <c r="E132" s="216" t="s">
        <v>969</v>
      </c>
      <c r="F132" s="216" t="s">
        <v>969</v>
      </c>
      <c r="G132" s="216" t="s">
        <v>969</v>
      </c>
      <c r="H132" s="216" t="s">
        <v>969</v>
      </c>
      <c r="I132" s="216" t="s">
        <v>969</v>
      </c>
      <c r="J132" s="216" t="s">
        <v>969</v>
      </c>
      <c r="K132" s="216" t="s">
        <v>969</v>
      </c>
      <c r="IG132" s="216" t="s">
        <v>978</v>
      </c>
      <c r="IH132" s="216" t="s">
        <v>797</v>
      </c>
      <c r="II132" s="218">
        <v>-105282720.02</v>
      </c>
      <c r="IQ132" s="216" t="s">
        <v>979</v>
      </c>
      <c r="IR132" s="216" t="s">
        <v>980</v>
      </c>
      <c r="IS132" s="218">
        <v>-332483</v>
      </c>
    </row>
    <row r="133" spans="1:253">
      <c r="A133" s="216" t="s">
        <v>2677</v>
      </c>
      <c r="C133" s="218">
        <v>3217033502</v>
      </c>
      <c r="D133" s="218">
        <v>1125717968</v>
      </c>
      <c r="E133" s="218">
        <v>2091315534</v>
      </c>
      <c r="F133" s="218">
        <v>5487488</v>
      </c>
      <c r="G133" s="218">
        <v>120911477.36153845</v>
      </c>
      <c r="H133" s="218">
        <v>0</v>
      </c>
      <c r="I133" s="218">
        <v>2217714499.3615384</v>
      </c>
      <c r="J133" s="218">
        <v>235792990.64845687</v>
      </c>
      <c r="K133" s="218">
        <v>2453507490.0099955</v>
      </c>
      <c r="IG133" s="216" t="s">
        <v>981</v>
      </c>
      <c r="IH133" s="216" t="s">
        <v>3517</v>
      </c>
      <c r="II133" s="218">
        <v>5797177.4799999995</v>
      </c>
      <c r="IQ133" s="216" t="s">
        <v>982</v>
      </c>
      <c r="IR133" s="216" t="s">
        <v>983</v>
      </c>
      <c r="IS133" s="218">
        <v>1080878</v>
      </c>
    </row>
    <row r="134" spans="1:253">
      <c r="A134" s="216" t="s">
        <v>984</v>
      </c>
      <c r="C134" s="216" t="s">
        <v>969</v>
      </c>
      <c r="D134" s="216" t="s">
        <v>969</v>
      </c>
      <c r="E134" s="216" t="s">
        <v>969</v>
      </c>
      <c r="F134" s="216" t="s">
        <v>969</v>
      </c>
      <c r="G134" s="216" t="s">
        <v>969</v>
      </c>
      <c r="H134" s="216" t="s">
        <v>969</v>
      </c>
      <c r="I134" s="216" t="s">
        <v>969</v>
      </c>
      <c r="J134" s="216" t="s">
        <v>969</v>
      </c>
      <c r="K134" s="216" t="s">
        <v>969</v>
      </c>
      <c r="IG134" s="216" t="s">
        <v>985</v>
      </c>
      <c r="IH134" s="216" t="s">
        <v>751</v>
      </c>
      <c r="II134" s="218">
        <v>2300162.79</v>
      </c>
      <c r="IQ134" s="216" t="s">
        <v>986</v>
      </c>
      <c r="IR134" s="216" t="s">
        <v>987</v>
      </c>
      <c r="IS134" s="218">
        <v>6323273.3998633325</v>
      </c>
    </row>
    <row r="135" spans="1:253">
      <c r="A135" s="216" t="s">
        <v>988</v>
      </c>
      <c r="J135" s="84"/>
      <c r="IG135" s="216" t="s">
        <v>989</v>
      </c>
      <c r="IH135" s="216" t="s">
        <v>846</v>
      </c>
      <c r="II135" s="218">
        <v>2281115.0734389164</v>
      </c>
      <c r="IQ135" s="216" t="s">
        <v>990</v>
      </c>
      <c r="IR135" s="216" t="s">
        <v>991</v>
      </c>
      <c r="IS135" s="218">
        <v>29079897.899999999</v>
      </c>
    </row>
    <row r="136" spans="1:253">
      <c r="A136" s="216" t="s">
        <v>2603</v>
      </c>
      <c r="C136" s="218">
        <v>-827973565</v>
      </c>
      <c r="D136" s="218">
        <v>-44747145</v>
      </c>
      <c r="E136" s="218">
        <v>-783226420</v>
      </c>
      <c r="G136" s="218">
        <v>-1527628</v>
      </c>
      <c r="I136" s="218">
        <v>-784754048</v>
      </c>
      <c r="J136" s="218">
        <v>-13708615</v>
      </c>
      <c r="K136" s="218">
        <v>-798462663</v>
      </c>
      <c r="IG136" s="216" t="s">
        <v>992</v>
      </c>
      <c r="IH136" s="216" t="s">
        <v>993</v>
      </c>
      <c r="II136" s="218">
        <v>0</v>
      </c>
      <c r="IQ136" s="216" t="s">
        <v>994</v>
      </c>
      <c r="IR136" s="216" t="s">
        <v>995</v>
      </c>
      <c r="IS136" s="218">
        <v>7478137.209999999</v>
      </c>
    </row>
    <row r="137" spans="1:253">
      <c r="A137" s="236" t="s">
        <v>46</v>
      </c>
      <c r="G137" s="86">
        <v>-69396459</v>
      </c>
      <c r="I137" s="218">
        <v>-69396459</v>
      </c>
      <c r="K137" s="218">
        <v>-69396459</v>
      </c>
      <c r="IG137" s="216" t="s">
        <v>996</v>
      </c>
      <c r="IH137" s="216" t="s">
        <v>997</v>
      </c>
      <c r="II137" s="218">
        <v>0</v>
      </c>
      <c r="IQ137" s="216" t="s">
        <v>998</v>
      </c>
      <c r="IR137" s="216" t="s">
        <v>999</v>
      </c>
      <c r="IS137" s="218">
        <v>55662411.979863338</v>
      </c>
    </row>
    <row r="138" spans="1:253">
      <c r="A138" s="216" t="s">
        <v>47</v>
      </c>
      <c r="C138" s="218">
        <v>-10348760</v>
      </c>
      <c r="D138" s="218">
        <v>831113</v>
      </c>
      <c r="E138" s="218">
        <v>-11179873</v>
      </c>
      <c r="G138" s="218">
        <v>-10069.361538461566</v>
      </c>
      <c r="I138" s="218">
        <v>-11189942.361538462</v>
      </c>
      <c r="J138" s="218">
        <v>-2036919.4476923076</v>
      </c>
      <c r="K138" s="218">
        <v>-13226861.809230771</v>
      </c>
      <c r="IG138" s="216" t="s">
        <v>1000</v>
      </c>
      <c r="IH138" s="216" t="s">
        <v>1001</v>
      </c>
      <c r="II138" s="218">
        <v>0</v>
      </c>
      <c r="IQ138" s="216" t="s">
        <v>1002</v>
      </c>
      <c r="IR138" s="216" t="s">
        <v>1003</v>
      </c>
      <c r="IS138" s="218">
        <v>5484279.8000000007</v>
      </c>
    </row>
    <row r="139" spans="1:253">
      <c r="A139" s="216" t="s">
        <v>1004</v>
      </c>
      <c r="C139" s="86">
        <v>0</v>
      </c>
      <c r="D139" s="86">
        <v>0</v>
      </c>
      <c r="E139" s="218">
        <v>0</v>
      </c>
      <c r="I139" s="218">
        <v>0</v>
      </c>
      <c r="K139" s="218">
        <v>0</v>
      </c>
      <c r="IG139" s="216" t="s">
        <v>1005</v>
      </c>
      <c r="IH139" s="216" t="s">
        <v>1006</v>
      </c>
      <c r="II139" s="218">
        <v>0</v>
      </c>
      <c r="IQ139" s="216" t="s">
        <v>1007</v>
      </c>
      <c r="IR139" s="216" t="s">
        <v>1008</v>
      </c>
      <c r="IS139" s="218">
        <v>74929</v>
      </c>
    </row>
    <row r="140" spans="1:253">
      <c r="K140" s="218">
        <v>0</v>
      </c>
      <c r="IG140" s="216" t="s">
        <v>1009</v>
      </c>
      <c r="IH140" s="216" t="s">
        <v>857</v>
      </c>
      <c r="II140" s="218">
        <v>0</v>
      </c>
      <c r="IQ140" s="216" t="s">
        <v>1010</v>
      </c>
      <c r="IR140" s="216" t="s">
        <v>1011</v>
      </c>
      <c r="IS140" s="218">
        <v>22804541.40986333</v>
      </c>
    </row>
    <row r="141" spans="1:253">
      <c r="A141" s="218"/>
      <c r="D141" s="218">
        <v>0</v>
      </c>
      <c r="E141" s="218">
        <v>0</v>
      </c>
      <c r="G141" s="84"/>
      <c r="I141" s="218">
        <v>0</v>
      </c>
      <c r="K141" s="218">
        <v>0</v>
      </c>
      <c r="IG141" s="216" t="s">
        <v>1012</v>
      </c>
      <c r="IH141" s="216" t="s">
        <v>1013</v>
      </c>
      <c r="II141" s="218">
        <v>0</v>
      </c>
      <c r="IQ141" s="216" t="s">
        <v>1014</v>
      </c>
      <c r="IR141" s="216" t="s">
        <v>1015</v>
      </c>
      <c r="IS141" s="218">
        <v>0</v>
      </c>
    </row>
    <row r="142" spans="1:253">
      <c r="A142" s="216" t="s">
        <v>3412</v>
      </c>
      <c r="C142" s="86">
        <v>0</v>
      </c>
      <c r="D142" s="218">
        <v>0</v>
      </c>
      <c r="E142" s="218">
        <v>0</v>
      </c>
      <c r="I142" s="218">
        <v>0</v>
      </c>
      <c r="K142" s="218">
        <v>0</v>
      </c>
      <c r="IG142" s="216" t="s">
        <v>1016</v>
      </c>
      <c r="IH142" s="216" t="s">
        <v>1017</v>
      </c>
      <c r="II142" s="218">
        <v>0</v>
      </c>
      <c r="IQ142" s="216" t="s">
        <v>1018</v>
      </c>
      <c r="IR142" s="216" t="s">
        <v>1019</v>
      </c>
      <c r="IS142" s="218">
        <v>-31705134.799999997</v>
      </c>
    </row>
    <row r="143" spans="1:253">
      <c r="K143" s="218">
        <v>0</v>
      </c>
      <c r="IG143" s="216" t="s">
        <v>1020</v>
      </c>
      <c r="IH143" s="216" t="s">
        <v>1021</v>
      </c>
      <c r="II143" s="218">
        <v>0</v>
      </c>
      <c r="IQ143" s="216" t="s">
        <v>1022</v>
      </c>
      <c r="IR143" s="216" t="s">
        <v>1023</v>
      </c>
      <c r="IS143" s="218">
        <v>-98610966.966629371</v>
      </c>
    </row>
    <row r="144" spans="1:253">
      <c r="A144" s="216" t="s">
        <v>780</v>
      </c>
      <c r="C144" s="86">
        <v>0</v>
      </c>
      <c r="D144" s="218">
        <v>0</v>
      </c>
      <c r="E144" s="218">
        <v>0</v>
      </c>
      <c r="I144" s="218">
        <v>0</v>
      </c>
      <c r="K144" s="218">
        <v>0</v>
      </c>
      <c r="IG144" s="216" t="s">
        <v>1024</v>
      </c>
      <c r="IH144" s="216" t="s">
        <v>3260</v>
      </c>
      <c r="II144" s="218">
        <v>-1585512</v>
      </c>
      <c r="IQ144" s="216" t="s">
        <v>1025</v>
      </c>
      <c r="IR144" s="216" t="s">
        <v>1026</v>
      </c>
      <c r="IS144" s="218">
        <v>0</v>
      </c>
    </row>
    <row r="145" spans="1:253">
      <c r="A145" s="216" t="s">
        <v>70</v>
      </c>
      <c r="J145" s="86">
        <v>-55565</v>
      </c>
      <c r="K145" s="218">
        <v>-55565</v>
      </c>
      <c r="IG145" s="216" t="s">
        <v>1027</v>
      </c>
      <c r="IH145" s="216" t="s">
        <v>1028</v>
      </c>
      <c r="II145" s="218">
        <v>-2575553.1414129599</v>
      </c>
      <c r="IQ145" s="216" t="s">
        <v>1029</v>
      </c>
      <c r="IR145" s="216" t="s">
        <v>1030</v>
      </c>
      <c r="IS145" s="218">
        <v>0</v>
      </c>
    </row>
    <row r="146" spans="1:253">
      <c r="A146" s="216" t="s">
        <v>49</v>
      </c>
      <c r="J146" s="86">
        <v>-307071</v>
      </c>
      <c r="K146" s="218">
        <v>-307071</v>
      </c>
      <c r="IQ146" s="216" t="s">
        <v>1031</v>
      </c>
      <c r="IR146" s="216" t="s">
        <v>1032</v>
      </c>
      <c r="IS146" s="218">
        <v>0</v>
      </c>
    </row>
    <row r="147" spans="1:253">
      <c r="A147" s="216" t="s">
        <v>1033</v>
      </c>
      <c r="J147" s="86">
        <v>-321820</v>
      </c>
      <c r="K147" s="218">
        <v>-321820</v>
      </c>
      <c r="IQ147" s="216" t="s">
        <v>1034</v>
      </c>
      <c r="IR147" s="216" t="s">
        <v>1035</v>
      </c>
      <c r="IS147" s="218">
        <v>0</v>
      </c>
    </row>
    <row r="148" spans="1:253">
      <c r="A148" s="216" t="s">
        <v>50</v>
      </c>
      <c r="J148" s="86">
        <v>0</v>
      </c>
      <c r="K148" s="218">
        <v>0</v>
      </c>
      <c r="IQ148" s="216" t="s">
        <v>1036</v>
      </c>
      <c r="IR148" s="216" t="s">
        <v>1037</v>
      </c>
      <c r="IS148" s="218">
        <v>709612.83</v>
      </c>
    </row>
    <row r="149" spans="1:253">
      <c r="A149" s="215" t="s">
        <v>51</v>
      </c>
      <c r="J149" s="86">
        <v>1</v>
      </c>
      <c r="K149" s="218">
        <v>1</v>
      </c>
      <c r="IQ149" s="216" t="s">
        <v>1038</v>
      </c>
      <c r="IR149" s="216" t="s">
        <v>1039</v>
      </c>
      <c r="IS149" s="218">
        <v>2905258.1399999997</v>
      </c>
    </row>
    <row r="150" spans="1:253">
      <c r="A150" s="216" t="s">
        <v>1040</v>
      </c>
      <c r="J150" s="86">
        <v>0</v>
      </c>
      <c r="K150" s="218">
        <v>0</v>
      </c>
      <c r="IQ150" s="216" t="s">
        <v>1041</v>
      </c>
      <c r="IR150" s="236" t="s">
        <v>1042</v>
      </c>
      <c r="IS150" s="218">
        <v>-9735.490631485367</v>
      </c>
    </row>
    <row r="151" spans="1:253">
      <c r="A151" s="216" t="s">
        <v>52</v>
      </c>
      <c r="J151" s="86">
        <v>-15102690</v>
      </c>
      <c r="K151" s="218">
        <v>-15102690</v>
      </c>
    </row>
    <row r="152" spans="1:253">
      <c r="A152" s="216" t="s">
        <v>1043</v>
      </c>
      <c r="J152" s="86">
        <v>-12446388</v>
      </c>
      <c r="K152" s="218">
        <v>-12446388</v>
      </c>
    </row>
    <row r="153" spans="1:253">
      <c r="A153" s="216" t="s">
        <v>53</v>
      </c>
      <c r="J153" s="86">
        <v>-510</v>
      </c>
      <c r="K153" s="218">
        <v>-510</v>
      </c>
    </row>
    <row r="154" spans="1:253">
      <c r="A154" s="216" t="s">
        <v>1044</v>
      </c>
      <c r="C154" s="86">
        <v>0</v>
      </c>
      <c r="D154" s="86">
        <v>0</v>
      </c>
      <c r="E154" s="218">
        <v>0</v>
      </c>
      <c r="I154" s="218">
        <v>0</v>
      </c>
      <c r="J154" s="86">
        <v>0</v>
      </c>
      <c r="K154" s="218">
        <v>0</v>
      </c>
    </row>
    <row r="155" spans="1:253">
      <c r="A155" s="216" t="s">
        <v>54</v>
      </c>
      <c r="J155" s="86">
        <v>140604</v>
      </c>
      <c r="K155" s="218">
        <v>140604</v>
      </c>
    </row>
    <row r="156" spans="1:253">
      <c r="A156" s="216" t="s">
        <v>3462</v>
      </c>
      <c r="J156" s="86">
        <v>0</v>
      </c>
      <c r="K156" s="218">
        <v>0</v>
      </c>
      <c r="L156" s="252"/>
    </row>
    <row r="157" spans="1:253">
      <c r="A157" s="216" t="s">
        <v>3466</v>
      </c>
      <c r="J157" s="86">
        <v>0</v>
      </c>
      <c r="K157" s="218">
        <v>0</v>
      </c>
    </row>
    <row r="158" spans="1:253">
      <c r="A158" s="216" t="s">
        <v>3470</v>
      </c>
      <c r="J158" s="86">
        <v>0</v>
      </c>
      <c r="K158" s="218">
        <v>0</v>
      </c>
    </row>
    <row r="159" spans="1:253">
      <c r="A159" s="216" t="s">
        <v>55</v>
      </c>
      <c r="J159" s="86">
        <v>27597</v>
      </c>
      <c r="K159" s="218">
        <v>27597</v>
      </c>
    </row>
    <row r="160" spans="1:253">
      <c r="A160" s="216" t="s">
        <v>1014</v>
      </c>
      <c r="J160" s="218">
        <v>0</v>
      </c>
      <c r="K160" s="218">
        <v>0</v>
      </c>
    </row>
    <row r="161" spans="1:13">
      <c r="C161" s="216" t="s">
        <v>969</v>
      </c>
      <c r="D161" s="216" t="s">
        <v>969</v>
      </c>
      <c r="E161" s="216" t="s">
        <v>969</v>
      </c>
      <c r="F161" s="216" t="s">
        <v>969</v>
      </c>
      <c r="G161" s="216" t="s">
        <v>969</v>
      </c>
      <c r="H161" s="216" t="s">
        <v>969</v>
      </c>
      <c r="I161" s="216" t="s">
        <v>969</v>
      </c>
      <c r="J161" s="216" t="s">
        <v>969</v>
      </c>
      <c r="K161" s="216" t="s">
        <v>969</v>
      </c>
    </row>
    <row r="162" spans="1:13">
      <c r="A162" s="216" t="s">
        <v>13</v>
      </c>
      <c r="C162" s="218">
        <v>-838322325</v>
      </c>
      <c r="D162" s="218">
        <v>-43916032</v>
      </c>
      <c r="E162" s="218">
        <v>-794406293</v>
      </c>
      <c r="F162" s="218">
        <v>0</v>
      </c>
      <c r="G162" s="218">
        <v>-70934156.361538455</v>
      </c>
      <c r="H162" s="218">
        <v>0</v>
      </c>
      <c r="I162" s="218">
        <v>-865340449.36153841</v>
      </c>
      <c r="J162" s="218">
        <v>-43811376.447692305</v>
      </c>
      <c r="K162" s="218">
        <v>-909151825.8092308</v>
      </c>
    </row>
    <row r="163" spans="1:13">
      <c r="C163" s="216" t="s">
        <v>969</v>
      </c>
      <c r="D163" s="216" t="s">
        <v>969</v>
      </c>
      <c r="E163" s="216" t="s">
        <v>969</v>
      </c>
      <c r="F163" s="216" t="s">
        <v>969</v>
      </c>
      <c r="G163" s="216" t="s">
        <v>969</v>
      </c>
      <c r="H163" s="216" t="s">
        <v>969</v>
      </c>
      <c r="I163" s="216" t="s">
        <v>969</v>
      </c>
      <c r="J163" s="216" t="s">
        <v>969</v>
      </c>
      <c r="K163" s="216" t="s">
        <v>969</v>
      </c>
    </row>
    <row r="165" spans="1:13">
      <c r="A165" s="216" t="s">
        <v>14</v>
      </c>
      <c r="C165" s="218">
        <v>2378711177</v>
      </c>
      <c r="D165" s="218">
        <v>1081801936</v>
      </c>
      <c r="E165" s="218">
        <v>1296909241</v>
      </c>
      <c r="F165" s="218">
        <v>5487488</v>
      </c>
      <c r="G165" s="218">
        <v>49977321</v>
      </c>
      <c r="H165" s="218">
        <v>0</v>
      </c>
      <c r="I165" s="218">
        <v>1352374050</v>
      </c>
      <c r="J165" s="218">
        <v>191981614.20076457</v>
      </c>
      <c r="K165" s="218">
        <v>1544355664.2007647</v>
      </c>
      <c r="M165" s="218">
        <v>191981614.20076457</v>
      </c>
    </row>
    <row r="166" spans="1:13">
      <c r="C166" s="216" t="s">
        <v>969</v>
      </c>
      <c r="D166" s="216" t="s">
        <v>969</v>
      </c>
      <c r="E166" s="216" t="s">
        <v>969</v>
      </c>
      <c r="F166" s="216" t="s">
        <v>969</v>
      </c>
      <c r="G166" s="216" t="s">
        <v>969</v>
      </c>
      <c r="H166" s="216" t="s">
        <v>969</v>
      </c>
      <c r="I166" s="216" t="s">
        <v>969</v>
      </c>
      <c r="J166" s="216" t="s">
        <v>969</v>
      </c>
      <c r="K166" s="216" t="s">
        <v>969</v>
      </c>
    </row>
    <row r="167" spans="1:13">
      <c r="A167" s="150" t="s">
        <v>56</v>
      </c>
    </row>
    <row r="168" spans="1:13">
      <c r="A168" s="150" t="s">
        <v>57</v>
      </c>
    </row>
    <row r="169" spans="1:13">
      <c r="A169" s="85"/>
    </row>
    <row r="170" spans="1:13">
      <c r="A170" s="216" t="s">
        <v>20</v>
      </c>
    </row>
    <row r="171" spans="1:13">
      <c r="A171" s="216" t="s">
        <v>71</v>
      </c>
      <c r="C171" s="86">
        <v>0</v>
      </c>
      <c r="D171" s="86">
        <v>0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86">
        <v>0</v>
      </c>
      <c r="K171" s="218">
        <v>0</v>
      </c>
    </row>
    <row r="172" spans="1:13">
      <c r="C172" s="216" t="s">
        <v>969</v>
      </c>
      <c r="D172" s="216" t="s">
        <v>969</v>
      </c>
      <c r="E172" s="216" t="s">
        <v>969</v>
      </c>
      <c r="F172" s="216" t="s">
        <v>969</v>
      </c>
      <c r="G172" s="216" t="s">
        <v>969</v>
      </c>
      <c r="H172" s="216" t="s">
        <v>969</v>
      </c>
      <c r="I172" s="216" t="s">
        <v>969</v>
      </c>
      <c r="J172" s="216" t="s">
        <v>969</v>
      </c>
      <c r="K172" s="216" t="s">
        <v>969</v>
      </c>
    </row>
    <row r="173" spans="1:13">
      <c r="A173" s="216" t="s">
        <v>25</v>
      </c>
      <c r="C173" s="218">
        <v>2378711177</v>
      </c>
      <c r="D173" s="218">
        <v>1081801936</v>
      </c>
      <c r="E173" s="218">
        <v>1296909241</v>
      </c>
      <c r="F173" s="218">
        <v>5487488</v>
      </c>
      <c r="G173" s="218">
        <v>49977321</v>
      </c>
      <c r="H173" s="218">
        <v>0</v>
      </c>
      <c r="I173" s="218">
        <v>1352374050</v>
      </c>
      <c r="J173" s="218">
        <v>191981614.20076457</v>
      </c>
      <c r="K173" s="218">
        <v>1544355664.2007647</v>
      </c>
    </row>
    <row r="174" spans="1:13">
      <c r="C174" s="216" t="s">
        <v>1045</v>
      </c>
      <c r="D174" s="216" t="s">
        <v>1045</v>
      </c>
      <c r="E174" s="216" t="s">
        <v>1045</v>
      </c>
      <c r="F174" s="216" t="s">
        <v>1045</v>
      </c>
      <c r="G174" s="216" t="s">
        <v>1045</v>
      </c>
      <c r="H174" s="216" t="s">
        <v>1045</v>
      </c>
      <c r="I174" s="216" t="s">
        <v>1045</v>
      </c>
      <c r="J174" s="216" t="s">
        <v>1045</v>
      </c>
      <c r="K174" s="216" t="s">
        <v>1045</v>
      </c>
    </row>
    <row r="175" spans="1:13">
      <c r="A175" s="216" t="s">
        <v>1046</v>
      </c>
    </row>
    <row r="176" spans="1:13">
      <c r="A176" s="216" t="s">
        <v>1047</v>
      </c>
    </row>
    <row r="177" spans="1:11">
      <c r="A177" s="216" t="s">
        <v>1048</v>
      </c>
    </row>
    <row r="178" spans="1:11">
      <c r="A178" s="216" t="s">
        <v>1049</v>
      </c>
    </row>
    <row r="179" spans="1:11">
      <c r="A179" s="216" t="s">
        <v>1050</v>
      </c>
    </row>
    <row r="181" spans="1:11">
      <c r="A181" s="216" t="s">
        <v>2155</v>
      </c>
      <c r="C181" s="216" t="s">
        <v>2583</v>
      </c>
    </row>
    <row r="182" spans="1:11">
      <c r="A182" s="216" t="s">
        <v>1051</v>
      </c>
    </row>
    <row r="183" spans="1:11">
      <c r="A183" s="216" t="s">
        <v>1052</v>
      </c>
    </row>
    <row r="184" spans="1:11">
      <c r="A184" s="216" t="s">
        <v>1053</v>
      </c>
    </row>
    <row r="185" spans="1:11">
      <c r="A185" s="216" t="s">
        <v>1054</v>
      </c>
    </row>
    <row r="186" spans="1:11">
      <c r="A186" s="216" t="s">
        <v>1557</v>
      </c>
    </row>
    <row r="188" spans="1:11">
      <c r="D188" s="224" t="s">
        <v>32</v>
      </c>
      <c r="E188" s="224" t="s">
        <v>2657</v>
      </c>
      <c r="G188" s="224" t="s">
        <v>1580</v>
      </c>
    </row>
    <row r="189" spans="1:11">
      <c r="C189" s="224" t="s">
        <v>34</v>
      </c>
      <c r="D189" s="224" t="s">
        <v>2661</v>
      </c>
      <c r="E189" s="224" t="s">
        <v>34</v>
      </c>
      <c r="F189" s="224" t="s">
        <v>3316</v>
      </c>
      <c r="G189" s="224" t="s">
        <v>36</v>
      </c>
      <c r="H189" s="224" t="s">
        <v>37</v>
      </c>
      <c r="I189" s="224" t="s">
        <v>2657</v>
      </c>
      <c r="J189" s="216" t="s">
        <v>1055</v>
      </c>
      <c r="K189" s="216" t="s">
        <v>3318</v>
      </c>
    </row>
    <row r="190" spans="1:11">
      <c r="C190" s="224" t="s">
        <v>39</v>
      </c>
      <c r="D190" s="224" t="s">
        <v>2669</v>
      </c>
      <c r="E190" s="224" t="s">
        <v>39</v>
      </c>
      <c r="F190" s="224" t="s">
        <v>40</v>
      </c>
      <c r="G190" s="224" t="s">
        <v>41</v>
      </c>
      <c r="H190" s="224" t="s">
        <v>2672</v>
      </c>
      <c r="I190" s="224" t="s">
        <v>42</v>
      </c>
      <c r="J190" s="216" t="s">
        <v>1056</v>
      </c>
      <c r="K190" s="216" t="s">
        <v>3328</v>
      </c>
    </row>
    <row r="191" spans="1:11">
      <c r="C191" s="216" t="s">
        <v>708</v>
      </c>
      <c r="D191" s="216" t="s">
        <v>708</v>
      </c>
      <c r="E191" s="216" t="s">
        <v>708</v>
      </c>
      <c r="F191" s="216" t="s">
        <v>708</v>
      </c>
      <c r="G191" s="216" t="s">
        <v>708</v>
      </c>
      <c r="H191" s="216" t="s">
        <v>708</v>
      </c>
      <c r="I191" s="216" t="s">
        <v>708</v>
      </c>
      <c r="J191" s="216" t="s">
        <v>708</v>
      </c>
      <c r="K191" s="216" t="s">
        <v>708</v>
      </c>
    </row>
    <row r="192" spans="1:11">
      <c r="A192" s="216" t="s">
        <v>2676</v>
      </c>
      <c r="C192" s="218">
        <v>3733242422.1299996</v>
      </c>
      <c r="D192" s="218">
        <v>1292814164.02</v>
      </c>
      <c r="E192" s="218">
        <v>2440428258.1099997</v>
      </c>
      <c r="F192" s="218">
        <v>5664735.4399999995</v>
      </c>
      <c r="G192" s="218">
        <v>198625267.13999999</v>
      </c>
      <c r="H192" s="218">
        <v>0</v>
      </c>
      <c r="I192" s="218">
        <v>2644718260.6899996</v>
      </c>
      <c r="J192" s="218">
        <v>233139273</v>
      </c>
      <c r="K192" s="218">
        <v>2877857533.6899996</v>
      </c>
    </row>
    <row r="193" spans="1:11">
      <c r="A193" s="216" t="s">
        <v>3354</v>
      </c>
    </row>
    <row r="194" spans="1:11">
      <c r="A194" s="216" t="s">
        <v>116</v>
      </c>
      <c r="C194" s="218">
        <v>-361323729.6856367</v>
      </c>
      <c r="D194" s="218">
        <v>-105282720.02</v>
      </c>
      <c r="E194" s="218">
        <v>-256041009.66563672</v>
      </c>
      <c r="G194" s="215">
        <v>-4819648.9800000004</v>
      </c>
      <c r="I194" s="218">
        <v>-260860658.64563671</v>
      </c>
      <c r="J194" s="218">
        <v>-7802902.2020259555</v>
      </c>
      <c r="K194" s="218">
        <v>-268663560.84766269</v>
      </c>
    </row>
    <row r="195" spans="1:11">
      <c r="A195" s="216" t="s">
        <v>2603</v>
      </c>
      <c r="C195" s="218">
        <v>-864956828.29000008</v>
      </c>
      <c r="D195" s="218">
        <v>-64011387.299999997</v>
      </c>
      <c r="E195" s="218">
        <v>-800945440.99000013</v>
      </c>
      <c r="G195" s="218">
        <v>-2518968.0699999998</v>
      </c>
      <c r="I195" s="218">
        <v>-803464409.06000018</v>
      </c>
      <c r="J195" s="218">
        <v>-14179424.535615385</v>
      </c>
      <c r="K195" s="218">
        <v>-817643833.59561563</v>
      </c>
    </row>
    <row r="196" spans="1:11">
      <c r="A196" s="216" t="s">
        <v>3373</v>
      </c>
      <c r="C196" s="218">
        <v>0</v>
      </c>
      <c r="D196" s="218">
        <v>0</v>
      </c>
      <c r="E196" s="218">
        <v>0</v>
      </c>
      <c r="I196" s="218">
        <v>0</v>
      </c>
      <c r="K196" s="218">
        <v>0</v>
      </c>
    </row>
    <row r="197" spans="1:11">
      <c r="A197" s="236" t="s">
        <v>3380</v>
      </c>
      <c r="G197" s="218">
        <v>-125997016.16999997</v>
      </c>
      <c r="I197" s="218">
        <v>-125997016.16999997</v>
      </c>
      <c r="K197" s="218">
        <v>-125997016.16999997</v>
      </c>
    </row>
    <row r="198" spans="1:11">
      <c r="A198" s="216" t="s">
        <v>47</v>
      </c>
      <c r="C198" s="218">
        <v>-10113231.799999999</v>
      </c>
      <c r="D198" s="218">
        <v>1117787.5027269998</v>
      </c>
      <c r="E198" s="218">
        <v>-11231019.302726999</v>
      </c>
      <c r="G198" s="218">
        <v>-2.7625901566352695E-11</v>
      </c>
      <c r="I198" s="218">
        <v>-11231019.302726999</v>
      </c>
      <c r="J198" s="218">
        <v>-2036919.4476923076</v>
      </c>
      <c r="K198" s="218">
        <v>-13267938.750419308</v>
      </c>
    </row>
    <row r="199" spans="1:11">
      <c r="A199" s="216" t="s">
        <v>2148</v>
      </c>
      <c r="C199" s="218">
        <v>-3958173.16</v>
      </c>
      <c r="D199" s="218">
        <v>10770091.049999999</v>
      </c>
      <c r="E199" s="218">
        <v>-14728264.209999999</v>
      </c>
      <c r="I199" s="218">
        <v>-14728264.209999999</v>
      </c>
      <c r="K199" s="218">
        <v>-14728264.209999999</v>
      </c>
    </row>
    <row r="200" spans="1:11">
      <c r="A200" s="216" t="s">
        <v>3398</v>
      </c>
      <c r="C200" s="218">
        <v>0</v>
      </c>
      <c r="D200" s="218">
        <v>0</v>
      </c>
      <c r="E200" s="218">
        <v>0</v>
      </c>
      <c r="I200" s="218">
        <v>0</v>
      </c>
      <c r="K200" s="218">
        <v>0</v>
      </c>
    </row>
    <row r="201" spans="1:11">
      <c r="A201" s="218">
        <v>0</v>
      </c>
      <c r="D201" s="218">
        <v>0</v>
      </c>
      <c r="E201" s="218">
        <v>0</v>
      </c>
      <c r="I201" s="218">
        <v>0</v>
      </c>
      <c r="K201" s="218">
        <v>0</v>
      </c>
    </row>
    <row r="202" spans="1:11">
      <c r="A202" s="218" t="s">
        <v>3412</v>
      </c>
      <c r="C202" s="218">
        <v>0</v>
      </c>
      <c r="D202" s="218">
        <v>0</v>
      </c>
      <c r="E202" s="218">
        <v>0</v>
      </c>
      <c r="I202" s="218">
        <v>0</v>
      </c>
      <c r="K202" s="218">
        <v>0</v>
      </c>
    </row>
    <row r="203" spans="1:11">
      <c r="A203" s="216" t="s">
        <v>779</v>
      </c>
      <c r="F203" s="218">
        <v>0</v>
      </c>
      <c r="I203" s="218">
        <v>0</v>
      </c>
      <c r="K203" s="218">
        <v>0</v>
      </c>
    </row>
    <row r="204" spans="1:11">
      <c r="A204" s="218" t="s">
        <v>780</v>
      </c>
      <c r="C204" s="218">
        <v>0</v>
      </c>
      <c r="D204" s="218">
        <v>0</v>
      </c>
      <c r="E204" s="218">
        <v>0</v>
      </c>
      <c r="I204" s="218">
        <v>0</v>
      </c>
      <c r="K204" s="218">
        <v>0</v>
      </c>
    </row>
    <row r="205" spans="1:11">
      <c r="A205" s="218" t="s">
        <v>3425</v>
      </c>
      <c r="C205" s="218">
        <v>0</v>
      </c>
      <c r="D205" s="218">
        <v>0</v>
      </c>
      <c r="E205" s="218">
        <v>0</v>
      </c>
      <c r="I205" s="218">
        <v>0</v>
      </c>
      <c r="K205" s="218">
        <v>0</v>
      </c>
    </row>
    <row r="206" spans="1:11">
      <c r="A206" s="216" t="s">
        <v>3431</v>
      </c>
      <c r="J206" s="218">
        <v>-725252</v>
      </c>
      <c r="K206" s="218">
        <v>-725252</v>
      </c>
    </row>
    <row r="207" spans="1:11">
      <c r="A207" s="216" t="s">
        <v>3436</v>
      </c>
      <c r="J207" s="218">
        <v>15844173</v>
      </c>
      <c r="K207" s="218">
        <v>15844173</v>
      </c>
    </row>
    <row r="208" spans="1:11">
      <c r="A208" s="218" t="s">
        <v>3443</v>
      </c>
      <c r="J208" s="218">
        <v>-21591731</v>
      </c>
      <c r="K208" s="218">
        <v>-21591731</v>
      </c>
    </row>
    <row r="209" spans="1:11">
      <c r="A209" s="218" t="s">
        <v>3448</v>
      </c>
      <c r="J209" s="218">
        <v>-185996296</v>
      </c>
      <c r="K209" s="218">
        <v>-185996296</v>
      </c>
    </row>
    <row r="210" spans="1:11">
      <c r="A210" s="218" t="s">
        <v>3453</v>
      </c>
      <c r="J210" s="218">
        <v>67153891</v>
      </c>
      <c r="K210" s="218">
        <v>67153891</v>
      </c>
    </row>
    <row r="211" spans="1:11">
      <c r="A211" s="218" t="s">
        <v>3458</v>
      </c>
      <c r="J211" s="218">
        <v>115848194</v>
      </c>
      <c r="K211" s="218">
        <v>115848194</v>
      </c>
    </row>
    <row r="212" spans="1:11">
      <c r="A212" s="216" t="s">
        <v>3462</v>
      </c>
      <c r="J212" s="218">
        <v>0</v>
      </c>
      <c r="K212" s="218">
        <v>0</v>
      </c>
    </row>
    <row r="213" spans="1:11">
      <c r="A213" s="216" t="s">
        <v>3466</v>
      </c>
      <c r="J213" s="218">
        <v>0</v>
      </c>
      <c r="K213" s="218">
        <v>0</v>
      </c>
    </row>
    <row r="214" spans="1:11">
      <c r="A214" s="216" t="s">
        <v>3470</v>
      </c>
      <c r="J214" s="218">
        <v>0</v>
      </c>
      <c r="K214" s="218">
        <v>0</v>
      </c>
    </row>
    <row r="215" spans="1:11">
      <c r="C215" s="216" t="s">
        <v>708</v>
      </c>
      <c r="D215" s="216" t="s">
        <v>708</v>
      </c>
      <c r="E215" s="216" t="s">
        <v>708</v>
      </c>
      <c r="F215" s="216" t="s">
        <v>708</v>
      </c>
      <c r="G215" s="216" t="s">
        <v>708</v>
      </c>
      <c r="H215" s="216" t="s">
        <v>708</v>
      </c>
      <c r="I215" s="216" t="s">
        <v>708</v>
      </c>
      <c r="J215" s="216" t="s">
        <v>708</v>
      </c>
      <c r="K215" s="216" t="s">
        <v>708</v>
      </c>
    </row>
    <row r="216" spans="1:11">
      <c r="A216" s="216" t="s">
        <v>3479</v>
      </c>
      <c r="C216" s="218">
        <v>2492890459.1943631</v>
      </c>
      <c r="D216" s="218">
        <v>1135407935.252727</v>
      </c>
      <c r="E216" s="218">
        <v>1357482523.9416358</v>
      </c>
      <c r="F216" s="218">
        <v>5664735.4399999995</v>
      </c>
      <c r="G216" s="218">
        <v>65289633.920000032</v>
      </c>
      <c r="H216" s="218">
        <v>0</v>
      </c>
      <c r="I216" s="218">
        <v>1428436893.3016357</v>
      </c>
      <c r="J216" s="218">
        <v>199653005.81466636</v>
      </c>
      <c r="K216" s="218">
        <v>1628089899.1163015</v>
      </c>
    </row>
    <row r="217" spans="1:11">
      <c r="A217" s="216" t="s">
        <v>3482</v>
      </c>
      <c r="C217" s="251">
        <v>0.97593759999999996</v>
      </c>
      <c r="D217" s="251">
        <v>0.97475109999999998</v>
      </c>
      <c r="E217" s="251"/>
      <c r="F217" s="251">
        <v>0.96871050000000003</v>
      </c>
      <c r="G217" s="251">
        <v>0.96876720000000005</v>
      </c>
      <c r="H217" s="251"/>
      <c r="I217" s="251"/>
    </row>
    <row r="218" spans="1:11">
      <c r="C218" s="216" t="s">
        <v>708</v>
      </c>
      <c r="D218" s="216" t="s">
        <v>708</v>
      </c>
      <c r="E218" s="216" t="s">
        <v>708</v>
      </c>
      <c r="F218" s="216" t="s">
        <v>708</v>
      </c>
      <c r="G218" s="216" t="s">
        <v>708</v>
      </c>
      <c r="H218" s="216" t="s">
        <v>708</v>
      </c>
      <c r="I218" s="216" t="s">
        <v>708</v>
      </c>
      <c r="J218" s="216" t="s">
        <v>708</v>
      </c>
      <c r="K218" s="216" t="s">
        <v>708</v>
      </c>
    </row>
    <row r="219" spans="1:11">
      <c r="A219" s="216" t="s">
        <v>3491</v>
      </c>
      <c r="C219" s="218">
        <v>2432905532</v>
      </c>
      <c r="D219" s="218">
        <v>1106740134</v>
      </c>
      <c r="E219" s="218">
        <v>1326165398</v>
      </c>
      <c r="F219" s="218">
        <v>5487489</v>
      </c>
      <c r="G219" s="218">
        <v>63250456</v>
      </c>
      <c r="H219" s="218">
        <v>0</v>
      </c>
      <c r="I219" s="218">
        <v>1394903343</v>
      </c>
      <c r="J219" s="218">
        <v>191314208.20076457</v>
      </c>
      <c r="K219" s="218">
        <v>1586217551.2007647</v>
      </c>
    </row>
    <row r="220" spans="1:11">
      <c r="C220" s="216" t="s">
        <v>708</v>
      </c>
      <c r="D220" s="216" t="s">
        <v>708</v>
      </c>
      <c r="E220" s="216" t="s">
        <v>708</v>
      </c>
      <c r="F220" s="216" t="s">
        <v>708</v>
      </c>
      <c r="G220" s="216" t="s">
        <v>708</v>
      </c>
      <c r="H220" s="216" t="s">
        <v>708</v>
      </c>
      <c r="I220" s="216" t="s">
        <v>708</v>
      </c>
      <c r="J220" s="216" t="s">
        <v>708</v>
      </c>
      <c r="K220" s="216" t="s">
        <v>708</v>
      </c>
    </row>
    <row r="221" spans="1:11">
      <c r="A221" s="216" t="s">
        <v>1057</v>
      </c>
      <c r="J221" s="253">
        <v>-33486267.185333639</v>
      </c>
      <c r="K221" s="253">
        <v>-1249767634.5736978</v>
      </c>
    </row>
    <row r="222" spans="1:11">
      <c r="A222" s="216" t="s">
        <v>1058</v>
      </c>
      <c r="J222" s="88" t="s">
        <v>3501</v>
      </c>
    </row>
    <row r="223" spans="1:11">
      <c r="A223" s="216" t="s">
        <v>1059</v>
      </c>
      <c r="J223" s="234" t="s">
        <v>1060</v>
      </c>
      <c r="K223" s="234" t="s">
        <v>1061</v>
      </c>
    </row>
    <row r="224" spans="1:11">
      <c r="A224" s="216" t="s">
        <v>3519</v>
      </c>
    </row>
    <row r="225" spans="1:11">
      <c r="A225" s="216" t="s">
        <v>1058</v>
      </c>
      <c r="J225" s="93">
        <v>-33486266.737641335</v>
      </c>
      <c r="K225" s="93">
        <v>-1249767634.1260049</v>
      </c>
    </row>
    <row r="226" spans="1:11">
      <c r="A226" s="216" t="s">
        <v>1062</v>
      </c>
    </row>
    <row r="227" spans="1:11">
      <c r="A227" s="216" t="s">
        <v>3538</v>
      </c>
    </row>
    <row r="228" spans="1:11">
      <c r="A228" s="216" t="s">
        <v>1063</v>
      </c>
    </row>
    <row r="229" spans="1:11">
      <c r="A229" s="216" t="s">
        <v>1064</v>
      </c>
    </row>
    <row r="241" spans="1:11">
      <c r="A241" s="216" t="s">
        <v>1065</v>
      </c>
      <c r="C241" s="216" t="s">
        <v>2583</v>
      </c>
      <c r="D241" s="224" t="s">
        <v>2155</v>
      </c>
      <c r="K241" s="216" t="s">
        <v>2585</v>
      </c>
    </row>
    <row r="242" spans="1:11">
      <c r="A242" s="216" t="s">
        <v>30</v>
      </c>
      <c r="D242" s="224" t="s">
        <v>29</v>
      </c>
      <c r="K242" s="216" t="s">
        <v>30</v>
      </c>
    </row>
    <row r="243" spans="1:11">
      <c r="A243" s="216" t="s">
        <v>1066</v>
      </c>
      <c r="D243" s="224" t="s">
        <v>31</v>
      </c>
      <c r="F243" s="216"/>
    </row>
    <row r="244" spans="1:11">
      <c r="A244" s="216" t="s">
        <v>1067</v>
      </c>
      <c r="F244" s="216" t="s">
        <v>1557</v>
      </c>
    </row>
    <row r="245" spans="1:11">
      <c r="A245" s="216" t="s">
        <v>1068</v>
      </c>
    </row>
    <row r="246" spans="1:11">
      <c r="A246" s="216" t="s">
        <v>1557</v>
      </c>
    </row>
    <row r="247" spans="1:11">
      <c r="C247" s="216" t="s">
        <v>2583</v>
      </c>
      <c r="D247" s="224" t="s">
        <v>32</v>
      </c>
      <c r="E247" s="224" t="s">
        <v>2657</v>
      </c>
      <c r="G247" s="224" t="s">
        <v>33</v>
      </c>
    </row>
    <row r="248" spans="1:11">
      <c r="C248" s="224" t="s">
        <v>34</v>
      </c>
      <c r="D248" s="224" t="s">
        <v>2661</v>
      </c>
      <c r="E248" s="224" t="s">
        <v>34</v>
      </c>
      <c r="F248" s="224" t="s">
        <v>35</v>
      </c>
      <c r="G248" s="224" t="s">
        <v>36</v>
      </c>
      <c r="H248" s="224" t="s">
        <v>37</v>
      </c>
      <c r="I248" s="224" t="s">
        <v>2657</v>
      </c>
      <c r="J248" s="224" t="s">
        <v>38</v>
      </c>
      <c r="K248" s="224" t="s">
        <v>2581</v>
      </c>
    </row>
    <row r="249" spans="1:11">
      <c r="C249" s="224" t="s">
        <v>39</v>
      </c>
      <c r="D249" s="224" t="s">
        <v>2669</v>
      </c>
      <c r="E249" s="224" t="s">
        <v>39</v>
      </c>
      <c r="F249" s="224" t="s">
        <v>40</v>
      </c>
      <c r="G249" s="224" t="s">
        <v>41</v>
      </c>
      <c r="H249" s="224" t="s">
        <v>2672</v>
      </c>
      <c r="I249" s="224" t="s">
        <v>42</v>
      </c>
      <c r="J249" s="224" t="s">
        <v>43</v>
      </c>
      <c r="K249" s="224" t="s">
        <v>31</v>
      </c>
    </row>
    <row r="250" spans="1:11">
      <c r="C250" s="216" t="s">
        <v>969</v>
      </c>
      <c r="D250" s="216" t="s">
        <v>970</v>
      </c>
      <c r="E250" s="216" t="s">
        <v>970</v>
      </c>
      <c r="F250" s="216" t="s">
        <v>1582</v>
      </c>
      <c r="G250" s="216" t="s">
        <v>708</v>
      </c>
      <c r="H250" s="216" t="s">
        <v>708</v>
      </c>
      <c r="I250" s="216" t="s">
        <v>708</v>
      </c>
      <c r="J250" s="216" t="s">
        <v>708</v>
      </c>
      <c r="K250" s="216" t="s">
        <v>708</v>
      </c>
    </row>
    <row r="251" spans="1:11">
      <c r="A251" s="216" t="s">
        <v>2676</v>
      </c>
      <c r="C251" s="218">
        <v>3733242422.1299996</v>
      </c>
      <c r="D251" s="218">
        <v>1292814164.02</v>
      </c>
      <c r="E251" s="218">
        <v>2440428258.1099997</v>
      </c>
      <c r="F251" s="218">
        <v>5664735.4399999995</v>
      </c>
      <c r="G251" s="218">
        <v>198625267.13999999</v>
      </c>
      <c r="H251" s="218">
        <v>0</v>
      </c>
      <c r="I251" s="218">
        <v>2644718260.6899996</v>
      </c>
      <c r="J251" s="218">
        <v>233139273</v>
      </c>
      <c r="K251" s="218">
        <v>2877857533.6899996</v>
      </c>
    </row>
    <row r="252" spans="1:11">
      <c r="A252" s="216" t="s">
        <v>44</v>
      </c>
      <c r="C252" s="216" t="s">
        <v>969</v>
      </c>
      <c r="D252" s="216" t="s">
        <v>969</v>
      </c>
      <c r="E252" s="216" t="s">
        <v>969</v>
      </c>
      <c r="F252" s="216" t="s">
        <v>969</v>
      </c>
      <c r="G252" s="216" t="s">
        <v>969</v>
      </c>
      <c r="H252" s="216" t="s">
        <v>969</v>
      </c>
      <c r="I252" s="216" t="s">
        <v>969</v>
      </c>
      <c r="J252" s="216" t="s">
        <v>969</v>
      </c>
      <c r="K252" s="216" t="s">
        <v>969</v>
      </c>
    </row>
    <row r="253" spans="1:11">
      <c r="A253" s="216" t="s">
        <v>2677</v>
      </c>
      <c r="C253" s="218">
        <v>3279837920</v>
      </c>
      <c r="D253" s="218">
        <v>1167534578</v>
      </c>
      <c r="E253" s="218">
        <v>2112303342</v>
      </c>
      <c r="F253" s="218">
        <v>5487489</v>
      </c>
      <c r="G253" s="218">
        <v>187749566</v>
      </c>
      <c r="H253" s="218">
        <v>0</v>
      </c>
      <c r="I253" s="218">
        <v>2305540397</v>
      </c>
      <c r="J253" s="218">
        <v>235125584.20076457</v>
      </c>
      <c r="K253" s="218">
        <v>2540665981.2007647</v>
      </c>
    </row>
    <row r="254" spans="1:11">
      <c r="A254" s="216" t="s">
        <v>984</v>
      </c>
      <c r="C254" s="216" t="s">
        <v>969</v>
      </c>
      <c r="D254" s="216" t="s">
        <v>969</v>
      </c>
      <c r="E254" s="216" t="s">
        <v>969</v>
      </c>
      <c r="F254" s="216" t="s">
        <v>969</v>
      </c>
      <c r="G254" s="216" t="s">
        <v>969</v>
      </c>
      <c r="H254" s="216" t="s">
        <v>969</v>
      </c>
      <c r="I254" s="216" t="s">
        <v>969</v>
      </c>
      <c r="J254" s="216" t="s">
        <v>969</v>
      </c>
      <c r="K254" s="216" t="s">
        <v>969</v>
      </c>
    </row>
    <row r="255" spans="1:11">
      <c r="A255" s="216" t="s">
        <v>988</v>
      </c>
    </row>
    <row r="256" spans="1:11">
      <c r="A256" s="216" t="s">
        <v>2603</v>
      </c>
      <c r="C256" s="218">
        <v>-836819156</v>
      </c>
      <c r="D256" s="218">
        <v>-61912232</v>
      </c>
      <c r="E256" s="218">
        <v>-774906924</v>
      </c>
      <c r="G256" s="218">
        <v>-2437335</v>
      </c>
      <c r="I256" s="218">
        <v>-777344259</v>
      </c>
      <c r="J256" s="218">
        <v>-13708615</v>
      </c>
      <c r="K256" s="218">
        <v>-791052874</v>
      </c>
    </row>
    <row r="257" spans="1:11">
      <c r="A257" s="236" t="s">
        <v>46</v>
      </c>
      <c r="G257" s="86">
        <v>-122061775</v>
      </c>
      <c r="I257" s="218">
        <v>-122061775</v>
      </c>
      <c r="K257" s="218">
        <v>-122061775</v>
      </c>
    </row>
    <row r="258" spans="1:11">
      <c r="A258" s="216" t="s">
        <v>47</v>
      </c>
      <c r="C258" s="218">
        <v>-10113232</v>
      </c>
      <c r="D258" s="218">
        <v>1117788</v>
      </c>
      <c r="E258" s="218">
        <v>-11231020</v>
      </c>
      <c r="G258" s="218">
        <v>0</v>
      </c>
      <c r="I258" s="218">
        <v>-11231020</v>
      </c>
      <c r="J258" s="218">
        <v>-2036919</v>
      </c>
      <c r="K258" s="218">
        <v>-13267939</v>
      </c>
    </row>
    <row r="259" spans="1:11">
      <c r="A259" s="216" t="s">
        <v>2148</v>
      </c>
      <c r="C259" s="218">
        <v>0</v>
      </c>
      <c r="D259" s="218">
        <v>0</v>
      </c>
      <c r="E259" s="218">
        <v>0</v>
      </c>
      <c r="I259" s="218">
        <v>0</v>
      </c>
      <c r="K259" s="218">
        <v>0</v>
      </c>
    </row>
    <row r="260" spans="1:11">
      <c r="K260" s="218">
        <v>0</v>
      </c>
    </row>
    <row r="261" spans="1:11">
      <c r="A261" s="218">
        <v>0</v>
      </c>
      <c r="D261" s="218">
        <v>0</v>
      </c>
      <c r="E261" s="218">
        <v>0</v>
      </c>
      <c r="I261" s="218">
        <v>0</v>
      </c>
      <c r="K261" s="218">
        <v>0</v>
      </c>
    </row>
    <row r="262" spans="1:11">
      <c r="A262" s="218" t="s">
        <v>3412</v>
      </c>
      <c r="C262" s="86">
        <v>0</v>
      </c>
      <c r="D262" s="218">
        <v>0</v>
      </c>
      <c r="E262" s="218">
        <v>0</v>
      </c>
      <c r="I262" s="218">
        <v>0</v>
      </c>
      <c r="K262" s="218">
        <v>0</v>
      </c>
    </row>
    <row r="263" spans="1:11">
      <c r="K263" s="218">
        <v>0</v>
      </c>
    </row>
    <row r="264" spans="1:11">
      <c r="A264" s="218" t="s">
        <v>780</v>
      </c>
      <c r="C264" s="86">
        <v>0</v>
      </c>
      <c r="D264" s="218">
        <v>0</v>
      </c>
      <c r="E264" s="218">
        <v>0</v>
      </c>
      <c r="I264" s="218">
        <v>0</v>
      </c>
      <c r="K264" s="218">
        <v>0</v>
      </c>
    </row>
    <row r="265" spans="1:11">
      <c r="A265" s="216" t="s">
        <v>48</v>
      </c>
      <c r="J265" s="218">
        <v>-55565</v>
      </c>
      <c r="K265" s="218">
        <v>-55565</v>
      </c>
    </row>
    <row r="266" spans="1:11">
      <c r="A266" s="216" t="s">
        <v>49</v>
      </c>
      <c r="J266" s="218">
        <v>-307071</v>
      </c>
      <c r="K266" s="218">
        <v>-307071</v>
      </c>
    </row>
    <row r="267" spans="1:11">
      <c r="A267" s="216" t="s">
        <v>1033</v>
      </c>
      <c r="J267" s="218">
        <v>-321820</v>
      </c>
      <c r="K267" s="218">
        <v>-321820</v>
      </c>
    </row>
    <row r="268" spans="1:11">
      <c r="A268" s="216" t="s">
        <v>50</v>
      </c>
      <c r="J268" s="218">
        <v>0</v>
      </c>
      <c r="K268" s="218">
        <v>0</v>
      </c>
    </row>
    <row r="269" spans="1:11">
      <c r="A269" s="215" t="s">
        <v>51</v>
      </c>
      <c r="J269" s="218">
        <v>1</v>
      </c>
      <c r="K269" s="218">
        <v>1</v>
      </c>
    </row>
    <row r="270" spans="1:11">
      <c r="A270" s="216" t="s">
        <v>2681</v>
      </c>
      <c r="J270" s="218">
        <v>0</v>
      </c>
      <c r="K270" s="218">
        <v>0</v>
      </c>
    </row>
    <row r="271" spans="1:11">
      <c r="A271" s="216" t="s">
        <v>52</v>
      </c>
      <c r="J271" s="218">
        <v>-15102690</v>
      </c>
      <c r="K271" s="218">
        <v>-15102690</v>
      </c>
    </row>
    <row r="272" spans="1:11">
      <c r="A272" s="216" t="s">
        <v>1043</v>
      </c>
      <c r="J272" s="218">
        <v>-12446388</v>
      </c>
      <c r="K272" s="218">
        <v>-12446388</v>
      </c>
    </row>
    <row r="273" spans="1:11">
      <c r="A273" s="216" t="s">
        <v>53</v>
      </c>
      <c r="J273" s="218">
        <v>-510</v>
      </c>
      <c r="K273" s="218">
        <v>-510</v>
      </c>
    </row>
    <row r="274" spans="1:11">
      <c r="A274" s="216" t="s">
        <v>1044</v>
      </c>
      <c r="C274" s="86">
        <v>0</v>
      </c>
      <c r="D274" s="86">
        <v>0</v>
      </c>
      <c r="E274" s="218">
        <v>0</v>
      </c>
      <c r="I274" s="218">
        <v>0</v>
      </c>
      <c r="J274" s="218">
        <v>0</v>
      </c>
      <c r="K274" s="218">
        <v>0</v>
      </c>
    </row>
    <row r="275" spans="1:11">
      <c r="A275" s="216" t="s">
        <v>54</v>
      </c>
      <c r="J275" s="218">
        <v>140604</v>
      </c>
      <c r="K275" s="218">
        <v>140604</v>
      </c>
    </row>
    <row r="276" spans="1:11">
      <c r="A276" s="216" t="s">
        <v>3462</v>
      </c>
      <c r="J276" s="218">
        <v>0</v>
      </c>
      <c r="K276" s="218">
        <v>0</v>
      </c>
    </row>
    <row r="277" spans="1:11">
      <c r="A277" s="216" t="s">
        <v>3466</v>
      </c>
      <c r="J277" s="218">
        <v>0</v>
      </c>
      <c r="K277" s="218">
        <v>0</v>
      </c>
    </row>
    <row r="278" spans="1:11">
      <c r="A278" s="216" t="s">
        <v>3470</v>
      </c>
      <c r="J278" s="218">
        <v>0</v>
      </c>
      <c r="K278" s="218">
        <v>0</v>
      </c>
    </row>
    <row r="279" spans="1:11">
      <c r="A279" s="218" t="s">
        <v>55</v>
      </c>
      <c r="J279" s="218">
        <v>27597</v>
      </c>
      <c r="K279" s="218">
        <v>27597</v>
      </c>
    </row>
    <row r="280" spans="1:11">
      <c r="A280" s="216" t="s">
        <v>1014</v>
      </c>
      <c r="J280" s="218">
        <v>0</v>
      </c>
      <c r="K280" s="218">
        <v>0</v>
      </c>
    </row>
    <row r="281" spans="1:11">
      <c r="C281" s="216" t="s">
        <v>969</v>
      </c>
      <c r="D281" s="216" t="s">
        <v>969</v>
      </c>
      <c r="E281" s="216" t="s">
        <v>969</v>
      </c>
      <c r="F281" s="216" t="s">
        <v>969</v>
      </c>
      <c r="G281" s="216" t="s">
        <v>969</v>
      </c>
      <c r="H281" s="216" t="s">
        <v>969</v>
      </c>
      <c r="I281" s="216" t="s">
        <v>969</v>
      </c>
      <c r="J281" s="216" t="s">
        <v>969</v>
      </c>
      <c r="K281" s="216" t="s">
        <v>969</v>
      </c>
    </row>
    <row r="282" spans="1:11">
      <c r="A282" s="216" t="s">
        <v>13</v>
      </c>
      <c r="C282" s="218">
        <v>-846932388</v>
      </c>
      <c r="D282" s="218">
        <v>-60794444</v>
      </c>
      <c r="E282" s="218">
        <v>-786137944</v>
      </c>
      <c r="F282" s="218">
        <v>0</v>
      </c>
      <c r="G282" s="218">
        <v>-124499110</v>
      </c>
      <c r="H282" s="218">
        <v>0</v>
      </c>
      <c r="I282" s="218">
        <v>-910637054</v>
      </c>
      <c r="J282" s="218">
        <v>-43811376</v>
      </c>
      <c r="K282" s="218">
        <v>-954448430</v>
      </c>
    </row>
    <row r="283" spans="1:11">
      <c r="C283" s="216" t="s">
        <v>969</v>
      </c>
      <c r="D283" s="216" t="s">
        <v>969</v>
      </c>
      <c r="E283" s="216" t="s">
        <v>969</v>
      </c>
      <c r="F283" s="216" t="s">
        <v>969</v>
      </c>
      <c r="G283" s="216" t="s">
        <v>969</v>
      </c>
      <c r="H283" s="216" t="s">
        <v>969</v>
      </c>
      <c r="I283" s="216" t="s">
        <v>969</v>
      </c>
      <c r="J283" s="216" t="s">
        <v>969</v>
      </c>
      <c r="K283" s="216" t="s">
        <v>969</v>
      </c>
    </row>
    <row r="285" spans="1:11">
      <c r="A285" s="216" t="s">
        <v>14</v>
      </c>
      <c r="C285" s="218">
        <v>2432905532</v>
      </c>
      <c r="D285" s="218">
        <v>1106740134</v>
      </c>
      <c r="E285" s="218">
        <v>1326165398</v>
      </c>
      <c r="F285" s="218">
        <v>5487489</v>
      </c>
      <c r="G285" s="218">
        <v>63250456</v>
      </c>
      <c r="H285" s="218">
        <v>0</v>
      </c>
      <c r="I285" s="218">
        <v>1394903343</v>
      </c>
      <c r="J285" s="218">
        <v>191314208.20076457</v>
      </c>
      <c r="K285" s="218">
        <v>1586217551.2007647</v>
      </c>
    </row>
    <row r="286" spans="1:11">
      <c r="C286" s="216" t="s">
        <v>969</v>
      </c>
      <c r="D286" s="216" t="s">
        <v>969</v>
      </c>
      <c r="E286" s="216" t="s">
        <v>969</v>
      </c>
      <c r="F286" s="216" t="s">
        <v>969</v>
      </c>
      <c r="G286" s="216" t="s">
        <v>969</v>
      </c>
      <c r="H286" s="216" t="s">
        <v>969</v>
      </c>
      <c r="I286" s="216" t="s">
        <v>969</v>
      </c>
      <c r="J286" s="216" t="s">
        <v>969</v>
      </c>
      <c r="K286" s="216" t="s">
        <v>969</v>
      </c>
    </row>
    <row r="287" spans="1:11">
      <c r="A287" s="216" t="s">
        <v>56</v>
      </c>
    </row>
    <row r="288" spans="1:11">
      <c r="A288" s="216" t="s">
        <v>57</v>
      </c>
    </row>
    <row r="289" spans="1:27">
      <c r="A289" s="216" t="s">
        <v>1069</v>
      </c>
    </row>
    <row r="290" spans="1:27">
      <c r="A290" s="216" t="s">
        <v>24</v>
      </c>
      <c r="C290" s="218">
        <v>0</v>
      </c>
      <c r="D290" s="218">
        <v>0</v>
      </c>
      <c r="E290" s="218">
        <v>0</v>
      </c>
      <c r="F290" s="218">
        <v>0</v>
      </c>
      <c r="G290" s="218">
        <v>0</v>
      </c>
      <c r="H290" s="218">
        <v>0</v>
      </c>
      <c r="I290" s="218">
        <v>0</v>
      </c>
      <c r="J290" s="218">
        <v>0</v>
      </c>
      <c r="K290" s="218">
        <v>0</v>
      </c>
    </row>
    <row r="291" spans="1:27">
      <c r="C291" s="216" t="s">
        <v>969</v>
      </c>
      <c r="D291" s="216" t="s">
        <v>969</v>
      </c>
      <c r="E291" s="216" t="s">
        <v>969</v>
      </c>
      <c r="F291" s="216" t="s">
        <v>969</v>
      </c>
      <c r="G291" s="216" t="s">
        <v>969</v>
      </c>
      <c r="H291" s="216" t="s">
        <v>969</v>
      </c>
      <c r="I291" s="216" t="s">
        <v>969</v>
      </c>
      <c r="J291" s="216" t="s">
        <v>969</v>
      </c>
      <c r="K291" s="216" t="s">
        <v>969</v>
      </c>
    </row>
    <row r="292" spans="1:27">
      <c r="A292" s="216" t="s">
        <v>25</v>
      </c>
      <c r="C292" s="218">
        <v>2432905532</v>
      </c>
      <c r="D292" s="218">
        <v>1106740134</v>
      </c>
      <c r="E292" s="218">
        <v>1326165398</v>
      </c>
      <c r="F292" s="218">
        <v>5487489</v>
      </c>
      <c r="G292" s="218">
        <v>63250456</v>
      </c>
      <c r="H292" s="218">
        <v>0</v>
      </c>
      <c r="I292" s="218">
        <v>1394903343</v>
      </c>
      <c r="J292" s="218">
        <v>191314208.20076457</v>
      </c>
      <c r="K292" s="218">
        <v>1586217551.2007647</v>
      </c>
    </row>
    <row r="293" spans="1:27">
      <c r="C293" s="216" t="s">
        <v>1045</v>
      </c>
      <c r="D293" s="216" t="s">
        <v>1045</v>
      </c>
      <c r="E293" s="216" t="s">
        <v>1045</v>
      </c>
      <c r="F293" s="216" t="s">
        <v>1045</v>
      </c>
      <c r="G293" s="216" t="s">
        <v>1045</v>
      </c>
      <c r="H293" s="216" t="s">
        <v>1045</v>
      </c>
      <c r="I293" s="216" t="s">
        <v>1045</v>
      </c>
      <c r="J293" s="216" t="s">
        <v>1045</v>
      </c>
      <c r="K293" s="216" t="s">
        <v>1045</v>
      </c>
    </row>
    <row r="294" spans="1:27">
      <c r="A294" s="216" t="s">
        <v>1070</v>
      </c>
      <c r="E294" s="216" t="s">
        <v>1071</v>
      </c>
    </row>
    <row r="295" spans="1:27">
      <c r="A295" s="216" t="s">
        <v>1069</v>
      </c>
    </row>
    <row r="296" spans="1:27">
      <c r="A296" s="216" t="s">
        <v>1072</v>
      </c>
    </row>
    <row r="297" spans="1:27">
      <c r="A297" s="216" t="s">
        <v>1073</v>
      </c>
    </row>
    <row r="298" spans="1:27">
      <c r="A298" s="216" t="s">
        <v>1074</v>
      </c>
      <c r="Y298" s="215">
        <v>597491853.38999999</v>
      </c>
      <c r="Z298" s="215">
        <v>1088067732.76</v>
      </c>
      <c r="AA298" s="215">
        <v>-490575879.37</v>
      </c>
    </row>
    <row r="299" spans="1:27">
      <c r="P299" s="84"/>
      <c r="Y299" s="215">
        <v>490801804.37</v>
      </c>
      <c r="Z299" s="215">
        <v>1263345961.5</v>
      </c>
      <c r="AA299" s="215">
        <v>-772544157.13</v>
      </c>
    </row>
    <row r="300" spans="1:27">
      <c r="Y300" s="215">
        <v>490980193.88999999</v>
      </c>
      <c r="Z300" s="215">
        <v>1263521086.97</v>
      </c>
      <c r="AA300" s="215">
        <v>-772540893.08000004</v>
      </c>
    </row>
    <row r="301" spans="1:27">
      <c r="A301" s="216" t="s">
        <v>1075</v>
      </c>
      <c r="N301" s="216" t="s">
        <v>1076</v>
      </c>
      <c r="Y301" s="215">
        <v>607627558.25000012</v>
      </c>
      <c r="Z301" s="215">
        <v>1144165744.3299999</v>
      </c>
      <c r="AA301" s="215">
        <v>-536538186.0799998</v>
      </c>
    </row>
    <row r="302" spans="1:27">
      <c r="A302" s="216" t="s">
        <v>1077</v>
      </c>
      <c r="O302" s="162"/>
      <c r="Y302" s="215">
        <v>501045050.63</v>
      </c>
      <c r="Z302" s="215">
        <v>1144395121.8099999</v>
      </c>
      <c r="AA302" s="215">
        <v>-643350071.17999995</v>
      </c>
    </row>
    <row r="303" spans="1:27">
      <c r="A303" s="216" t="s">
        <v>1078</v>
      </c>
      <c r="Y303" s="215">
        <v>539185067.86000001</v>
      </c>
      <c r="Z303" s="215">
        <v>1144628369.79</v>
      </c>
      <c r="AA303" s="215">
        <v>-605443301.92999995</v>
      </c>
    </row>
    <row r="304" spans="1:27">
      <c r="A304" s="216" t="s">
        <v>1557</v>
      </c>
      <c r="M304" s="254"/>
      <c r="N304" s="224" t="s">
        <v>781</v>
      </c>
      <c r="O304" s="226" t="s">
        <v>2558</v>
      </c>
      <c r="Y304" s="215">
        <v>539212173.32000005</v>
      </c>
      <c r="Z304" s="215">
        <v>1268653053.77</v>
      </c>
      <c r="AA304" s="215">
        <v>-729440880.44999993</v>
      </c>
    </row>
    <row r="305" spans="1:27">
      <c r="K305" s="224" t="s">
        <v>781</v>
      </c>
      <c r="L305" s="224" t="s">
        <v>2657</v>
      </c>
      <c r="M305" s="224" t="s">
        <v>1603</v>
      </c>
      <c r="N305" s="224" t="s">
        <v>1079</v>
      </c>
      <c r="O305" s="255" t="s">
        <v>1080</v>
      </c>
      <c r="S305" s="256" t="s">
        <v>1081</v>
      </c>
      <c r="T305" s="256" t="s">
        <v>1082</v>
      </c>
      <c r="U305" s="256" t="s">
        <v>1083</v>
      </c>
      <c r="V305" s="256" t="s">
        <v>1515</v>
      </c>
      <c r="Y305" s="215">
        <v>539405919.60000002</v>
      </c>
      <c r="Z305" s="215">
        <v>1193883599.29</v>
      </c>
      <c r="AA305" s="215">
        <v>-654477679.68999994</v>
      </c>
    </row>
    <row r="306" spans="1:27">
      <c r="B306" s="216" t="s">
        <v>2528</v>
      </c>
      <c r="C306" s="224" t="s">
        <v>1084</v>
      </c>
      <c r="D306" s="224" t="s">
        <v>1085</v>
      </c>
      <c r="E306" s="224" t="s">
        <v>1086</v>
      </c>
      <c r="F306" s="226"/>
      <c r="G306" s="224" t="s">
        <v>2655</v>
      </c>
      <c r="H306" s="224" t="s">
        <v>1087</v>
      </c>
      <c r="K306" s="224" t="s">
        <v>2655</v>
      </c>
      <c r="L306" s="224" t="s">
        <v>1088</v>
      </c>
      <c r="M306" s="224" t="s">
        <v>1089</v>
      </c>
      <c r="N306" s="224" t="s">
        <v>1090</v>
      </c>
      <c r="O306" s="257" t="s">
        <v>1091</v>
      </c>
      <c r="S306" s="226"/>
      <c r="T306" s="226" t="s">
        <v>1092</v>
      </c>
      <c r="U306" s="226" t="s">
        <v>1093</v>
      </c>
      <c r="V306" s="226" t="s">
        <v>1094</v>
      </c>
      <c r="Y306" s="215">
        <v>539560614.03999996</v>
      </c>
      <c r="Z306" s="215">
        <v>1194145907.8099999</v>
      </c>
      <c r="AA306" s="215">
        <v>-654585293.76999998</v>
      </c>
    </row>
    <row r="307" spans="1:27">
      <c r="A307" s="216" t="s">
        <v>1584</v>
      </c>
      <c r="B307" s="224" t="s">
        <v>3541</v>
      </c>
      <c r="C307" s="224" t="s">
        <v>1095</v>
      </c>
      <c r="D307" s="224" t="s">
        <v>1096</v>
      </c>
      <c r="E307" s="224" t="s">
        <v>1097</v>
      </c>
      <c r="F307" s="254" t="s">
        <v>3553</v>
      </c>
      <c r="G307" s="224" t="s">
        <v>1098</v>
      </c>
      <c r="H307" s="224" t="s">
        <v>1099</v>
      </c>
      <c r="I307" s="224" t="s">
        <v>3561</v>
      </c>
      <c r="J307" s="224" t="s">
        <v>2581</v>
      </c>
      <c r="K307" s="224" t="s">
        <v>1098</v>
      </c>
      <c r="L307" s="224" t="s">
        <v>1100</v>
      </c>
      <c r="M307" s="224" t="s">
        <v>1634</v>
      </c>
      <c r="N307" s="216" t="s">
        <v>1878</v>
      </c>
      <c r="Y307" s="215">
        <v>539772014.56000006</v>
      </c>
      <c r="Z307" s="215">
        <v>1194420704.0899999</v>
      </c>
      <c r="AA307" s="215">
        <v>-654648689.52999985</v>
      </c>
    </row>
    <row r="308" spans="1:27">
      <c r="B308" s="216" t="s">
        <v>1878</v>
      </c>
      <c r="C308" s="216" t="s">
        <v>1878</v>
      </c>
      <c r="D308" s="216" t="s">
        <v>1878</v>
      </c>
      <c r="E308" s="216" t="s">
        <v>1878</v>
      </c>
      <c r="F308" s="216" t="s">
        <v>1878</v>
      </c>
      <c r="G308" s="216" t="s">
        <v>1878</v>
      </c>
      <c r="H308" s="216" t="s">
        <v>1878</v>
      </c>
      <c r="I308" s="216" t="s">
        <v>1878</v>
      </c>
      <c r="J308" s="216" t="s">
        <v>1101</v>
      </c>
      <c r="K308" s="216" t="s">
        <v>1878</v>
      </c>
      <c r="L308" s="216" t="s">
        <v>1878</v>
      </c>
      <c r="M308" s="216" t="s">
        <v>1878</v>
      </c>
      <c r="Y308" s="215">
        <v>540034334.96999991</v>
      </c>
      <c r="Z308" s="215">
        <v>1194714724.53</v>
      </c>
      <c r="AA308" s="215">
        <v>-654680389.56000006</v>
      </c>
    </row>
    <row r="309" spans="1:27">
      <c r="A309" s="216"/>
      <c r="P309" s="218"/>
      <c r="Q309" s="84"/>
      <c r="Y309" s="215">
        <v>540151901.19000006</v>
      </c>
      <c r="Z309" s="215">
        <v>1194938547.5</v>
      </c>
      <c r="AA309" s="215">
        <v>-654786646.30999994</v>
      </c>
    </row>
    <row r="310" spans="1:27">
      <c r="A310" s="216" t="s">
        <v>1899</v>
      </c>
      <c r="B310" s="218">
        <v>1088067732.76</v>
      </c>
      <c r="C310" s="218">
        <v>82288768.280000001</v>
      </c>
      <c r="D310" s="218">
        <v>97998345.260000005</v>
      </c>
      <c r="E310" s="218">
        <v>33538873.289999999</v>
      </c>
      <c r="F310" s="84">
        <v>0</v>
      </c>
      <c r="G310" s="218">
        <v>271514223.56999999</v>
      </c>
      <c r="H310" s="84">
        <v>1058177541.8500001</v>
      </c>
      <c r="I310" s="84">
        <v>9266466</v>
      </c>
      <c r="J310" s="218">
        <v>2640851951.0100002</v>
      </c>
      <c r="K310" s="218">
        <v>17026670</v>
      </c>
      <c r="L310" s="84">
        <v>13564151.02</v>
      </c>
      <c r="M310" s="84">
        <v>0</v>
      </c>
      <c r="N310" s="84">
        <v>1779130</v>
      </c>
      <c r="O310" s="258">
        <v>0.12</v>
      </c>
      <c r="P310" s="218"/>
      <c r="Q310" s="84"/>
      <c r="S310" s="215">
        <v>0</v>
      </c>
      <c r="T310" s="215">
        <v>6671678</v>
      </c>
      <c r="U310" s="215">
        <v>-2573549</v>
      </c>
      <c r="V310" s="215">
        <v>1054079412.8500001</v>
      </c>
      <c r="W310" s="215">
        <v>0</v>
      </c>
      <c r="Y310" s="215">
        <v>574231812.7700001</v>
      </c>
      <c r="Z310" s="215">
        <v>1195182225.8299999</v>
      </c>
      <c r="AA310" s="215">
        <v>-620950413.05999982</v>
      </c>
    </row>
    <row r="311" spans="1:27">
      <c r="A311" s="216" t="s">
        <v>1910</v>
      </c>
      <c r="B311" s="218">
        <v>1263345961.5</v>
      </c>
      <c r="C311" s="218">
        <v>0</v>
      </c>
      <c r="D311" s="218">
        <v>97998345.260000005</v>
      </c>
      <c r="E311" s="218">
        <v>33794449.460000001</v>
      </c>
      <c r="F311" s="84">
        <v>0</v>
      </c>
      <c r="G311" s="218">
        <v>275736673.38</v>
      </c>
      <c r="H311" s="84">
        <v>1036006275.78</v>
      </c>
      <c r="I311" s="84">
        <v>9137816</v>
      </c>
      <c r="J311" s="218">
        <v>2716019521.3800001</v>
      </c>
      <c r="K311" s="218">
        <v>17038003</v>
      </c>
      <c r="L311" s="84">
        <v>13537204.109999999</v>
      </c>
      <c r="M311" s="84">
        <v>0</v>
      </c>
      <c r="N311" s="84">
        <v>1751607</v>
      </c>
      <c r="O311" s="258">
        <v>0.12</v>
      </c>
      <c r="P311" s="218">
        <v>27523</v>
      </c>
      <c r="Q311" s="84">
        <v>0</v>
      </c>
      <c r="S311" s="215">
        <v>0</v>
      </c>
      <c r="T311" s="215">
        <v>5060870</v>
      </c>
      <c r="U311" s="215">
        <v>-2538654</v>
      </c>
      <c r="V311" s="215">
        <v>1033484059.78</v>
      </c>
      <c r="W311" s="215">
        <v>0</v>
      </c>
    </row>
    <row r="312" spans="1:27">
      <c r="A312" s="216" t="s">
        <v>588</v>
      </c>
      <c r="B312" s="218">
        <v>1263521086.97</v>
      </c>
      <c r="C312" s="218">
        <v>0</v>
      </c>
      <c r="D312" s="218">
        <v>97998345.260000005</v>
      </c>
      <c r="E312" s="218">
        <v>33870400.810000002</v>
      </c>
      <c r="F312" s="84">
        <v>0</v>
      </c>
      <c r="G312" s="218">
        <v>276184076.09000003</v>
      </c>
      <c r="H312" s="84">
        <v>1048608100.9000001</v>
      </c>
      <c r="I312" s="84">
        <v>9009166</v>
      </c>
      <c r="J312" s="218">
        <v>2729191176.0300002</v>
      </c>
      <c r="K312" s="218">
        <v>17046207</v>
      </c>
      <c r="L312" s="84">
        <v>13519740.620000001</v>
      </c>
      <c r="M312" s="84">
        <v>0</v>
      </c>
      <c r="N312" s="84">
        <v>1724084</v>
      </c>
      <c r="O312" s="258">
        <v>0.12</v>
      </c>
      <c r="P312" s="218">
        <v>27523</v>
      </c>
      <c r="Q312" s="84">
        <v>0</v>
      </c>
      <c r="S312" s="215">
        <v>0</v>
      </c>
      <c r="T312" s="215">
        <v>4983162</v>
      </c>
      <c r="U312" s="215">
        <v>-2502448</v>
      </c>
      <c r="V312" s="215">
        <v>1046127386.9000001</v>
      </c>
      <c r="W312" s="215">
        <v>0</v>
      </c>
    </row>
    <row r="313" spans="1:27">
      <c r="A313" s="216" t="s">
        <v>598</v>
      </c>
      <c r="B313" s="218">
        <v>1144165744.3299999</v>
      </c>
      <c r="C313" s="218">
        <v>86041256.670000002</v>
      </c>
      <c r="D313" s="218">
        <v>97998345.260000005</v>
      </c>
      <c r="E313" s="218">
        <v>34730113.060000002</v>
      </c>
      <c r="F313" s="84">
        <v>0</v>
      </c>
      <c r="G313" s="218">
        <v>278439803.39999998</v>
      </c>
      <c r="H313" s="84">
        <v>1064887268.29</v>
      </c>
      <c r="I313" s="84">
        <v>8880516</v>
      </c>
      <c r="J313" s="218">
        <v>2715143047.0099998</v>
      </c>
      <c r="K313" s="218">
        <v>16909633.186353836</v>
      </c>
      <c r="L313" s="84">
        <v>13513248.119999999</v>
      </c>
      <c r="M313" s="84">
        <v>0</v>
      </c>
      <c r="N313" s="84">
        <v>1696561</v>
      </c>
      <c r="O313" s="258">
        <v>0.12</v>
      </c>
      <c r="P313" s="218">
        <v>27523</v>
      </c>
      <c r="Q313" s="84">
        <v>0</v>
      </c>
      <c r="S313" s="215">
        <v>0</v>
      </c>
      <c r="T313" s="215">
        <v>4905454</v>
      </c>
      <c r="U313" s="215">
        <v>-2482304</v>
      </c>
      <c r="V313" s="215">
        <v>1062464118.29</v>
      </c>
      <c r="W313" s="215">
        <v>0</v>
      </c>
    </row>
    <row r="314" spans="1:27">
      <c r="A314" s="216" t="s">
        <v>609</v>
      </c>
      <c r="B314" s="218">
        <v>1144395121.8099999</v>
      </c>
      <c r="C314" s="218">
        <v>84781391.109999999</v>
      </c>
      <c r="D314" s="218">
        <v>97998345.260000005</v>
      </c>
      <c r="E314" s="218">
        <v>34888110.310000002</v>
      </c>
      <c r="F314" s="84">
        <v>0</v>
      </c>
      <c r="G314" s="218">
        <v>280590937.95999992</v>
      </c>
      <c r="H314" s="84">
        <v>1054239569.5799999</v>
      </c>
      <c r="I314" s="84">
        <v>8751866</v>
      </c>
      <c r="J314" s="218">
        <v>2705645342.0299997</v>
      </c>
      <c r="K314" s="218">
        <v>16822441.685410827</v>
      </c>
      <c r="L314" s="84">
        <v>13504142.649999999</v>
      </c>
      <c r="M314" s="84">
        <v>0</v>
      </c>
      <c r="N314" s="84">
        <v>1669038</v>
      </c>
      <c r="O314" s="258">
        <v>0.12</v>
      </c>
      <c r="P314" s="218">
        <v>27523</v>
      </c>
      <c r="Q314" s="84">
        <v>0</v>
      </c>
      <c r="S314" s="215">
        <v>0</v>
      </c>
      <c r="T314" s="215">
        <v>4827746</v>
      </c>
      <c r="U314" s="215">
        <v>-1852410</v>
      </c>
      <c r="V314" s="215">
        <v>1051264233.5799999</v>
      </c>
      <c r="W314" s="215">
        <v>0</v>
      </c>
    </row>
    <row r="315" spans="1:27">
      <c r="A315" s="216" t="s">
        <v>618</v>
      </c>
      <c r="B315" s="218">
        <v>1144628369.79</v>
      </c>
      <c r="C315" s="218">
        <v>75282798.329999998</v>
      </c>
      <c r="D315" s="218">
        <v>97998345.260000005</v>
      </c>
      <c r="E315" s="218">
        <v>35003223.880000003</v>
      </c>
      <c r="F315" s="84">
        <v>0</v>
      </c>
      <c r="G315" s="218">
        <v>284613704.38</v>
      </c>
      <c r="H315" s="84">
        <v>1070541034.78</v>
      </c>
      <c r="I315" s="84">
        <v>8623216</v>
      </c>
      <c r="J315" s="218">
        <v>2716690692.4200001</v>
      </c>
      <c r="K315" s="218">
        <v>16847180.140945032</v>
      </c>
      <c r="L315" s="84">
        <v>13542885.699999999</v>
      </c>
      <c r="M315" s="84">
        <v>0</v>
      </c>
      <c r="N315" s="84">
        <v>1641515</v>
      </c>
      <c r="O315" s="258">
        <v>0.12</v>
      </c>
      <c r="P315" s="218">
        <v>27523</v>
      </c>
      <c r="Q315" s="84">
        <v>0</v>
      </c>
      <c r="S315" s="215">
        <v>0</v>
      </c>
      <c r="T315" s="215">
        <v>4750038</v>
      </c>
      <c r="U315" s="215">
        <v>-1832266</v>
      </c>
      <c r="V315" s="215">
        <v>1067623262.78</v>
      </c>
      <c r="W315" s="215">
        <v>0</v>
      </c>
    </row>
    <row r="316" spans="1:27">
      <c r="A316" s="216" t="s">
        <v>629</v>
      </c>
      <c r="B316" s="218">
        <v>1268653053.77</v>
      </c>
      <c r="C316" s="218">
        <v>0</v>
      </c>
      <c r="D316" s="218">
        <v>97998345.260000005</v>
      </c>
      <c r="E316" s="218">
        <v>35695393.530000001</v>
      </c>
      <c r="F316" s="84">
        <v>0</v>
      </c>
      <c r="G316" s="218">
        <v>328108060.89999998</v>
      </c>
      <c r="H316" s="84">
        <v>1083841549.5799999</v>
      </c>
      <c r="I316" s="84">
        <v>8494566</v>
      </c>
      <c r="J316" s="218">
        <v>2822790969.04</v>
      </c>
      <c r="K316" s="218">
        <v>18533227.335014995</v>
      </c>
      <c r="L316" s="84">
        <v>13549068.289999999</v>
      </c>
      <c r="M316" s="84">
        <v>0</v>
      </c>
      <c r="N316" s="84">
        <v>1613992</v>
      </c>
      <c r="O316" s="258">
        <v>0.12</v>
      </c>
      <c r="P316" s="218">
        <v>27523</v>
      </c>
      <c r="Q316" s="84">
        <v>0</v>
      </c>
      <c r="S316" s="215">
        <v>0</v>
      </c>
      <c r="T316" s="215">
        <v>4672330</v>
      </c>
      <c r="U316" s="215">
        <v>-1802288</v>
      </c>
      <c r="V316" s="215">
        <v>1080971507.5799999</v>
      </c>
      <c r="W316" s="215">
        <v>0</v>
      </c>
    </row>
    <row r="317" spans="1:27">
      <c r="A317" s="216" t="s">
        <v>639</v>
      </c>
      <c r="B317" s="218">
        <v>1193883599.29</v>
      </c>
      <c r="C317" s="218">
        <v>1205709.3</v>
      </c>
      <c r="D317" s="218">
        <v>97998345.260000005</v>
      </c>
      <c r="E317" s="218">
        <v>35610176.130000003</v>
      </c>
      <c r="F317" s="84">
        <v>0</v>
      </c>
      <c r="G317" s="218">
        <v>327870352.33000004</v>
      </c>
      <c r="H317" s="84">
        <v>1064683780.52</v>
      </c>
      <c r="I317" s="84">
        <v>8365916</v>
      </c>
      <c r="J317" s="218">
        <v>2729617878.8299999</v>
      </c>
      <c r="K317" s="218">
        <v>18812245.837698277</v>
      </c>
      <c r="L317" s="84">
        <v>13527647.15</v>
      </c>
      <c r="M317" s="84">
        <v>0</v>
      </c>
      <c r="N317" s="84">
        <v>1586469</v>
      </c>
      <c r="O317" s="258">
        <v>0.12</v>
      </c>
      <c r="P317" s="218">
        <v>27523</v>
      </c>
      <c r="Q317" s="84">
        <v>0</v>
      </c>
      <c r="S317" s="215">
        <v>0</v>
      </c>
      <c r="T317" s="215">
        <v>4594622</v>
      </c>
      <c r="U317" s="215">
        <v>-1772310</v>
      </c>
      <c r="V317" s="215">
        <v>1061861468.52</v>
      </c>
      <c r="W317" s="215">
        <v>0</v>
      </c>
    </row>
    <row r="318" spans="1:27">
      <c r="A318" s="216" t="s">
        <v>649</v>
      </c>
      <c r="B318" s="218">
        <v>1194145907.8099999</v>
      </c>
      <c r="C318" s="218">
        <v>6805671.9699999997</v>
      </c>
      <c r="D318" s="218">
        <v>97998345.260000005</v>
      </c>
      <c r="E318" s="218">
        <v>35604731.079999998</v>
      </c>
      <c r="F318" s="84">
        <v>0</v>
      </c>
      <c r="G318" s="218">
        <v>331658151.36000001</v>
      </c>
      <c r="H318" s="84">
        <v>1070152704.4300001</v>
      </c>
      <c r="I318" s="84">
        <v>8237266</v>
      </c>
      <c r="J318" s="218">
        <v>2744602777.9099998</v>
      </c>
      <c r="K318" s="218">
        <v>18463580.496303529</v>
      </c>
      <c r="L318" s="84">
        <v>13507578.41</v>
      </c>
      <c r="M318" s="84">
        <v>0</v>
      </c>
      <c r="N318" s="84">
        <v>1558946</v>
      </c>
      <c r="O318" s="258">
        <v>0.12</v>
      </c>
      <c r="P318" s="218">
        <v>27523</v>
      </c>
      <c r="Q318" s="84">
        <v>0</v>
      </c>
      <c r="S318" s="215">
        <v>0</v>
      </c>
      <c r="T318" s="215">
        <v>4516914</v>
      </c>
      <c r="U318" s="215">
        <v>-1742332</v>
      </c>
      <c r="V318" s="215">
        <v>1067378122.4300001</v>
      </c>
      <c r="W318" s="215">
        <v>0</v>
      </c>
    </row>
    <row r="319" spans="1:27">
      <c r="A319" s="216" t="s">
        <v>658</v>
      </c>
      <c r="B319" s="218">
        <v>1194420704.0899999</v>
      </c>
      <c r="C319" s="218">
        <v>93183453.480000004</v>
      </c>
      <c r="D319" s="218">
        <v>97998345.260000005</v>
      </c>
      <c r="E319" s="218">
        <v>35599534.43</v>
      </c>
      <c r="F319" s="84">
        <v>0</v>
      </c>
      <c r="G319" s="218">
        <v>357801842.96000004</v>
      </c>
      <c r="H319" s="84">
        <v>1077762398.6300001</v>
      </c>
      <c r="I319" s="84">
        <v>8108616</v>
      </c>
      <c r="J319" s="218">
        <v>2864874894.8500004</v>
      </c>
      <c r="K319" s="218">
        <v>18295342.029852025</v>
      </c>
      <c r="L319" s="84">
        <v>13473522.789999999</v>
      </c>
      <c r="M319" s="84">
        <v>0</v>
      </c>
      <c r="N319" s="84">
        <v>1531423</v>
      </c>
      <c r="O319" s="258">
        <v>0.12</v>
      </c>
      <c r="P319" s="218">
        <v>27523</v>
      </c>
      <c r="Q319" s="84">
        <v>0</v>
      </c>
      <c r="S319" s="215">
        <v>0</v>
      </c>
      <c r="T319" s="215">
        <v>4439206</v>
      </c>
      <c r="U319" s="215">
        <v>-1712354</v>
      </c>
      <c r="V319" s="215">
        <v>1075035546.6300001</v>
      </c>
      <c r="W319" s="215">
        <v>0</v>
      </c>
    </row>
    <row r="320" spans="1:27">
      <c r="A320" s="216" t="s">
        <v>669</v>
      </c>
      <c r="B320" s="218">
        <v>1194714724.53</v>
      </c>
      <c r="C320" s="218">
        <v>45798487.219999999</v>
      </c>
      <c r="D320" s="218">
        <v>97998345.260000005</v>
      </c>
      <c r="E320" s="218">
        <v>35676426.450000003</v>
      </c>
      <c r="F320" s="84">
        <v>0</v>
      </c>
      <c r="G320" s="218">
        <v>354715678.30000001</v>
      </c>
      <c r="H320" s="84">
        <v>1106286894.8399999</v>
      </c>
      <c r="I320" s="84">
        <v>7979966</v>
      </c>
      <c r="J320" s="218">
        <v>2843170522.5999999</v>
      </c>
      <c r="K320" s="218">
        <v>18238547.515634865</v>
      </c>
      <c r="L320" s="84">
        <v>13442983.93</v>
      </c>
      <c r="M320" s="84">
        <v>0</v>
      </c>
      <c r="N320" s="84">
        <v>1503900</v>
      </c>
      <c r="O320" s="258">
        <v>0.12</v>
      </c>
      <c r="P320" s="218">
        <v>27523</v>
      </c>
      <c r="Q320" s="84">
        <v>0</v>
      </c>
      <c r="S320" s="215">
        <v>0</v>
      </c>
      <c r="T320" s="215">
        <v>4361498</v>
      </c>
      <c r="U320" s="215">
        <v>-1682376</v>
      </c>
      <c r="V320" s="215">
        <v>1103607772.8399999</v>
      </c>
      <c r="W320" s="215">
        <v>0</v>
      </c>
    </row>
    <row r="321" spans="1:23">
      <c r="A321" s="216" t="s">
        <v>679</v>
      </c>
      <c r="B321" s="218">
        <v>1194938547.5</v>
      </c>
      <c r="C321" s="218">
        <v>32703854.850000001</v>
      </c>
      <c r="D321" s="218">
        <v>97998345.260000005</v>
      </c>
      <c r="E321" s="218">
        <v>35863193.859999999</v>
      </c>
      <c r="F321" s="84">
        <v>0</v>
      </c>
      <c r="G321" s="218">
        <v>362017567.69999999</v>
      </c>
      <c r="H321" s="84">
        <v>1110067869.25</v>
      </c>
      <c r="I321" s="84">
        <v>7883862</v>
      </c>
      <c r="J321" s="218">
        <v>2841473240.4200001</v>
      </c>
      <c r="K321" s="218">
        <v>18288294.589272611</v>
      </c>
      <c r="L321" s="84">
        <v>13411761.459999999</v>
      </c>
      <c r="M321" s="84">
        <v>0</v>
      </c>
      <c r="N321" s="84">
        <v>1476377</v>
      </c>
      <c r="O321" s="258">
        <v>0.12</v>
      </c>
      <c r="P321" s="218">
        <v>27523</v>
      </c>
      <c r="Q321" s="84">
        <v>0</v>
      </c>
      <c r="S321" s="215">
        <v>0</v>
      </c>
      <c r="T321" s="215">
        <v>4283790</v>
      </c>
      <c r="U321" s="215">
        <v>-1652398</v>
      </c>
      <c r="V321" s="215">
        <v>1107436477.25</v>
      </c>
      <c r="W321" s="215">
        <v>0</v>
      </c>
    </row>
    <row r="322" spans="1:23">
      <c r="A322" s="216" t="s">
        <v>1557</v>
      </c>
      <c r="B322" s="218">
        <v>1195182225.8299999</v>
      </c>
      <c r="C322" s="218">
        <v>86563058.700000003</v>
      </c>
      <c r="D322" s="218">
        <v>97998345.260000005</v>
      </c>
      <c r="E322" s="218">
        <v>35913603.859999999</v>
      </c>
      <c r="F322" s="84">
        <v>0</v>
      </c>
      <c r="G322" s="218">
        <v>368215630.48000002</v>
      </c>
      <c r="H322" s="84">
        <v>1113445382.6900001</v>
      </c>
      <c r="I322" s="84">
        <v>7771484</v>
      </c>
      <c r="J322" s="218">
        <v>2905089730.8199997</v>
      </c>
      <c r="K322" s="218">
        <v>18439787.004658666</v>
      </c>
      <c r="L322" s="84">
        <v>13381550.029999999</v>
      </c>
      <c r="M322" s="84">
        <v>0</v>
      </c>
      <c r="N322" s="84">
        <v>1448854</v>
      </c>
      <c r="O322" s="258">
        <v>0.12</v>
      </c>
      <c r="P322" s="218">
        <v>27523</v>
      </c>
      <c r="Q322" s="84">
        <v>0</v>
      </c>
      <c r="R322" s="215">
        <v>2905089730.8199997</v>
      </c>
      <c r="S322" s="215">
        <v>0</v>
      </c>
      <c r="T322" s="215">
        <v>4206082</v>
      </c>
      <c r="U322" s="215">
        <v>-1622420</v>
      </c>
      <c r="V322" s="215">
        <v>1110861720.6900001</v>
      </c>
      <c r="W322" s="215">
        <v>0</v>
      </c>
    </row>
    <row r="323" spans="1:23">
      <c r="A323" s="216"/>
      <c r="H323" s="84"/>
    </row>
    <row r="324" spans="1:23">
      <c r="B324" s="216" t="s">
        <v>1102</v>
      </c>
      <c r="C324" s="216" t="s">
        <v>1102</v>
      </c>
      <c r="D324" s="216" t="s">
        <v>1878</v>
      </c>
      <c r="E324" s="216" t="s">
        <v>1878</v>
      </c>
      <c r="F324" s="216" t="s">
        <v>1878</v>
      </c>
      <c r="G324" s="216" t="s">
        <v>1878</v>
      </c>
      <c r="H324" s="216" t="s">
        <v>1878</v>
      </c>
      <c r="I324" s="216" t="s">
        <v>1878</v>
      </c>
      <c r="J324" s="216" t="s">
        <v>1101</v>
      </c>
      <c r="K324" s="216" t="s">
        <v>1878</v>
      </c>
      <c r="L324" s="216" t="s">
        <v>1878</v>
      </c>
      <c r="M324" s="216" t="s">
        <v>1878</v>
      </c>
      <c r="N324" s="216" t="s">
        <v>1878</v>
      </c>
      <c r="O324" s="216" t="s">
        <v>1878</v>
      </c>
      <c r="P324" s="259">
        <v>2001654.7400000002</v>
      </c>
      <c r="Q324" s="234" t="s">
        <v>1103</v>
      </c>
    </row>
    <row r="325" spans="1:23">
      <c r="A325" s="216" t="s">
        <v>716</v>
      </c>
      <c r="B325" s="218">
        <v>15484062779.980001</v>
      </c>
      <c r="C325" s="218">
        <v>594654449.91000009</v>
      </c>
      <c r="D325" s="218">
        <v>1273978488.3800001</v>
      </c>
      <c r="E325" s="218">
        <v>455788230.15000004</v>
      </c>
      <c r="F325" s="218">
        <v>0</v>
      </c>
      <c r="G325" s="218">
        <v>4097466702.8100004</v>
      </c>
      <c r="H325" s="218">
        <v>13958700371.120001</v>
      </c>
      <c r="I325" s="218">
        <v>110510722</v>
      </c>
      <c r="J325" s="218">
        <v>35975161744.349998</v>
      </c>
      <c r="K325" s="218">
        <v>230761159.82114467</v>
      </c>
      <c r="L325" s="218">
        <v>175475484.28</v>
      </c>
      <c r="M325" s="218">
        <v>0</v>
      </c>
      <c r="N325" s="218">
        <v>20981896</v>
      </c>
      <c r="O325" s="260">
        <v>0.12000000000000004</v>
      </c>
      <c r="P325" s="259">
        <v>4206082</v>
      </c>
      <c r="Q325" s="234" t="s">
        <v>1104</v>
      </c>
      <c r="S325" s="215">
        <v>0</v>
      </c>
      <c r="T325" s="215">
        <v>4790260.769230769</v>
      </c>
      <c r="U325" s="215">
        <v>-1982162.2307692308</v>
      </c>
      <c r="V325" s="215">
        <v>1070938083.8553847</v>
      </c>
    </row>
    <row r="326" spans="1:23">
      <c r="A326" s="216" t="s">
        <v>1105</v>
      </c>
      <c r="B326" s="218">
        <v>1191081752</v>
      </c>
      <c r="C326" s="218">
        <v>45742650</v>
      </c>
      <c r="D326" s="218">
        <v>97998345</v>
      </c>
      <c r="E326" s="218">
        <v>35060633</v>
      </c>
      <c r="F326" s="218">
        <v>0</v>
      </c>
      <c r="G326" s="218">
        <v>315189746</v>
      </c>
      <c r="H326" s="218">
        <v>1073746182</v>
      </c>
      <c r="I326" s="218">
        <v>8500825</v>
      </c>
      <c r="J326" s="218">
        <v>2767320133</v>
      </c>
      <c r="K326" s="218">
        <v>17750858</v>
      </c>
      <c r="L326" s="218">
        <v>13498114</v>
      </c>
      <c r="M326" s="218">
        <v>0</v>
      </c>
      <c r="N326" s="218">
        <v>1613992</v>
      </c>
      <c r="O326" s="260"/>
      <c r="P326" s="259">
        <v>-1622420</v>
      </c>
      <c r="Q326" s="234" t="s">
        <v>1106</v>
      </c>
    </row>
    <row r="327" spans="1:23">
      <c r="A327" s="216" t="s">
        <v>1107</v>
      </c>
      <c r="B327" s="216" t="s">
        <v>1108</v>
      </c>
      <c r="C327" s="216" t="s">
        <v>1108</v>
      </c>
      <c r="D327" s="216" t="s">
        <v>736</v>
      </c>
      <c r="E327" s="216" t="s">
        <v>736</v>
      </c>
      <c r="F327" s="216" t="s">
        <v>736</v>
      </c>
      <c r="G327" s="216" t="s">
        <v>736</v>
      </c>
      <c r="H327" s="216" t="s">
        <v>736</v>
      </c>
      <c r="I327" s="216" t="s">
        <v>736</v>
      </c>
      <c r="J327" s="216" t="s">
        <v>1109</v>
      </c>
      <c r="K327" s="216" t="s">
        <v>736</v>
      </c>
      <c r="L327" s="216" t="s">
        <v>736</v>
      </c>
      <c r="M327" s="216" t="s">
        <v>736</v>
      </c>
      <c r="N327" s="216" t="s">
        <v>736</v>
      </c>
    </row>
    <row r="328" spans="1:23">
      <c r="G328" s="84">
        <v>1622420</v>
      </c>
      <c r="H328" s="84">
        <v>4585316.74</v>
      </c>
    </row>
    <row r="330" spans="1:23">
      <c r="A330" s="216" t="s">
        <v>1110</v>
      </c>
      <c r="F330" s="216" t="s">
        <v>1111</v>
      </c>
    </row>
    <row r="331" spans="1:23">
      <c r="A331" s="219" t="s">
        <v>1583</v>
      </c>
      <c r="B331" s="219" t="s">
        <v>1583</v>
      </c>
      <c r="C331" s="216" t="s">
        <v>1112</v>
      </c>
      <c r="F331" s="216" t="s">
        <v>1113</v>
      </c>
      <c r="G331" s="216" t="s">
        <v>1114</v>
      </c>
      <c r="I331" s="216" t="s">
        <v>1115</v>
      </c>
    </row>
    <row r="332" spans="1:23">
      <c r="A332" s="216" t="s">
        <v>1116</v>
      </c>
      <c r="B332" s="218">
        <v>4521</v>
      </c>
      <c r="E332" s="216" t="s">
        <v>1117</v>
      </c>
      <c r="F332" s="219" t="s">
        <v>1583</v>
      </c>
      <c r="G332" s="216" t="s">
        <v>1117</v>
      </c>
      <c r="H332" s="219" t="s">
        <v>1583</v>
      </c>
      <c r="I332" s="216" t="s">
        <v>1117</v>
      </c>
      <c r="J332" s="219" t="s">
        <v>1583</v>
      </c>
    </row>
    <row r="333" spans="1:23">
      <c r="A333" s="216" t="s">
        <v>2589</v>
      </c>
      <c r="B333" s="218">
        <v>0</v>
      </c>
      <c r="E333" s="216" t="s">
        <v>1118</v>
      </c>
      <c r="F333" s="216" t="s">
        <v>1119</v>
      </c>
      <c r="G333" s="216" t="s">
        <v>1118</v>
      </c>
      <c r="H333" s="216" t="s">
        <v>1119</v>
      </c>
      <c r="I333" s="216" t="s">
        <v>1118</v>
      </c>
      <c r="J333" s="216" t="s">
        <v>1119</v>
      </c>
    </row>
    <row r="334" spans="1:23">
      <c r="A334" s="216" t="s">
        <v>1120</v>
      </c>
      <c r="B334" s="218">
        <v>13498114</v>
      </c>
    </row>
    <row r="335" spans="1:23">
      <c r="B335" s="219" t="s">
        <v>1583</v>
      </c>
      <c r="C335" s="216" t="s">
        <v>1121</v>
      </c>
      <c r="E335" s="261">
        <v>6.2465522500000002E-2</v>
      </c>
      <c r="F335" s="261">
        <v>6.1049030900000002E-2</v>
      </c>
      <c r="G335" s="261">
        <v>5.4013323100000003E-2</v>
      </c>
      <c r="H335" s="261">
        <v>4.9217316300000001E-2</v>
      </c>
      <c r="I335" s="261">
        <v>5.4013323100000003E-2</v>
      </c>
      <c r="J335" s="261">
        <v>4.9217316300000001E-2</v>
      </c>
      <c r="M335" s="262"/>
    </row>
    <row r="336" spans="1:23">
      <c r="A336" s="216" t="s">
        <v>2581</v>
      </c>
      <c r="B336" s="218">
        <v>13502635</v>
      </c>
      <c r="C336" s="216" t="s">
        <v>1122</v>
      </c>
      <c r="E336" s="261">
        <v>2.28757679E-2</v>
      </c>
      <c r="F336" s="261">
        <v>2.25887213E-2</v>
      </c>
      <c r="G336" s="261">
        <v>2.28757679E-2</v>
      </c>
      <c r="H336" s="261">
        <v>2.25887213E-2</v>
      </c>
      <c r="I336" s="261">
        <v>2.28757679E-2</v>
      </c>
      <c r="J336" s="261">
        <v>2.2588721378000002E-2</v>
      </c>
      <c r="M336" s="262"/>
    </row>
    <row r="337" spans="2:13">
      <c r="B337" s="219" t="s">
        <v>510</v>
      </c>
      <c r="E337" s="263" t="s">
        <v>1123</v>
      </c>
      <c r="F337" s="263" t="s">
        <v>1123</v>
      </c>
      <c r="G337" s="263" t="s">
        <v>1123</v>
      </c>
      <c r="H337" s="263" t="s">
        <v>1124</v>
      </c>
      <c r="I337" s="263" t="s">
        <v>1123</v>
      </c>
      <c r="J337" s="263" t="s">
        <v>1124</v>
      </c>
      <c r="M337" s="262"/>
    </row>
    <row r="338" spans="2:13">
      <c r="E338" s="261">
        <v>3.9589754599999999E-2</v>
      </c>
      <c r="F338" s="261">
        <v>3.8460309600000006E-2</v>
      </c>
      <c r="G338" s="261">
        <v>3.1137555200000003E-2</v>
      </c>
      <c r="H338" s="261">
        <v>2.6628595000000001E-2</v>
      </c>
      <c r="I338" s="261">
        <v>3.1137555200000003E-2</v>
      </c>
      <c r="J338" s="261">
        <v>2.6628594921999999E-2</v>
      </c>
      <c r="M338" s="262"/>
    </row>
    <row r="339" spans="2:13">
      <c r="C339" s="216" t="s">
        <v>1125</v>
      </c>
      <c r="E339" s="261">
        <v>0.38422663169999999</v>
      </c>
      <c r="F339" s="261">
        <v>0.39002545329999999</v>
      </c>
      <c r="G339" s="261">
        <v>0.38422663169999999</v>
      </c>
      <c r="H339" s="261">
        <v>0.39002545329999999</v>
      </c>
      <c r="I339" s="261">
        <v>0.38422663169999999</v>
      </c>
      <c r="J339" s="261">
        <v>0.39002545330899996</v>
      </c>
      <c r="M339" s="262"/>
    </row>
    <row r="340" spans="2:13">
      <c r="E340" s="263" t="s">
        <v>1123</v>
      </c>
      <c r="F340" s="263" t="s">
        <v>1123</v>
      </c>
      <c r="G340" s="263" t="s">
        <v>1123</v>
      </c>
      <c r="H340" s="263" t="s">
        <v>1124</v>
      </c>
      <c r="I340" s="263" t="s">
        <v>1123</v>
      </c>
      <c r="J340" s="263" t="s">
        <v>1124</v>
      </c>
      <c r="M340" s="262"/>
    </row>
    <row r="341" spans="2:13">
      <c r="C341" s="216" t="s">
        <v>1126</v>
      </c>
      <c r="E341" s="261">
        <v>0.10303750790000001</v>
      </c>
      <c r="F341" s="261">
        <v>9.8609742700000003E-2</v>
      </c>
      <c r="G341" s="261">
        <v>8.1039554900000005E-2</v>
      </c>
      <c r="H341" s="261">
        <v>6.8273992800000002E-2</v>
      </c>
      <c r="I341" s="261">
        <v>8.1039554900000005E-2</v>
      </c>
      <c r="J341" s="261">
        <v>6.82739926E-2</v>
      </c>
      <c r="K341" s="264"/>
      <c r="M341" s="262"/>
    </row>
    <row r="342" spans="2:13">
      <c r="E342" s="263" t="s">
        <v>1127</v>
      </c>
      <c r="F342" s="263" t="s">
        <v>1127</v>
      </c>
      <c r="G342" s="263" t="s">
        <v>1127</v>
      </c>
      <c r="H342" s="263" t="s">
        <v>1128</v>
      </c>
      <c r="I342" s="263" t="s">
        <v>1127</v>
      </c>
      <c r="J342" s="263" t="s">
        <v>1128</v>
      </c>
      <c r="M342" s="261"/>
    </row>
    <row r="345" spans="2:13">
      <c r="E345" s="216" t="s">
        <v>1129</v>
      </c>
      <c r="I345" s="216" t="s">
        <v>1130</v>
      </c>
    </row>
    <row r="346" spans="2:13">
      <c r="E346" s="263" t="s">
        <v>1123</v>
      </c>
      <c r="F346" s="219" t="s">
        <v>1583</v>
      </c>
      <c r="G346" s="219" t="s">
        <v>1583</v>
      </c>
      <c r="I346" s="216" t="s">
        <v>1131</v>
      </c>
    </row>
    <row r="347" spans="2:13">
      <c r="E347" s="216" t="s">
        <v>1132</v>
      </c>
      <c r="F347" s="216" t="s">
        <v>1133</v>
      </c>
      <c r="G347" s="216" t="s">
        <v>1134</v>
      </c>
      <c r="I347" s="216" t="s">
        <v>1135</v>
      </c>
    </row>
    <row r="348" spans="2:13">
      <c r="I348" s="216" t="s">
        <v>1136</v>
      </c>
    </row>
    <row r="349" spans="2:13">
      <c r="C349" s="216" t="s">
        <v>1125</v>
      </c>
      <c r="E349" s="261">
        <v>0.3912818421</v>
      </c>
      <c r="F349" s="261">
        <v>0.3912818421</v>
      </c>
      <c r="G349" s="261">
        <v>0.3912818421</v>
      </c>
      <c r="I349" s="216" t="s">
        <v>1137</v>
      </c>
    </row>
    <row r="350" spans="2:13">
      <c r="C350" s="216" t="s">
        <v>1138</v>
      </c>
      <c r="E350" s="261">
        <v>0.10750000000000004</v>
      </c>
      <c r="F350" s="261">
        <v>0.12000000000000004</v>
      </c>
      <c r="G350" s="261">
        <v>0.12750000000000003</v>
      </c>
      <c r="I350" s="216" t="s">
        <v>1139</v>
      </c>
    </row>
    <row r="351" spans="2:13">
      <c r="E351" s="263" t="s">
        <v>1123</v>
      </c>
      <c r="F351" s="263" t="s">
        <v>1123</v>
      </c>
      <c r="G351" s="263" t="s">
        <v>1123</v>
      </c>
      <c r="I351" s="216" t="s">
        <v>1140</v>
      </c>
    </row>
    <row r="352" spans="2:13">
      <c r="E352" s="261">
        <v>4.2062798025750019E-2</v>
      </c>
      <c r="F352" s="261">
        <v>4.6953821052000015E-2</v>
      </c>
      <c r="G352" s="261">
        <v>4.9888434867750013E-2</v>
      </c>
      <c r="I352" s="216" t="s">
        <v>1141</v>
      </c>
    </row>
    <row r="353" spans="1:12">
      <c r="C353" s="216" t="s">
        <v>1122</v>
      </c>
      <c r="E353" s="261">
        <v>2.2437954699999998E-2</v>
      </c>
      <c r="F353" s="261">
        <v>2.2437954699999998E-2</v>
      </c>
      <c r="G353" s="261">
        <v>2.2437954699999998E-2</v>
      </c>
      <c r="I353" s="216" t="s">
        <v>1142</v>
      </c>
    </row>
    <row r="354" spans="1:12">
      <c r="E354" s="263" t="s">
        <v>1123</v>
      </c>
      <c r="F354" s="263" t="s">
        <v>1123</v>
      </c>
      <c r="G354" s="263" t="s">
        <v>1123</v>
      </c>
      <c r="I354" s="216" t="s">
        <v>1143</v>
      </c>
    </row>
    <row r="355" spans="1:12">
      <c r="C355" s="216" t="s">
        <v>1144</v>
      </c>
      <c r="E355" s="261">
        <v>6.450075272575001E-2</v>
      </c>
      <c r="F355" s="261">
        <v>6.9391775752000007E-2</v>
      </c>
      <c r="G355" s="261">
        <v>7.2326389567750005E-2</v>
      </c>
      <c r="I355" s="216" t="s">
        <v>1145</v>
      </c>
    </row>
    <row r="356" spans="1:12">
      <c r="E356" s="263" t="s">
        <v>1127</v>
      </c>
      <c r="F356" s="263" t="s">
        <v>1127</v>
      </c>
      <c r="G356" s="263" t="s">
        <v>1127</v>
      </c>
      <c r="I356" s="216" t="s">
        <v>1146</v>
      </c>
    </row>
    <row r="357" spans="1:12">
      <c r="I357" s="216" t="s">
        <v>1142</v>
      </c>
    </row>
    <row r="361" spans="1:12">
      <c r="A361" s="216" t="s">
        <v>1147</v>
      </c>
      <c r="I361" s="224" t="s">
        <v>1148</v>
      </c>
      <c r="K361" s="216" t="s">
        <v>1149</v>
      </c>
    </row>
    <row r="362" spans="1:12">
      <c r="A362" s="216" t="s">
        <v>1150</v>
      </c>
      <c r="I362" s="224" t="s">
        <v>1151</v>
      </c>
    </row>
    <row r="363" spans="1:12">
      <c r="A363" s="216" t="s">
        <v>1557</v>
      </c>
      <c r="C363" s="216" t="s">
        <v>2528</v>
      </c>
      <c r="D363" s="216" t="s">
        <v>1152</v>
      </c>
      <c r="E363" s="216" t="s">
        <v>1153</v>
      </c>
      <c r="F363" s="216" t="s">
        <v>1154</v>
      </c>
      <c r="H363" s="224" t="s">
        <v>2655</v>
      </c>
      <c r="I363" s="224" t="s">
        <v>2655</v>
      </c>
      <c r="J363" s="216" t="s">
        <v>1155</v>
      </c>
    </row>
    <row r="364" spans="1:12">
      <c r="C364" s="216" t="s">
        <v>1156</v>
      </c>
      <c r="D364" s="216" t="s">
        <v>1157</v>
      </c>
      <c r="E364" s="216" t="s">
        <v>1158</v>
      </c>
      <c r="F364" s="216" t="s">
        <v>1159</v>
      </c>
      <c r="G364" s="216" t="s">
        <v>1160</v>
      </c>
      <c r="H364" s="224" t="s">
        <v>1098</v>
      </c>
      <c r="I364" s="224" t="s">
        <v>1098</v>
      </c>
      <c r="J364" s="216" t="s">
        <v>1161</v>
      </c>
      <c r="K364" s="216" t="s">
        <v>1162</v>
      </c>
      <c r="L364" s="216" t="s">
        <v>1163</v>
      </c>
    </row>
    <row r="365" spans="1:12">
      <c r="C365" s="216" t="s">
        <v>1878</v>
      </c>
      <c r="D365" s="216" t="s">
        <v>1878</v>
      </c>
      <c r="E365" s="216" t="s">
        <v>1878</v>
      </c>
      <c r="F365" s="216" t="s">
        <v>1878</v>
      </c>
      <c r="G365" s="216" t="s">
        <v>1878</v>
      </c>
      <c r="H365" s="216" t="s">
        <v>1878</v>
      </c>
      <c r="I365" s="219" t="s">
        <v>1583</v>
      </c>
      <c r="J365" s="216" t="s">
        <v>1878</v>
      </c>
      <c r="K365" s="216" t="s">
        <v>1878</v>
      </c>
      <c r="L365" s="216" t="s">
        <v>1164</v>
      </c>
    </row>
    <row r="366" spans="1:12">
      <c r="A366" s="216" t="s">
        <v>1165</v>
      </c>
    </row>
    <row r="367" spans="1:12">
      <c r="A367" s="216" t="s">
        <v>1166</v>
      </c>
    </row>
    <row r="368" spans="1:12">
      <c r="A368" s="216" t="s">
        <v>1167</v>
      </c>
      <c r="C368" s="218">
        <v>1191081752</v>
      </c>
      <c r="D368" s="218">
        <v>45742650</v>
      </c>
      <c r="E368" s="218">
        <v>97998345</v>
      </c>
      <c r="F368" s="218">
        <v>35060633</v>
      </c>
      <c r="G368" s="218">
        <v>0</v>
      </c>
      <c r="H368" s="218">
        <v>346494848</v>
      </c>
      <c r="I368" s="218">
        <v>-31305102</v>
      </c>
      <c r="J368" s="218">
        <v>1073746182</v>
      </c>
      <c r="K368" s="218">
        <v>8500825</v>
      </c>
      <c r="L368" s="218">
        <v>2767320133</v>
      </c>
    </row>
    <row r="369" spans="1:14">
      <c r="A369" s="216" t="s">
        <v>1168</v>
      </c>
      <c r="C369" s="218">
        <v>0</v>
      </c>
      <c r="D369" s="218">
        <v>0</v>
      </c>
      <c r="E369" s="218">
        <v>0</v>
      </c>
      <c r="F369" s="218">
        <v>0</v>
      </c>
      <c r="G369" s="218">
        <v>0</v>
      </c>
      <c r="H369" s="218">
        <v>0</v>
      </c>
      <c r="J369" s="218">
        <v>0</v>
      </c>
      <c r="K369" s="218">
        <v>0</v>
      </c>
      <c r="L369" s="218">
        <v>0</v>
      </c>
    </row>
    <row r="370" spans="1:14">
      <c r="C370" s="216" t="s">
        <v>1878</v>
      </c>
      <c r="D370" s="216" t="s">
        <v>1878</v>
      </c>
      <c r="E370" s="216" t="s">
        <v>1878</v>
      </c>
      <c r="F370" s="216" t="s">
        <v>1878</v>
      </c>
      <c r="G370" s="216" t="s">
        <v>1878</v>
      </c>
      <c r="H370" s="216" t="s">
        <v>1878</v>
      </c>
      <c r="I370" s="219" t="s">
        <v>1583</v>
      </c>
      <c r="J370" s="216" t="s">
        <v>1878</v>
      </c>
      <c r="K370" s="216" t="s">
        <v>1878</v>
      </c>
      <c r="L370" s="216" t="s">
        <v>1164</v>
      </c>
    </row>
    <row r="371" spans="1:14">
      <c r="C371" s="218">
        <v>1191081752</v>
      </c>
      <c r="D371" s="218">
        <v>45742650</v>
      </c>
      <c r="E371" s="218">
        <v>97998345</v>
      </c>
      <c r="F371" s="218">
        <v>35060633</v>
      </c>
      <c r="G371" s="218">
        <v>0</v>
      </c>
      <c r="H371" s="218">
        <v>346494848</v>
      </c>
      <c r="I371" s="218">
        <v>-31305102</v>
      </c>
      <c r="J371" s="218">
        <v>1073746182</v>
      </c>
      <c r="K371" s="218">
        <v>8500825</v>
      </c>
      <c r="L371" s="218">
        <v>2767320133</v>
      </c>
    </row>
    <row r="372" spans="1:14">
      <c r="A372" s="216" t="s">
        <v>1169</v>
      </c>
      <c r="C372" s="261">
        <v>0.43040981699098563</v>
      </c>
      <c r="D372" s="261">
        <v>1.6529583785599555E-2</v>
      </c>
      <c r="E372" s="261">
        <v>3.5412724328992548E-2</v>
      </c>
      <c r="F372" s="261">
        <v>1.2669525502996801E-2</v>
      </c>
      <c r="G372" s="261">
        <v>0</v>
      </c>
      <c r="H372" s="261">
        <v>0.1252095281164205</v>
      </c>
      <c r="I372" s="261">
        <v>-1.1312425196741775E-2</v>
      </c>
      <c r="J372" s="261">
        <v>0.38800938467352958</v>
      </c>
      <c r="K372" s="261">
        <v>3.071861798217185E-3</v>
      </c>
      <c r="L372" s="261">
        <v>0.99999999999999989</v>
      </c>
    </row>
    <row r="373" spans="1:14">
      <c r="A373" s="236" t="s">
        <v>1170</v>
      </c>
      <c r="C373" s="215">
        <v>0</v>
      </c>
      <c r="D373" s="215">
        <v>15102690</v>
      </c>
      <c r="E373" s="215">
        <v>0</v>
      </c>
      <c r="H373" s="215">
        <v>0</v>
      </c>
      <c r="J373" s="218">
        <v>13498114</v>
      </c>
      <c r="L373" s="218">
        <v>28600804</v>
      </c>
    </row>
    <row r="374" spans="1:14">
      <c r="A374" s="216" t="s">
        <v>1171</v>
      </c>
      <c r="J374" s="218">
        <v>-16265385</v>
      </c>
      <c r="L374" s="218">
        <v>-16265385</v>
      </c>
    </row>
    <row r="375" spans="1:14">
      <c r="C375" s="216" t="s">
        <v>1878</v>
      </c>
      <c r="D375" s="216" t="s">
        <v>1878</v>
      </c>
      <c r="E375" s="216" t="s">
        <v>1878</v>
      </c>
      <c r="F375" s="216" t="s">
        <v>1878</v>
      </c>
      <c r="G375" s="216" t="s">
        <v>1878</v>
      </c>
      <c r="H375" s="216" t="s">
        <v>1878</v>
      </c>
      <c r="I375" s="219" t="s">
        <v>1583</v>
      </c>
      <c r="J375" s="216" t="s">
        <v>1878</v>
      </c>
      <c r="K375" s="216" t="s">
        <v>1878</v>
      </c>
      <c r="L375" s="216" t="s">
        <v>1164</v>
      </c>
    </row>
    <row r="376" spans="1:14">
      <c r="C376" s="218">
        <v>1191081752</v>
      </c>
      <c r="D376" s="218">
        <v>30639960</v>
      </c>
      <c r="E376" s="218">
        <v>97998345</v>
      </c>
      <c r="F376" s="218">
        <v>35060633</v>
      </c>
      <c r="G376" s="218">
        <v>0</v>
      </c>
      <c r="H376" s="218">
        <v>346494848</v>
      </c>
      <c r="I376" s="218">
        <v>-31305102</v>
      </c>
      <c r="J376" s="218">
        <v>1076513453</v>
      </c>
      <c r="K376" s="218">
        <v>8500825</v>
      </c>
      <c r="L376" s="218">
        <v>2754984714</v>
      </c>
    </row>
    <row r="377" spans="1:14">
      <c r="C377" s="261">
        <v>0.50364389381549513</v>
      </c>
      <c r="D377" s="261">
        <v>1.2955977820027101E-2</v>
      </c>
      <c r="E377" s="261">
        <v>4.143818674108464E-2</v>
      </c>
      <c r="F377" s="261">
        <v>0</v>
      </c>
      <c r="G377" s="261">
        <v>0</v>
      </c>
      <c r="J377" s="261">
        <v>0.45519917193197335</v>
      </c>
      <c r="L377" s="261">
        <v>1.0132372303085804</v>
      </c>
    </row>
    <row r="378" spans="1:14">
      <c r="C378" s="216" t="s">
        <v>1878</v>
      </c>
      <c r="D378" s="216" t="s">
        <v>1878</v>
      </c>
      <c r="E378" s="216" t="s">
        <v>1878</v>
      </c>
      <c r="F378" s="216" t="s">
        <v>1878</v>
      </c>
      <c r="G378" s="216" t="s">
        <v>1878</v>
      </c>
      <c r="H378" s="216" t="s">
        <v>1878</v>
      </c>
      <c r="I378" s="219" t="s">
        <v>1583</v>
      </c>
      <c r="J378" s="216" t="s">
        <v>1878</v>
      </c>
      <c r="K378" s="216" t="s">
        <v>1878</v>
      </c>
      <c r="L378" s="216" t="s">
        <v>1164</v>
      </c>
    </row>
    <row r="379" spans="1:14">
      <c r="C379" s="218">
        <v>1191081752</v>
      </c>
      <c r="D379" s="218">
        <v>30639960</v>
      </c>
      <c r="E379" s="218">
        <v>97998345</v>
      </c>
      <c r="F379" s="218">
        <v>35060633</v>
      </c>
      <c r="G379" s="218">
        <v>0</v>
      </c>
      <c r="H379" s="218">
        <v>346494848</v>
      </c>
      <c r="I379" s="218">
        <v>-31305102</v>
      </c>
      <c r="J379" s="218">
        <v>1076513453</v>
      </c>
      <c r="K379" s="218">
        <v>8500825</v>
      </c>
      <c r="L379" s="218">
        <v>2754984714</v>
      </c>
    </row>
    <row r="380" spans="1:14">
      <c r="A380" s="216" t="s">
        <v>1172</v>
      </c>
      <c r="C380" s="261">
        <v>0.43233697303193097</v>
      </c>
      <c r="D380" s="261">
        <v>1.1121644285101467E-2</v>
      </c>
      <c r="E380" s="261">
        <v>3.5571284480092398E-2</v>
      </c>
      <c r="F380" s="261">
        <v>1.2726253188205529E-2</v>
      </c>
      <c r="G380" s="261">
        <v>0</v>
      </c>
      <c r="H380" s="261">
        <v>0.12577015263976524</v>
      </c>
      <c r="I380" s="261">
        <v>-1.1363076477672245E-2</v>
      </c>
      <c r="J380" s="261">
        <v>0.3907511528210969</v>
      </c>
      <c r="K380" s="261">
        <v>3.0856160314797305E-3</v>
      </c>
      <c r="L380" s="261">
        <v>1.0000000000000002</v>
      </c>
      <c r="M380" s="215">
        <v>281441333.77146572</v>
      </c>
      <c r="N380" s="215">
        <v>638527467.56765795</v>
      </c>
    </row>
    <row r="381" spans="1:14">
      <c r="A381" s="216" t="s">
        <v>1173</v>
      </c>
    </row>
    <row r="382" spans="1:14">
      <c r="A382" s="216" t="s">
        <v>2589</v>
      </c>
      <c r="C382" s="218">
        <v>393590141.4595626</v>
      </c>
      <c r="D382" s="218">
        <v>10572332.736029737</v>
      </c>
      <c r="E382" s="218">
        <v>33814374.733618654</v>
      </c>
      <c r="F382" s="218">
        <v>12097687.88863649</v>
      </c>
      <c r="G382" s="218">
        <v>0</v>
      </c>
      <c r="H382" s="218">
        <v>119558209.4460763</v>
      </c>
      <c r="I382" s="218">
        <v>-10801840.208752818</v>
      </c>
      <c r="J382" s="218">
        <v>371451469.69239229</v>
      </c>
      <c r="K382" s="218">
        <v>2933213.1517798975</v>
      </c>
      <c r="L382" s="218">
        <v>919968801.33912373</v>
      </c>
    </row>
    <row r="383" spans="1:14">
      <c r="A383" s="216" t="s">
        <v>1174</v>
      </c>
      <c r="C383" s="218">
        <v>-1.6938459873199463</v>
      </c>
      <c r="D383" s="218">
        <v>0</v>
      </c>
      <c r="E383" s="218">
        <v>0</v>
      </c>
      <c r="F383" s="218">
        <v>0</v>
      </c>
      <c r="G383" s="218">
        <v>0</v>
      </c>
      <c r="H383" s="218">
        <v>0</v>
      </c>
      <c r="I383" s="218">
        <v>0</v>
      </c>
      <c r="J383" s="218">
        <v>-1</v>
      </c>
      <c r="K383" s="218">
        <v>0</v>
      </c>
      <c r="L383" s="218">
        <v>-2.6938459873199463</v>
      </c>
      <c r="M383" s="88" t="s">
        <v>3501</v>
      </c>
      <c r="N383" s="234" t="s">
        <v>1175</v>
      </c>
    </row>
    <row r="384" spans="1:14">
      <c r="A384" s="216" t="s">
        <v>1176</v>
      </c>
      <c r="C384" s="218">
        <v>-24554.051726797363</v>
      </c>
      <c r="D384" s="218">
        <v>-649</v>
      </c>
      <c r="E384" s="218">
        <v>-2075</v>
      </c>
      <c r="F384" s="218">
        <v>-742</v>
      </c>
      <c r="G384" s="218">
        <v>0</v>
      </c>
      <c r="H384" s="218">
        <v>0.4922545983259442</v>
      </c>
      <c r="I384" s="218">
        <v>-4.4474197811341522E-2</v>
      </c>
      <c r="J384" s="218">
        <v>-22792</v>
      </c>
      <c r="K384" s="218">
        <v>50811.692307689926</v>
      </c>
      <c r="L384" s="218">
        <v>8.8361293077468872E-2</v>
      </c>
    </row>
    <row r="385" spans="1:14">
      <c r="C385" s="216" t="s">
        <v>1878</v>
      </c>
      <c r="D385" s="216" t="s">
        <v>1878</v>
      </c>
      <c r="E385" s="216" t="s">
        <v>1878</v>
      </c>
      <c r="F385" s="216" t="s">
        <v>1878</v>
      </c>
      <c r="G385" s="216" t="s">
        <v>1878</v>
      </c>
      <c r="H385" s="216" t="s">
        <v>1878</v>
      </c>
      <c r="I385" s="219" t="s">
        <v>1583</v>
      </c>
      <c r="J385" s="216" t="s">
        <v>1878</v>
      </c>
      <c r="K385" s="216" t="s">
        <v>1878</v>
      </c>
      <c r="L385" s="216" t="s">
        <v>1164</v>
      </c>
      <c r="M385" s="93" t="s">
        <v>1177</v>
      </c>
    </row>
    <row r="386" spans="1:14">
      <c r="C386" s="218">
        <v>797491612.23428345</v>
      </c>
      <c r="D386" s="218">
        <v>20067627.263970263</v>
      </c>
      <c r="E386" s="218">
        <v>64183970.266381346</v>
      </c>
      <c r="F386" s="218">
        <v>22962945.111363508</v>
      </c>
      <c r="G386" s="218">
        <v>0</v>
      </c>
      <c r="H386" s="218">
        <v>226936638.5539237</v>
      </c>
      <c r="I386" s="218">
        <v>-20503261.791247182</v>
      </c>
      <c r="J386" s="218">
        <v>705061984.30760765</v>
      </c>
      <c r="K386" s="218">
        <v>5567611.8482201025</v>
      </c>
      <c r="L386" s="218">
        <v>1835015915.4430835</v>
      </c>
      <c r="M386" s="218">
        <v>1835015912.7493372</v>
      </c>
      <c r="N386" s="218">
        <v>2.6937463283538818</v>
      </c>
    </row>
    <row r="387" spans="1:14">
      <c r="C387" s="216" t="s">
        <v>736</v>
      </c>
      <c r="D387" s="216" t="s">
        <v>736</v>
      </c>
      <c r="E387" s="216" t="s">
        <v>736</v>
      </c>
      <c r="F387" s="216" t="s">
        <v>736</v>
      </c>
      <c r="G387" s="216" t="s">
        <v>736</v>
      </c>
      <c r="H387" s="216" t="s">
        <v>736</v>
      </c>
      <c r="I387" s="219" t="s">
        <v>510</v>
      </c>
      <c r="J387" s="216" t="s">
        <v>736</v>
      </c>
      <c r="K387" s="216" t="s">
        <v>736</v>
      </c>
      <c r="L387" s="216" t="s">
        <v>1178</v>
      </c>
      <c r="M387" s="88" t="s">
        <v>3501</v>
      </c>
    </row>
    <row r="388" spans="1:14">
      <c r="A388" s="216" t="s">
        <v>2564</v>
      </c>
      <c r="C388" s="261">
        <v>0.43459656429999999</v>
      </c>
      <c r="D388" s="261">
        <v>1.09359418E-2</v>
      </c>
      <c r="E388" s="261">
        <v>3.4977337099999999E-2</v>
      </c>
      <c r="F388" s="261">
        <v>1.2513758E-2</v>
      </c>
      <c r="G388" s="261">
        <v>0</v>
      </c>
      <c r="H388" s="261">
        <v>0.13088901530000002</v>
      </c>
      <c r="I388" s="261">
        <v>-1.11733428E-2</v>
      </c>
      <c r="J388" s="261">
        <v>0.38422663169999999</v>
      </c>
      <c r="K388" s="261">
        <v>3.0340946E-3</v>
      </c>
      <c r="L388" s="261">
        <v>1</v>
      </c>
    </row>
    <row r="389" spans="1:14">
      <c r="A389" s="216" t="s">
        <v>1179</v>
      </c>
      <c r="C389" s="261">
        <v>4.5095165999999999E-2</v>
      </c>
      <c r="D389" s="265">
        <v>3.0999999999999999E-3</v>
      </c>
      <c r="E389" s="261">
        <v>6.3291885199999995E-2</v>
      </c>
      <c r="F389" s="261">
        <v>6.3E-2</v>
      </c>
      <c r="G389" s="252"/>
      <c r="J389" s="265">
        <v>0.12000000000000004</v>
      </c>
      <c r="K389" s="261">
        <v>7.9600000000000004E-2</v>
      </c>
    </row>
    <row r="390" spans="1:14">
      <c r="C390" s="263" t="s">
        <v>1180</v>
      </c>
      <c r="D390" s="263" t="s">
        <v>1180</v>
      </c>
      <c r="E390" s="263" t="s">
        <v>1180</v>
      </c>
      <c r="F390" s="263" t="s">
        <v>1180</v>
      </c>
      <c r="K390" s="263" t="s">
        <v>1180</v>
      </c>
      <c r="L390" s="263" t="s">
        <v>1181</v>
      </c>
    </row>
    <row r="391" spans="1:14">
      <c r="A391" s="216" t="s">
        <v>1182</v>
      </c>
      <c r="C391" s="261">
        <v>1.95982042E-2</v>
      </c>
      <c r="D391" s="261">
        <v>3.39014E-5</v>
      </c>
      <c r="E391" s="261">
        <v>2.2137815999999999E-3</v>
      </c>
      <c r="F391" s="261">
        <v>7.8836680000000004E-4</v>
      </c>
      <c r="K391" s="261">
        <v>2.4151390000000001E-4</v>
      </c>
      <c r="L391" s="261">
        <v>2.28757679E-2</v>
      </c>
    </row>
    <row r="392" spans="1:14">
      <c r="C392" s="216" t="s">
        <v>1183</v>
      </c>
      <c r="D392" s="216" t="s">
        <v>1183</v>
      </c>
      <c r="E392" s="216" t="s">
        <v>1183</v>
      </c>
      <c r="F392" s="216" t="s">
        <v>1183</v>
      </c>
      <c r="K392" s="216" t="s">
        <v>1183</v>
      </c>
      <c r="L392" s="216" t="s">
        <v>1184</v>
      </c>
    </row>
    <row r="394" spans="1:14">
      <c r="A394" s="216" t="s">
        <v>2564</v>
      </c>
      <c r="C394" s="261">
        <v>0.43459656429999999</v>
      </c>
      <c r="D394" s="261">
        <v>1.09359418E-2</v>
      </c>
      <c r="E394" s="261">
        <v>3.4977337099999999E-2</v>
      </c>
      <c r="F394" s="261">
        <v>1.2513758E-2</v>
      </c>
      <c r="G394" s="261">
        <v>0</v>
      </c>
      <c r="H394" s="261">
        <v>0.13088901530000002</v>
      </c>
      <c r="I394" s="261">
        <v>-1.11733428E-2</v>
      </c>
      <c r="J394" s="261">
        <v>0.38422663169999999</v>
      </c>
      <c r="K394" s="261">
        <v>3.0340946E-3</v>
      </c>
      <c r="L394" s="261">
        <v>1</v>
      </c>
    </row>
    <row r="395" spans="1:14">
      <c r="A395" s="216" t="s">
        <v>1185</v>
      </c>
      <c r="C395" s="261">
        <v>4.5095165999999999E-2</v>
      </c>
      <c r="D395" s="261">
        <v>3.0999999999999999E-3</v>
      </c>
      <c r="E395" s="261">
        <v>6.3291885199999995E-2</v>
      </c>
      <c r="F395" s="261">
        <v>6.3E-2</v>
      </c>
      <c r="J395" s="265">
        <v>0.12000000000000004</v>
      </c>
      <c r="K395" s="261">
        <v>7.9600000000000004E-2</v>
      </c>
    </row>
    <row r="396" spans="1:14">
      <c r="C396" s="263" t="s">
        <v>1180</v>
      </c>
      <c r="D396" s="263" t="s">
        <v>1180</v>
      </c>
      <c r="E396" s="263" t="s">
        <v>1180</v>
      </c>
      <c r="F396" s="263" t="s">
        <v>1180</v>
      </c>
      <c r="K396" s="263" t="s">
        <v>1180</v>
      </c>
      <c r="L396" s="263" t="s">
        <v>1181</v>
      </c>
    </row>
    <row r="397" spans="1:14">
      <c r="A397" s="216" t="s">
        <v>1186</v>
      </c>
      <c r="C397" s="261">
        <v>1.95982042E-2</v>
      </c>
      <c r="D397" s="261">
        <v>3.39014E-5</v>
      </c>
      <c r="E397" s="261">
        <v>2.2137815999999999E-3</v>
      </c>
      <c r="F397" s="261">
        <v>7.8836680000000004E-4</v>
      </c>
      <c r="K397" s="261">
        <v>2.4151390000000001E-4</v>
      </c>
      <c r="L397" s="261">
        <v>2.28757679E-2</v>
      </c>
    </row>
    <row r="398" spans="1:14">
      <c r="C398" s="216" t="s">
        <v>1183</v>
      </c>
      <c r="D398" s="216" t="s">
        <v>1183</v>
      </c>
      <c r="E398" s="216" t="s">
        <v>1183</v>
      </c>
      <c r="F398" s="216" t="s">
        <v>1183</v>
      </c>
      <c r="K398" s="216" t="s">
        <v>1183</v>
      </c>
      <c r="L398" s="216" t="s">
        <v>1184</v>
      </c>
    </row>
    <row r="400" spans="1:14">
      <c r="A400" s="216" t="s">
        <v>2564</v>
      </c>
      <c r="C400" s="261">
        <v>0.43459656429999999</v>
      </c>
      <c r="D400" s="261">
        <v>1.09359418E-2</v>
      </c>
      <c r="E400" s="261">
        <v>3.4977337099999999E-2</v>
      </c>
      <c r="F400" s="261">
        <v>1.2513758E-2</v>
      </c>
      <c r="G400" s="261">
        <v>0</v>
      </c>
      <c r="H400" s="261">
        <v>0.13088901530000002</v>
      </c>
      <c r="I400" s="261">
        <v>-1.11733428E-2</v>
      </c>
      <c r="J400" s="261">
        <v>0.38422663169999999</v>
      </c>
      <c r="K400" s="261">
        <v>3.0340946E-3</v>
      </c>
      <c r="L400" s="261">
        <v>1</v>
      </c>
    </row>
    <row r="401" spans="1:12">
      <c r="A401" s="216" t="s">
        <v>1187</v>
      </c>
      <c r="C401" s="261">
        <v>4.5095165999999999E-2</v>
      </c>
      <c r="D401" s="261">
        <v>3.0999999999999999E-3</v>
      </c>
      <c r="E401" s="261">
        <v>6.3291885199999995E-2</v>
      </c>
      <c r="F401" s="261">
        <v>6.3E-2</v>
      </c>
      <c r="J401" s="265">
        <v>0.12000000000000004</v>
      </c>
      <c r="K401" s="261">
        <v>7.9600000000000004E-2</v>
      </c>
    </row>
    <row r="402" spans="1:12">
      <c r="C402" s="263" t="s">
        <v>1180</v>
      </c>
      <c r="D402" s="263" t="s">
        <v>1180</v>
      </c>
      <c r="E402" s="263" t="s">
        <v>1180</v>
      </c>
      <c r="F402" s="263" t="s">
        <v>1180</v>
      </c>
      <c r="K402" s="263" t="s">
        <v>1180</v>
      </c>
      <c r="L402" s="263" t="s">
        <v>1181</v>
      </c>
    </row>
    <row r="403" spans="1:12">
      <c r="A403" s="216" t="s">
        <v>1188</v>
      </c>
      <c r="C403" s="261">
        <v>1.95982042E-2</v>
      </c>
      <c r="D403" s="261">
        <v>3.39014E-5</v>
      </c>
      <c r="E403" s="261">
        <v>2.2137815999999999E-3</v>
      </c>
      <c r="F403" s="261">
        <v>7.8836680000000004E-4</v>
      </c>
      <c r="K403" s="261">
        <v>2.4151390000000001E-4</v>
      </c>
      <c r="L403" s="261">
        <v>2.28757679E-2</v>
      </c>
    </row>
    <row r="404" spans="1:12">
      <c r="C404" s="216" t="s">
        <v>1183</v>
      </c>
      <c r="D404" s="216" t="s">
        <v>1183</v>
      </c>
      <c r="E404" s="216" t="s">
        <v>1183</v>
      </c>
      <c r="F404" s="216" t="s">
        <v>1183</v>
      </c>
      <c r="K404" s="216" t="s">
        <v>1183</v>
      </c>
      <c r="L404" s="216" t="s">
        <v>1184</v>
      </c>
    </row>
    <row r="407" spans="1:12">
      <c r="A407" s="216" t="s">
        <v>1189</v>
      </c>
      <c r="C407" s="218">
        <v>797491612.23428345</v>
      </c>
      <c r="E407" s="218">
        <v>64183970.266381346</v>
      </c>
      <c r="J407" s="218">
        <v>705061984.30760765</v>
      </c>
      <c r="L407" s="218">
        <v>1566737566.8082724</v>
      </c>
    </row>
    <row r="408" spans="1:12">
      <c r="A408" s="216" t="s">
        <v>2564</v>
      </c>
      <c r="C408" s="261">
        <v>0.50900000000000001</v>
      </c>
      <c r="D408" s="261"/>
      <c r="E408" s="261">
        <v>4.1000000000000002E-2</v>
      </c>
      <c r="F408" s="261"/>
      <c r="G408" s="261"/>
      <c r="H408" s="261"/>
      <c r="J408" s="261">
        <v>0.45</v>
      </c>
      <c r="K408" s="261"/>
      <c r="L408" s="261">
        <v>1</v>
      </c>
    </row>
    <row r="409" spans="1:12">
      <c r="A409" s="216" t="s">
        <v>2565</v>
      </c>
      <c r="C409" s="261">
        <v>4.5095165999999999E-2</v>
      </c>
      <c r="D409" s="261"/>
      <c r="E409" s="261">
        <v>6.3291885199999995E-2</v>
      </c>
      <c r="F409" s="261"/>
      <c r="G409" s="261"/>
      <c r="H409" s="261"/>
      <c r="J409" s="265">
        <v>0.12000000000000004</v>
      </c>
    </row>
    <row r="410" spans="1:12">
      <c r="C410" s="216" t="s">
        <v>1180</v>
      </c>
      <c r="E410" s="216" t="s">
        <v>1180</v>
      </c>
      <c r="J410" s="216" t="s">
        <v>1180</v>
      </c>
      <c r="L410" s="216" t="s">
        <v>1180</v>
      </c>
    </row>
    <row r="411" spans="1:12">
      <c r="C411" s="261">
        <v>2.3E-2</v>
      </c>
      <c r="D411" s="261"/>
      <c r="E411" s="261">
        <v>2.5999999999999999E-3</v>
      </c>
      <c r="F411" s="261"/>
      <c r="G411" s="261"/>
      <c r="H411" s="261"/>
      <c r="J411" s="261">
        <v>5.3999999999999999E-2</v>
      </c>
      <c r="K411" s="261"/>
      <c r="L411" s="261">
        <v>7.9600000000000004E-2</v>
      </c>
    </row>
    <row r="412" spans="1:12">
      <c r="C412" s="216" t="s">
        <v>1183</v>
      </c>
      <c r="E412" s="216" t="s">
        <v>1183</v>
      </c>
      <c r="J412" s="216" t="s">
        <v>1183</v>
      </c>
      <c r="L412" s="216" t="s">
        <v>1183</v>
      </c>
    </row>
    <row r="421" spans="1:20">
      <c r="A421" s="216" t="s">
        <v>1190</v>
      </c>
      <c r="I421" s="224" t="s">
        <v>1148</v>
      </c>
      <c r="K421" s="216" t="s">
        <v>1191</v>
      </c>
    </row>
    <row r="422" spans="1:20">
      <c r="A422" s="216" t="s">
        <v>1192</v>
      </c>
      <c r="I422" s="224" t="s">
        <v>1151</v>
      </c>
    </row>
    <row r="423" spans="1:20">
      <c r="A423" s="216" t="s">
        <v>1557</v>
      </c>
      <c r="C423" s="216" t="s">
        <v>2528</v>
      </c>
      <c r="D423" s="216" t="s">
        <v>1152</v>
      </c>
      <c r="E423" s="216" t="s">
        <v>1153</v>
      </c>
      <c r="F423" s="216" t="s">
        <v>1154</v>
      </c>
      <c r="H423" s="216" t="s">
        <v>1193</v>
      </c>
      <c r="I423" s="224" t="s">
        <v>2655</v>
      </c>
      <c r="J423" s="216" t="s">
        <v>1155</v>
      </c>
    </row>
    <row r="424" spans="1:20">
      <c r="C424" s="216" t="s">
        <v>1156</v>
      </c>
      <c r="D424" s="216" t="s">
        <v>1157</v>
      </c>
      <c r="E424" s="216" t="s">
        <v>1158</v>
      </c>
      <c r="F424" s="216" t="s">
        <v>1159</v>
      </c>
      <c r="G424" s="216" t="s">
        <v>1160</v>
      </c>
      <c r="H424" s="216" t="s">
        <v>1194</v>
      </c>
      <c r="I424" s="224" t="s">
        <v>1098</v>
      </c>
      <c r="J424" s="216" t="s">
        <v>1161</v>
      </c>
      <c r="K424" s="216" t="s">
        <v>1162</v>
      </c>
      <c r="L424" s="216" t="s">
        <v>1163</v>
      </c>
    </row>
    <row r="425" spans="1:20">
      <c r="A425" s="216" t="s">
        <v>1195</v>
      </c>
      <c r="C425" s="216" t="s">
        <v>1878</v>
      </c>
      <c r="D425" s="216" t="s">
        <v>1878</v>
      </c>
      <c r="E425" s="216" t="s">
        <v>1878</v>
      </c>
      <c r="F425" s="216" t="s">
        <v>1878</v>
      </c>
      <c r="G425" s="216" t="s">
        <v>1878</v>
      </c>
      <c r="H425" s="216" t="s">
        <v>1878</v>
      </c>
      <c r="I425" s="219" t="s">
        <v>1583</v>
      </c>
      <c r="J425" s="216" t="s">
        <v>1878</v>
      </c>
      <c r="K425" s="216" t="s">
        <v>1878</v>
      </c>
      <c r="L425" s="216" t="s">
        <v>1164</v>
      </c>
    </row>
    <row r="426" spans="1:20">
      <c r="A426" s="216" t="s">
        <v>1196</v>
      </c>
      <c r="K426" s="216" t="s">
        <v>2528</v>
      </c>
    </row>
    <row r="427" spans="1:20">
      <c r="A427" s="216" t="s">
        <v>1167</v>
      </c>
      <c r="C427" s="218">
        <v>1191081752</v>
      </c>
      <c r="D427" s="218">
        <v>45742650</v>
      </c>
      <c r="E427" s="218">
        <v>97998345</v>
      </c>
      <c r="F427" s="218">
        <v>35060633</v>
      </c>
      <c r="G427" s="218">
        <v>0</v>
      </c>
      <c r="H427" s="218">
        <v>346494848</v>
      </c>
      <c r="I427" s="218">
        <v>-31305102</v>
      </c>
      <c r="J427" s="218">
        <v>1073746182</v>
      </c>
      <c r="K427" s="218">
        <v>8500825</v>
      </c>
      <c r="L427" s="218">
        <v>2767320133</v>
      </c>
      <c r="S427" s="216" t="s">
        <v>1197</v>
      </c>
      <c r="T427" s="218">
        <v>17750858.447780401</v>
      </c>
    </row>
    <row r="428" spans="1:20">
      <c r="A428" s="236" t="s">
        <v>1198</v>
      </c>
      <c r="C428" s="218">
        <v>0</v>
      </c>
      <c r="D428" s="218">
        <v>15102690</v>
      </c>
      <c r="E428" s="218">
        <v>0</v>
      </c>
      <c r="F428" s="218">
        <v>0</v>
      </c>
      <c r="G428" s="218">
        <v>0</v>
      </c>
      <c r="H428" s="218">
        <v>0</v>
      </c>
      <c r="I428" s="218">
        <v>0</v>
      </c>
      <c r="J428" s="218">
        <v>13498114</v>
      </c>
      <c r="K428" s="218">
        <v>0</v>
      </c>
      <c r="L428" s="218">
        <v>28600804</v>
      </c>
      <c r="S428" s="216" t="s">
        <v>1199</v>
      </c>
      <c r="T428" s="218">
        <v>0.44778040051460266</v>
      </c>
    </row>
    <row r="429" spans="1:20">
      <c r="A429" s="216" t="s">
        <v>1200</v>
      </c>
      <c r="C429" s="218">
        <v>0</v>
      </c>
      <c r="D429" s="218">
        <v>0</v>
      </c>
      <c r="E429" s="218">
        <v>0</v>
      </c>
      <c r="F429" s="218">
        <v>0</v>
      </c>
      <c r="G429" s="218">
        <v>0</v>
      </c>
      <c r="H429" s="218">
        <v>0</v>
      </c>
      <c r="I429" s="218">
        <v>0</v>
      </c>
      <c r="J429" s="218">
        <v>-16265385</v>
      </c>
      <c r="K429" s="218">
        <v>0</v>
      </c>
      <c r="L429" s="218">
        <v>-16265385</v>
      </c>
    </row>
    <row r="430" spans="1:20">
      <c r="A430" s="216" t="s">
        <v>1201</v>
      </c>
      <c r="C430" s="218">
        <v>116742287.28652766</v>
      </c>
      <c r="D430" s="218">
        <v>3824560.1637225952</v>
      </c>
      <c r="E430" s="218">
        <v>11428289.352376439</v>
      </c>
      <c r="F430" s="218">
        <v>0</v>
      </c>
      <c r="G430" s="84">
        <v>0</v>
      </c>
      <c r="H430" s="218">
        <v>19513899.413888883</v>
      </c>
      <c r="I430" s="218">
        <v>-1763040.9661084821</v>
      </c>
      <c r="J430" s="218">
        <v>99467629.727384374</v>
      </c>
      <c r="K430" s="218">
        <v>1664803.6923076899</v>
      </c>
      <c r="L430" s="218">
        <v>250878428.67009917</v>
      </c>
    </row>
    <row r="431" spans="1:20">
      <c r="A431" s="216" t="s">
        <v>1168</v>
      </c>
      <c r="B431" s="84"/>
      <c r="C431" s="218">
        <v>0</v>
      </c>
      <c r="D431" s="218">
        <v>0</v>
      </c>
      <c r="E431" s="218">
        <v>0</v>
      </c>
      <c r="F431" s="218">
        <v>0</v>
      </c>
      <c r="G431" s="218">
        <v>0</v>
      </c>
      <c r="H431" s="218">
        <v>0</v>
      </c>
      <c r="I431" s="218">
        <v>0</v>
      </c>
      <c r="J431" s="218">
        <v>0</v>
      </c>
      <c r="K431" s="218">
        <v>0</v>
      </c>
      <c r="L431" s="218">
        <v>0</v>
      </c>
    </row>
    <row r="432" spans="1:20">
      <c r="C432" s="216" t="s">
        <v>1878</v>
      </c>
      <c r="D432" s="216" t="s">
        <v>1878</v>
      </c>
      <c r="E432" s="216" t="s">
        <v>1878</v>
      </c>
      <c r="F432" s="216" t="s">
        <v>1878</v>
      </c>
      <c r="G432" s="216" t="s">
        <v>1878</v>
      </c>
      <c r="H432" s="216" t="s">
        <v>1878</v>
      </c>
      <c r="I432" s="219" t="s">
        <v>1583</v>
      </c>
      <c r="J432" s="216" t="s">
        <v>1878</v>
      </c>
      <c r="K432" s="216" t="s">
        <v>1878</v>
      </c>
      <c r="L432" s="216" t="s">
        <v>1164</v>
      </c>
      <c r="P432" s="216" t="s">
        <v>1202</v>
      </c>
    </row>
    <row r="433" spans="1:21">
      <c r="C433" s="218">
        <v>1074339464.7134724</v>
      </c>
      <c r="D433" s="218">
        <v>26815399.836277403</v>
      </c>
      <c r="E433" s="218">
        <v>86570055.647623569</v>
      </c>
      <c r="F433" s="218">
        <v>35060633</v>
      </c>
      <c r="G433" s="218">
        <v>0</v>
      </c>
      <c r="H433" s="218">
        <v>326980948.58611113</v>
      </c>
      <c r="I433" s="218">
        <v>-29542061.033891518</v>
      </c>
      <c r="J433" s="218">
        <v>977045823.27261567</v>
      </c>
      <c r="K433" s="218">
        <v>6836021.3076923098</v>
      </c>
      <c r="L433" s="218">
        <v>2504106285.3299007</v>
      </c>
      <c r="N433" s="215">
        <v>-22658.815440860817</v>
      </c>
    </row>
    <row r="434" spans="1:21">
      <c r="C434" s="261">
        <v>0.50314960338943693</v>
      </c>
      <c r="D434" s="261">
        <v>1.255856108381025E-2</v>
      </c>
      <c r="E434" s="261">
        <v>4.0543692748101899E-2</v>
      </c>
      <c r="F434" s="261"/>
      <c r="G434" s="261"/>
      <c r="I434" s="266">
        <v>-1.3835548986812399E-2</v>
      </c>
      <c r="J434" s="266">
        <v>0.45758369176546343</v>
      </c>
      <c r="L434" s="261">
        <v>1</v>
      </c>
      <c r="P434" s="224" t="s">
        <v>1203</v>
      </c>
      <c r="R434" s="224" t="s">
        <v>1090</v>
      </c>
    </row>
    <row r="435" spans="1:21">
      <c r="A435" s="216" t="s">
        <v>1204</v>
      </c>
      <c r="C435" s="218">
        <v>-24863.051726797363</v>
      </c>
      <c r="D435" s="218">
        <v>-638</v>
      </c>
      <c r="E435" s="218">
        <v>-2060</v>
      </c>
      <c r="F435" s="218">
        <v>0</v>
      </c>
      <c r="G435" s="218">
        <v>0</v>
      </c>
      <c r="H435" s="218">
        <v>0.4922545983259442</v>
      </c>
      <c r="I435" s="218">
        <v>-4.4474197811341522E-2</v>
      </c>
      <c r="J435" s="218">
        <v>-23251</v>
      </c>
      <c r="K435" s="218">
        <v>50811.692307689926</v>
      </c>
      <c r="L435" s="218">
        <v>8.8361293077468872E-2</v>
      </c>
      <c r="M435" s="218">
        <v>8.8361293077468872E-2</v>
      </c>
      <c r="P435" s="219" t="s">
        <v>1583</v>
      </c>
      <c r="Q435" s="219" t="s">
        <v>1583</v>
      </c>
      <c r="R435" s="219" t="s">
        <v>1583</v>
      </c>
    </row>
    <row r="436" spans="1:21">
      <c r="C436" s="216" t="s">
        <v>1878</v>
      </c>
      <c r="D436" s="216" t="s">
        <v>1878</v>
      </c>
      <c r="E436" s="216" t="s">
        <v>1878</v>
      </c>
      <c r="F436" s="216" t="s">
        <v>1878</v>
      </c>
      <c r="G436" s="216" t="s">
        <v>1878</v>
      </c>
      <c r="H436" s="216" t="s">
        <v>1878</v>
      </c>
      <c r="I436" s="219" t="s">
        <v>1583</v>
      </c>
      <c r="J436" s="216" t="s">
        <v>1878</v>
      </c>
      <c r="K436" s="216" t="s">
        <v>1878</v>
      </c>
      <c r="L436" s="216" t="s">
        <v>1164</v>
      </c>
    </row>
    <row r="437" spans="1:21">
      <c r="C437" s="218">
        <v>1074314601.6617455</v>
      </c>
      <c r="D437" s="218">
        <v>26814761.836277403</v>
      </c>
      <c r="E437" s="218">
        <v>86567995.647623569</v>
      </c>
      <c r="F437" s="218">
        <v>35060633</v>
      </c>
      <c r="G437" s="218">
        <v>0</v>
      </c>
      <c r="H437" s="218">
        <v>326980949.07836574</v>
      </c>
      <c r="I437" s="218">
        <v>-29542061.078365717</v>
      </c>
      <c r="J437" s="218">
        <v>977022572.27261567</v>
      </c>
      <c r="K437" s="218">
        <v>6886833</v>
      </c>
      <c r="L437" s="218">
        <v>2504106285.418262</v>
      </c>
      <c r="P437" s="224" t="s">
        <v>781</v>
      </c>
      <c r="R437" s="224" t="s">
        <v>781</v>
      </c>
    </row>
    <row r="438" spans="1:21">
      <c r="A438" s="216" t="s">
        <v>1172</v>
      </c>
      <c r="C438" s="261">
        <v>0.42902116731930262</v>
      </c>
      <c r="D438" s="261">
        <v>1.0708316173488028E-2</v>
      </c>
      <c r="E438" s="261">
        <v>3.4570415861227742E-2</v>
      </c>
      <c r="F438" s="261">
        <v>1.4001255938760525E-2</v>
      </c>
      <c r="G438" s="261">
        <v>0</v>
      </c>
      <c r="H438" s="261">
        <v>0.13057790357478774</v>
      </c>
      <c r="I438" s="261">
        <v>-1.1797446957580435E-2</v>
      </c>
      <c r="J438" s="261">
        <v>0.3901681721586443</v>
      </c>
      <c r="K438" s="261">
        <v>2.7502159313695781E-3</v>
      </c>
      <c r="L438" s="261">
        <v>1</v>
      </c>
      <c r="P438" s="224" t="s">
        <v>1205</v>
      </c>
      <c r="Q438" s="216" t="s">
        <v>1206</v>
      </c>
      <c r="R438" s="224" t="s">
        <v>1205</v>
      </c>
    </row>
    <row r="439" spans="1:21">
      <c r="A439" s="216" t="s">
        <v>1173</v>
      </c>
      <c r="P439" s="216" t="s">
        <v>1207</v>
      </c>
      <c r="Q439" s="216" t="s">
        <v>1207</v>
      </c>
      <c r="R439" s="216" t="s">
        <v>1208</v>
      </c>
    </row>
    <row r="440" spans="1:21">
      <c r="A440" s="216" t="s">
        <v>2589</v>
      </c>
      <c r="C440" s="218">
        <v>394686088.33912373</v>
      </c>
      <c r="D440" s="218">
        <v>9851317</v>
      </c>
      <c r="E440" s="218">
        <v>31803704</v>
      </c>
      <c r="F440" s="218">
        <v>12880719</v>
      </c>
      <c r="G440" s="218">
        <v>0</v>
      </c>
      <c r="H440" s="218">
        <v>120127597</v>
      </c>
      <c r="I440" s="218">
        <v>-10853283</v>
      </c>
      <c r="J440" s="218">
        <v>358942546</v>
      </c>
      <c r="K440" s="218">
        <v>2530113</v>
      </c>
      <c r="L440" s="218">
        <v>919968801.33912373</v>
      </c>
    </row>
    <row r="441" spans="1:21">
      <c r="A441" s="216" t="s">
        <v>1174</v>
      </c>
      <c r="C441" s="218">
        <v>-1.6938459873199463</v>
      </c>
      <c r="D441" s="218">
        <v>0</v>
      </c>
      <c r="E441" s="218">
        <v>0</v>
      </c>
      <c r="F441" s="218">
        <v>0</v>
      </c>
      <c r="G441" s="218">
        <v>0</v>
      </c>
      <c r="H441" s="218">
        <v>0</v>
      </c>
      <c r="I441" s="218">
        <v>0</v>
      </c>
      <c r="J441" s="218">
        <v>-1</v>
      </c>
      <c r="K441" s="218">
        <v>0</v>
      </c>
      <c r="L441" s="218">
        <v>-2.6938459873199463</v>
      </c>
      <c r="M441" s="93" t="s">
        <v>1177</v>
      </c>
      <c r="O441" s="218" t="s">
        <v>1899</v>
      </c>
      <c r="P441" s="218">
        <v>17026670</v>
      </c>
      <c r="Q441" s="218">
        <v>0</v>
      </c>
      <c r="R441" s="218">
        <v>1779130</v>
      </c>
      <c r="S441" s="215">
        <v>2522251</v>
      </c>
      <c r="T441" s="215">
        <v>-743121</v>
      </c>
    </row>
    <row r="442" spans="1:21">
      <c r="C442" s="216" t="s">
        <v>1878</v>
      </c>
      <c r="D442" s="216" t="s">
        <v>1878</v>
      </c>
      <c r="E442" s="216" t="s">
        <v>1878</v>
      </c>
      <c r="F442" s="216" t="s">
        <v>1878</v>
      </c>
      <c r="G442" s="216" t="s">
        <v>1878</v>
      </c>
      <c r="H442" s="216" t="s">
        <v>1878</v>
      </c>
      <c r="I442" s="219" t="s">
        <v>1583</v>
      </c>
      <c r="J442" s="216" t="s">
        <v>1878</v>
      </c>
      <c r="K442" s="216" t="s">
        <v>1878</v>
      </c>
      <c r="L442" s="216" t="s">
        <v>1164</v>
      </c>
      <c r="M442" s="216" t="s">
        <v>1209</v>
      </c>
      <c r="O442" s="218" t="s">
        <v>1910</v>
      </c>
      <c r="P442" s="218">
        <v>17038003</v>
      </c>
      <c r="Q442" s="218">
        <v>0</v>
      </c>
      <c r="R442" s="218">
        <v>1751607</v>
      </c>
      <c r="S442" s="215">
        <v>2494728</v>
      </c>
      <c r="T442" s="215">
        <v>-743121</v>
      </c>
      <c r="U442" s="215">
        <v>-27523</v>
      </c>
    </row>
    <row r="443" spans="1:21">
      <c r="C443" s="218">
        <v>679628515.01646781</v>
      </c>
      <c r="D443" s="218">
        <v>16963444.836277403</v>
      </c>
      <c r="E443" s="218">
        <v>54764291.647623569</v>
      </c>
      <c r="F443" s="218">
        <v>22179914</v>
      </c>
      <c r="G443" s="218">
        <v>0</v>
      </c>
      <c r="H443" s="218">
        <v>206853352.07836574</v>
      </c>
      <c r="I443" s="218">
        <v>-18688778.078365717</v>
      </c>
      <c r="J443" s="218">
        <v>618080027.27261567</v>
      </c>
      <c r="K443" s="218">
        <v>4356720</v>
      </c>
      <c r="L443" s="218">
        <v>1584137486.7729843</v>
      </c>
      <c r="M443" s="218">
        <v>1584137484.079138</v>
      </c>
      <c r="N443" s="218">
        <v>2.6938462257385254</v>
      </c>
      <c r="O443" s="218" t="s">
        <v>588</v>
      </c>
      <c r="P443" s="218">
        <v>17046207</v>
      </c>
      <c r="Q443" s="218">
        <v>0</v>
      </c>
      <c r="R443" s="218">
        <v>1724084</v>
      </c>
      <c r="S443" s="215">
        <v>2467205</v>
      </c>
      <c r="T443" s="215">
        <v>-743121</v>
      </c>
      <c r="U443" s="215">
        <v>-27523</v>
      </c>
    </row>
    <row r="444" spans="1:21">
      <c r="A444" s="216" t="s">
        <v>1210</v>
      </c>
      <c r="C444" s="251">
        <v>0.97453079183092417</v>
      </c>
      <c r="D444" s="251">
        <v>0.97453079183092417</v>
      </c>
      <c r="E444" s="251">
        <v>0.97453079183092417</v>
      </c>
      <c r="F444" s="89">
        <v>1</v>
      </c>
      <c r="G444" s="251">
        <v>0.97453079183092417</v>
      </c>
      <c r="H444" s="251">
        <v>0.97453079183092417</v>
      </c>
      <c r="I444" s="251">
        <v>0.97453079183092417</v>
      </c>
      <c r="J444" s="251">
        <v>0.97453079183092417</v>
      </c>
      <c r="K444" s="251">
        <v>0.97453079183092417</v>
      </c>
      <c r="M444" s="88" t="s">
        <v>3501</v>
      </c>
      <c r="O444" s="218" t="s">
        <v>598</v>
      </c>
      <c r="P444" s="218">
        <v>16909633.186353836</v>
      </c>
      <c r="Q444" s="218">
        <v>0</v>
      </c>
      <c r="R444" s="218">
        <v>1696561</v>
      </c>
      <c r="S444" s="215">
        <v>2439682</v>
      </c>
      <c r="T444" s="215">
        <v>-743121</v>
      </c>
      <c r="U444" s="215">
        <v>-27523</v>
      </c>
    </row>
    <row r="445" spans="1:21">
      <c r="C445" s="216" t="s">
        <v>1164</v>
      </c>
      <c r="D445" s="216" t="s">
        <v>1164</v>
      </c>
      <c r="E445" s="216" t="s">
        <v>1164</v>
      </c>
      <c r="F445" s="216" t="s">
        <v>1164</v>
      </c>
      <c r="G445" s="216" t="s">
        <v>1164</v>
      </c>
      <c r="H445" s="216" t="s">
        <v>1164</v>
      </c>
      <c r="I445" s="219" t="s">
        <v>1583</v>
      </c>
      <c r="J445" s="216" t="s">
        <v>1164</v>
      </c>
      <c r="K445" s="216" t="s">
        <v>1164</v>
      </c>
      <c r="L445" s="216" t="s">
        <v>1164</v>
      </c>
      <c r="O445" s="218" t="s">
        <v>609</v>
      </c>
      <c r="P445" s="218">
        <v>16822441.685410827</v>
      </c>
      <c r="Q445" s="218">
        <v>0</v>
      </c>
      <c r="R445" s="218">
        <v>1669038</v>
      </c>
      <c r="S445" s="215">
        <v>2412159</v>
      </c>
      <c r="T445" s="215">
        <v>-743121</v>
      </c>
      <c r="U445" s="215">
        <v>-27523</v>
      </c>
    </row>
    <row r="446" spans="1:21">
      <c r="A446" s="216" t="s">
        <v>1211</v>
      </c>
      <c r="C446" s="218">
        <v>662318915.20076466</v>
      </c>
      <c r="D446" s="218">
        <v>16531399</v>
      </c>
      <c r="E446" s="218">
        <v>53369489</v>
      </c>
      <c r="F446" s="218">
        <v>22179914</v>
      </c>
      <c r="G446" s="218">
        <v>0</v>
      </c>
      <c r="H446" s="218">
        <v>201584961</v>
      </c>
      <c r="I446" s="218">
        <v>-18212790</v>
      </c>
      <c r="J446" s="218">
        <v>602338018</v>
      </c>
      <c r="K446" s="218">
        <v>4245758</v>
      </c>
      <c r="L446" s="218">
        <v>1544355664.2007647</v>
      </c>
      <c r="O446" s="218" t="s">
        <v>618</v>
      </c>
      <c r="P446" s="218">
        <v>16847180.140945032</v>
      </c>
      <c r="Q446" s="218">
        <v>0</v>
      </c>
      <c r="R446" s="218">
        <v>1641515</v>
      </c>
      <c r="S446" s="215">
        <v>2384636</v>
      </c>
      <c r="T446" s="215">
        <v>-743121</v>
      </c>
      <c r="U446" s="215">
        <v>-27523</v>
      </c>
    </row>
    <row r="447" spans="1:21">
      <c r="C447" s="216" t="s">
        <v>736</v>
      </c>
      <c r="D447" s="216" t="s">
        <v>736</v>
      </c>
      <c r="E447" s="216" t="s">
        <v>736</v>
      </c>
      <c r="F447" s="216" t="s">
        <v>736</v>
      </c>
      <c r="G447" s="216" t="s">
        <v>736</v>
      </c>
      <c r="H447" s="216" t="s">
        <v>736</v>
      </c>
      <c r="I447" s="219" t="s">
        <v>510</v>
      </c>
      <c r="J447" s="216" t="s">
        <v>736</v>
      </c>
      <c r="K447" s="216" t="s">
        <v>736</v>
      </c>
      <c r="L447" s="216" t="s">
        <v>1178</v>
      </c>
      <c r="O447" s="218" t="s">
        <v>629</v>
      </c>
      <c r="P447" s="218">
        <v>18533227.335014995</v>
      </c>
      <c r="Q447" s="218">
        <v>0</v>
      </c>
      <c r="R447" s="218">
        <v>1613992</v>
      </c>
      <c r="S447" s="215">
        <v>2357113</v>
      </c>
      <c r="T447" s="215">
        <v>-743121</v>
      </c>
      <c r="U447" s="215">
        <v>-27523</v>
      </c>
    </row>
    <row r="448" spans="1:21">
      <c r="A448" s="216" t="s">
        <v>2564</v>
      </c>
      <c r="C448" s="261">
        <v>0.42886423800000001</v>
      </c>
      <c r="D448" s="261">
        <v>1.07043989E-2</v>
      </c>
      <c r="E448" s="261">
        <v>3.4557770799999998E-2</v>
      </c>
      <c r="F448" s="261">
        <v>1.4361921E-2</v>
      </c>
      <c r="G448" s="261">
        <v>0</v>
      </c>
      <c r="H448" s="261">
        <v>0.13053013989999998</v>
      </c>
      <c r="I448" s="261">
        <v>-1.17931319E-2</v>
      </c>
      <c r="J448" s="267">
        <v>0.39002545329999999</v>
      </c>
      <c r="K448" s="261">
        <v>2.7492100000000002E-3</v>
      </c>
      <c r="L448" s="261">
        <v>1</v>
      </c>
      <c r="O448" s="218" t="s">
        <v>639</v>
      </c>
      <c r="P448" s="218">
        <v>18812245.837698277</v>
      </c>
      <c r="Q448" s="218">
        <v>0</v>
      </c>
      <c r="R448" s="218">
        <v>1586469</v>
      </c>
      <c r="S448" s="215">
        <v>2329590</v>
      </c>
      <c r="T448" s="215">
        <v>-743121</v>
      </c>
      <c r="U448" s="215">
        <v>-27523</v>
      </c>
    </row>
    <row r="449" spans="1:21">
      <c r="A449" s="216" t="s">
        <v>1212</v>
      </c>
      <c r="C449" s="261">
        <v>4.4816358299999998E-2</v>
      </c>
      <c r="D449" s="261">
        <v>3.0999999999999999E-3</v>
      </c>
      <c r="E449" s="267">
        <v>6.3974069999999994E-2</v>
      </c>
      <c r="F449" s="261">
        <v>6.3E-2</v>
      </c>
      <c r="J449" s="265">
        <v>0.12000000000000004</v>
      </c>
      <c r="K449" s="261">
        <v>7.9951012834554316E-2</v>
      </c>
      <c r="O449" s="218" t="s">
        <v>649</v>
      </c>
      <c r="P449" s="218">
        <v>18463580.496303529</v>
      </c>
      <c r="Q449" s="218">
        <v>0</v>
      </c>
      <c r="R449" s="218">
        <v>1558946</v>
      </c>
      <c r="S449" s="215">
        <v>2302067</v>
      </c>
      <c r="T449" s="215">
        <v>-743121</v>
      </c>
      <c r="U449" s="215">
        <v>-27523</v>
      </c>
    </row>
    <row r="450" spans="1:21">
      <c r="C450" s="263" t="s">
        <v>1180</v>
      </c>
      <c r="D450" s="263" t="s">
        <v>1180</v>
      </c>
      <c r="E450" s="263" t="s">
        <v>1180</v>
      </c>
      <c r="F450" s="263" t="s">
        <v>1180</v>
      </c>
      <c r="H450" s="268"/>
      <c r="K450" s="263" t="s">
        <v>1180</v>
      </c>
      <c r="L450" s="263" t="s">
        <v>1181</v>
      </c>
      <c r="O450" s="218" t="s">
        <v>658</v>
      </c>
      <c r="P450" s="218">
        <v>18295342.029852025</v>
      </c>
      <c r="Q450" s="218">
        <v>0</v>
      </c>
      <c r="R450" s="218">
        <v>1531423</v>
      </c>
      <c r="S450" s="215">
        <v>2274544</v>
      </c>
      <c r="T450" s="215">
        <v>-743121</v>
      </c>
      <c r="U450" s="215">
        <v>-27523</v>
      </c>
    </row>
    <row r="451" spans="1:21">
      <c r="A451" s="216" t="s">
        <v>1213</v>
      </c>
      <c r="C451" s="261">
        <v>1.9220133399999999E-2</v>
      </c>
      <c r="D451" s="261">
        <v>3.3183599999999999E-5</v>
      </c>
      <c r="E451" s="261">
        <v>2.2108012000000002E-3</v>
      </c>
      <c r="F451" s="261">
        <v>9.04801E-4</v>
      </c>
      <c r="K451" s="261">
        <v>2.1980209999999999E-4</v>
      </c>
      <c r="L451" s="261">
        <v>2.25887213E-2</v>
      </c>
      <c r="O451" s="218" t="s">
        <v>669</v>
      </c>
      <c r="P451" s="218">
        <v>18238547.515634865</v>
      </c>
      <c r="Q451" s="218">
        <v>0</v>
      </c>
      <c r="R451" s="218">
        <v>1503900</v>
      </c>
      <c r="S451" s="215">
        <v>2247021</v>
      </c>
      <c r="T451" s="215">
        <v>-743121</v>
      </c>
      <c r="U451" s="215">
        <v>-27523</v>
      </c>
    </row>
    <row r="452" spans="1:21">
      <c r="C452" s="216" t="s">
        <v>1183</v>
      </c>
      <c r="D452" s="216" t="s">
        <v>1183</v>
      </c>
      <c r="E452" s="216" t="s">
        <v>1183</v>
      </c>
      <c r="F452" s="216" t="s">
        <v>1183</v>
      </c>
      <c r="K452" s="216" t="s">
        <v>1183</v>
      </c>
      <c r="L452" s="216" t="s">
        <v>1184</v>
      </c>
      <c r="O452" s="218" t="s">
        <v>679</v>
      </c>
      <c r="P452" s="218">
        <v>18288294.589272611</v>
      </c>
      <c r="Q452" s="218">
        <v>0</v>
      </c>
      <c r="R452" s="218">
        <v>1476377</v>
      </c>
      <c r="S452" s="215">
        <v>2219498</v>
      </c>
      <c r="T452" s="215">
        <v>-743121</v>
      </c>
      <c r="U452" s="215">
        <v>-27523</v>
      </c>
    </row>
    <row r="453" spans="1:21">
      <c r="O453" s="218" t="s">
        <v>1557</v>
      </c>
      <c r="P453" s="218">
        <v>18439787.004658666</v>
      </c>
      <c r="Q453" s="218">
        <v>0</v>
      </c>
      <c r="R453" s="218">
        <v>1448854</v>
      </c>
      <c r="S453" s="215">
        <v>2191975</v>
      </c>
      <c r="T453" s="215">
        <v>-743121</v>
      </c>
      <c r="U453" s="215">
        <v>-27523</v>
      </c>
    </row>
    <row r="454" spans="1:21">
      <c r="A454" s="216" t="s">
        <v>2564</v>
      </c>
      <c r="C454" s="261">
        <v>0.42886423800000001</v>
      </c>
      <c r="D454" s="261">
        <v>1.07043989E-2</v>
      </c>
      <c r="E454" s="261">
        <v>3.4557770799999998E-2</v>
      </c>
      <c r="F454" s="261">
        <v>1.4361921E-2</v>
      </c>
      <c r="G454" s="261">
        <v>0</v>
      </c>
      <c r="H454" s="261">
        <v>0.13053013989999998</v>
      </c>
      <c r="I454" s="261">
        <v>-1.17931319E-2</v>
      </c>
      <c r="J454" s="261">
        <v>0.39002545329999999</v>
      </c>
      <c r="K454" s="261">
        <v>2.7492100000000002E-3</v>
      </c>
      <c r="L454" s="261">
        <v>1</v>
      </c>
      <c r="P454" s="216" t="s">
        <v>1214</v>
      </c>
      <c r="Q454" s="216" t="s">
        <v>1214</v>
      </c>
      <c r="R454" s="216" t="s">
        <v>1208</v>
      </c>
    </row>
    <row r="455" spans="1:21">
      <c r="A455" s="216" t="s">
        <v>1215</v>
      </c>
      <c r="C455" s="261">
        <v>4.4816358299999998E-2</v>
      </c>
      <c r="D455" s="261">
        <v>3.0999999999999999E-3</v>
      </c>
      <c r="E455" s="261">
        <v>6.3974069999999994E-2</v>
      </c>
      <c r="F455" s="261">
        <v>6.3E-2</v>
      </c>
      <c r="J455" s="265">
        <v>0.12000000000000004</v>
      </c>
      <c r="K455" s="261">
        <v>7.9951012834554316E-2</v>
      </c>
      <c r="O455" s="216" t="s">
        <v>2581</v>
      </c>
      <c r="P455" s="218">
        <v>230761159.82114467</v>
      </c>
      <c r="Q455" s="218">
        <v>0</v>
      </c>
      <c r="R455" s="218">
        <v>20981896</v>
      </c>
    </row>
    <row r="456" spans="1:21">
      <c r="C456" s="263" t="s">
        <v>1180</v>
      </c>
      <c r="D456" s="263" t="s">
        <v>1180</v>
      </c>
      <c r="E456" s="263" t="s">
        <v>1180</v>
      </c>
      <c r="F456" s="263" t="s">
        <v>1180</v>
      </c>
      <c r="K456" s="263" t="s">
        <v>1180</v>
      </c>
      <c r="L456" s="263" t="s">
        <v>1181</v>
      </c>
      <c r="O456" s="216" t="s">
        <v>1216</v>
      </c>
      <c r="P456" s="218">
        <v>17750858</v>
      </c>
      <c r="Q456" s="218">
        <v>0</v>
      </c>
      <c r="R456" s="218">
        <v>1613992</v>
      </c>
    </row>
    <row r="457" spans="1:21">
      <c r="A457" s="216" t="s">
        <v>1217</v>
      </c>
      <c r="C457" s="267">
        <v>1.9220133399999999E-2</v>
      </c>
      <c r="D457" s="267">
        <v>3.3183599999999999E-5</v>
      </c>
      <c r="E457" s="267">
        <v>2.2108012000000002E-3</v>
      </c>
      <c r="F457" s="267">
        <v>9.04801E-4</v>
      </c>
      <c r="K457" s="267">
        <v>2.1980209999999999E-4</v>
      </c>
      <c r="L457" s="261">
        <v>2.25887213E-2</v>
      </c>
    </row>
    <row r="458" spans="1:21">
      <c r="C458" s="216" t="s">
        <v>1183</v>
      </c>
      <c r="D458" s="216" t="s">
        <v>1183</v>
      </c>
      <c r="E458" s="216" t="s">
        <v>1183</v>
      </c>
      <c r="F458" s="216" t="s">
        <v>1183</v>
      </c>
      <c r="J458" s="264"/>
      <c r="K458" s="216" t="s">
        <v>1183</v>
      </c>
      <c r="L458" s="216" t="s">
        <v>1184</v>
      </c>
    </row>
    <row r="460" spans="1:21">
      <c r="A460" s="216" t="s">
        <v>2564</v>
      </c>
      <c r="C460" s="261">
        <v>0.42886423800000001</v>
      </c>
      <c r="D460" s="261">
        <v>1.07043989E-2</v>
      </c>
      <c r="E460" s="261">
        <v>3.4557770799999998E-2</v>
      </c>
      <c r="F460" s="261">
        <v>1.4361921E-2</v>
      </c>
      <c r="G460" s="261">
        <v>0</v>
      </c>
      <c r="H460" s="261">
        <v>0.13053013989999998</v>
      </c>
      <c r="I460" s="261">
        <v>-1.17931319E-2</v>
      </c>
      <c r="J460" s="261">
        <v>0.39002545329999999</v>
      </c>
      <c r="K460" s="261">
        <v>2.7492100000000002E-3</v>
      </c>
      <c r="L460" s="261">
        <v>1</v>
      </c>
    </row>
    <row r="461" spans="1:21">
      <c r="A461" s="216" t="s">
        <v>1218</v>
      </c>
      <c r="C461" s="261">
        <v>4.4816358299999998E-2</v>
      </c>
      <c r="D461" s="261">
        <v>3.0999999999999999E-3</v>
      </c>
      <c r="E461" s="261">
        <v>6.3974069999999994E-2</v>
      </c>
      <c r="F461" s="261">
        <v>6.3E-2</v>
      </c>
      <c r="J461" s="265">
        <v>0.12000000000000004</v>
      </c>
      <c r="K461" s="261">
        <v>7.9951012834554316E-2</v>
      </c>
    </row>
    <row r="462" spans="1:21">
      <c r="C462" s="263" t="s">
        <v>1180</v>
      </c>
      <c r="D462" s="263" t="s">
        <v>1180</v>
      </c>
      <c r="E462" s="263" t="s">
        <v>1180</v>
      </c>
      <c r="F462" s="263" t="s">
        <v>1180</v>
      </c>
      <c r="K462" s="263" t="s">
        <v>1180</v>
      </c>
      <c r="L462" s="263" t="s">
        <v>1181</v>
      </c>
    </row>
    <row r="463" spans="1:21">
      <c r="A463" s="216" t="s">
        <v>1219</v>
      </c>
      <c r="C463" s="261">
        <v>1.9220133399999999E-2</v>
      </c>
      <c r="D463" s="261">
        <v>3.3183599999999999E-5</v>
      </c>
      <c r="E463" s="261">
        <v>2.2108012000000002E-3</v>
      </c>
      <c r="F463" s="261">
        <v>9.04801E-4</v>
      </c>
      <c r="K463" s="261">
        <v>2.1980209999999999E-4</v>
      </c>
      <c r="L463" s="261">
        <v>2.25887213E-2</v>
      </c>
    </row>
    <row r="464" spans="1:21">
      <c r="C464" s="216" t="s">
        <v>1183</v>
      </c>
      <c r="D464" s="216" t="s">
        <v>1183</v>
      </c>
      <c r="E464" s="216" t="s">
        <v>1183</v>
      </c>
      <c r="F464" s="216" t="s">
        <v>1183</v>
      </c>
      <c r="K464" s="216" t="s">
        <v>1183</v>
      </c>
      <c r="L464" s="216" t="s">
        <v>1184</v>
      </c>
    </row>
    <row r="467" spans="1:12">
      <c r="A467" s="216" t="s">
        <v>1220</v>
      </c>
      <c r="C467" s="261">
        <v>0.43024573820000001</v>
      </c>
      <c r="D467" s="261">
        <v>1.07043989E-2</v>
      </c>
      <c r="E467" s="261">
        <v>3.4669091700000002E-2</v>
      </c>
      <c r="F467" s="261">
        <v>1.4361921E-2</v>
      </c>
      <c r="G467" s="261">
        <v>0</v>
      </c>
      <c r="H467" s="261">
        <v>0.13053014000000004</v>
      </c>
      <c r="I467" s="261">
        <v>-1.17931319E-2</v>
      </c>
      <c r="J467" s="261">
        <v>0.3912818421</v>
      </c>
      <c r="L467" s="261">
        <v>1</v>
      </c>
    </row>
    <row r="468" spans="1:12">
      <c r="A468" s="216" t="s">
        <v>1221</v>
      </c>
      <c r="C468" s="261">
        <v>4.4816358299999998E-2</v>
      </c>
      <c r="D468" s="261">
        <v>3.0999999999999999E-3</v>
      </c>
      <c r="E468" s="261">
        <v>6.3974069999999994E-2</v>
      </c>
      <c r="F468" s="261">
        <v>6.3E-2</v>
      </c>
    </row>
    <row r="469" spans="1:12">
      <c r="C469" s="263" t="s">
        <v>1180</v>
      </c>
      <c r="D469" s="263" t="s">
        <v>1180</v>
      </c>
      <c r="E469" s="263" t="s">
        <v>1180</v>
      </c>
      <c r="F469" s="263" t="s">
        <v>1180</v>
      </c>
      <c r="L469" s="263" t="s">
        <v>1181</v>
      </c>
    </row>
    <row r="470" spans="1:12">
      <c r="A470" s="216" t="s">
        <v>1222</v>
      </c>
      <c r="C470" s="261">
        <v>1.9282047199999999E-2</v>
      </c>
      <c r="D470" s="261">
        <v>3.3183599999999999E-5</v>
      </c>
      <c r="E470" s="261">
        <v>2.2179229000000001E-3</v>
      </c>
      <c r="F470" s="261">
        <v>9.04801E-4</v>
      </c>
      <c r="L470" s="261">
        <v>2.2437954699999998E-2</v>
      </c>
    </row>
    <row r="471" spans="1:12">
      <c r="C471" s="216" t="s">
        <v>1183</v>
      </c>
      <c r="D471" s="216" t="s">
        <v>1183</v>
      </c>
      <c r="E471" s="216" t="s">
        <v>1183</v>
      </c>
      <c r="F471" s="216" t="s">
        <v>1183</v>
      </c>
      <c r="L471" s="216" t="s">
        <v>1184</v>
      </c>
    </row>
    <row r="472" spans="1:12">
      <c r="C472" s="226" t="s">
        <v>1223</v>
      </c>
      <c r="E472" s="226" t="s">
        <v>1224</v>
      </c>
      <c r="J472" s="226" t="s">
        <v>1225</v>
      </c>
    </row>
    <row r="473" spans="1:12">
      <c r="A473" s="216" t="s">
        <v>1189</v>
      </c>
      <c r="C473" s="218">
        <v>662318915.20076466</v>
      </c>
      <c r="E473" s="218">
        <v>53369489</v>
      </c>
      <c r="J473" s="218">
        <v>602338018</v>
      </c>
      <c r="L473" s="218">
        <v>1318026422.2007647</v>
      </c>
    </row>
    <row r="474" spans="1:12">
      <c r="A474" s="216" t="s">
        <v>2564</v>
      </c>
      <c r="C474" s="261">
        <v>0.50250807119242924</v>
      </c>
      <c r="D474" s="261"/>
      <c r="E474" s="261">
        <v>4.0491972012887796E-2</v>
      </c>
      <c r="F474" s="261"/>
      <c r="G474" s="261"/>
      <c r="H474" s="261"/>
      <c r="J474" s="261">
        <v>0.45699995679468297</v>
      </c>
      <c r="K474" s="261"/>
      <c r="L474" s="261">
        <v>1</v>
      </c>
    </row>
    <row r="475" spans="1:12">
      <c r="A475" s="216" t="s">
        <v>2565</v>
      </c>
      <c r="C475" s="261">
        <v>4.4816358299999998E-2</v>
      </c>
      <c r="D475" s="261"/>
      <c r="E475" s="261">
        <v>6.3974069999999994E-2</v>
      </c>
      <c r="F475" s="261"/>
      <c r="G475" s="261"/>
      <c r="H475" s="261"/>
      <c r="J475" s="265">
        <v>0.12000000000000004</v>
      </c>
    </row>
    <row r="476" spans="1:12">
      <c r="C476" s="216" t="s">
        <v>1180</v>
      </c>
      <c r="E476" s="216" t="s">
        <v>1180</v>
      </c>
      <c r="J476" s="216" t="s">
        <v>1180</v>
      </c>
      <c r="L476" s="216" t="s">
        <v>1180</v>
      </c>
    </row>
    <row r="477" spans="1:12">
      <c r="C477" s="261">
        <v>2.2520581767201817E-2</v>
      </c>
      <c r="D477" s="261"/>
      <c r="E477" s="261">
        <v>2.5904362519905246E-3</v>
      </c>
      <c r="F477" s="261"/>
      <c r="G477" s="261"/>
      <c r="H477" s="261"/>
      <c r="J477" s="261">
        <v>5.4839994815361975E-2</v>
      </c>
      <c r="K477" s="261"/>
      <c r="L477" s="261">
        <v>7.9951012834554316E-2</v>
      </c>
    </row>
    <row r="478" spans="1:12">
      <c r="C478" s="216" t="s">
        <v>1183</v>
      </c>
      <c r="E478" s="216" t="s">
        <v>1183</v>
      </c>
      <c r="J478" s="216" t="s">
        <v>1183</v>
      </c>
      <c r="L478" s="216" t="s">
        <v>1183</v>
      </c>
    </row>
    <row r="481" spans="1:14">
      <c r="A481" s="216" t="s">
        <v>2155</v>
      </c>
      <c r="G481" s="216" t="s">
        <v>2155</v>
      </c>
    </row>
    <row r="482" spans="1:14">
      <c r="A482" s="216" t="s">
        <v>1226</v>
      </c>
      <c r="G482" s="216" t="s">
        <v>2555</v>
      </c>
      <c r="N482" s="216" t="s">
        <v>2554</v>
      </c>
    </row>
    <row r="483" spans="1:14">
      <c r="A483" s="216" t="s">
        <v>1227</v>
      </c>
      <c r="G483" s="216" t="s">
        <v>2556</v>
      </c>
    </row>
    <row r="484" spans="1:14">
      <c r="A484" s="216" t="s">
        <v>1557</v>
      </c>
      <c r="G484" s="216" t="s">
        <v>1557</v>
      </c>
    </row>
    <row r="490" spans="1:14">
      <c r="I490" s="216" t="s">
        <v>1228</v>
      </c>
      <c r="K490" s="216" t="s">
        <v>1229</v>
      </c>
      <c r="M490" s="216" t="s">
        <v>1230</v>
      </c>
    </row>
    <row r="491" spans="1:14">
      <c r="E491" s="216" t="s">
        <v>3610</v>
      </c>
    </row>
    <row r="492" spans="1:14">
      <c r="C492" s="224" t="s">
        <v>2561</v>
      </c>
      <c r="D492" s="224" t="s">
        <v>2562</v>
      </c>
      <c r="G492" s="224" t="s">
        <v>2563</v>
      </c>
      <c r="H492" s="224" t="s">
        <v>2564</v>
      </c>
      <c r="I492" s="224" t="s">
        <v>2565</v>
      </c>
      <c r="J492" s="224" t="s">
        <v>2566</v>
      </c>
      <c r="K492" s="224" t="s">
        <v>2565</v>
      </c>
      <c r="L492" s="224" t="s">
        <v>2566</v>
      </c>
      <c r="M492" s="224" t="s">
        <v>2565</v>
      </c>
      <c r="N492" s="224" t="s">
        <v>2566</v>
      </c>
    </row>
    <row r="493" spans="1:14">
      <c r="A493" s="216" t="s">
        <v>3611</v>
      </c>
      <c r="C493" s="224" t="s">
        <v>2568</v>
      </c>
      <c r="D493" s="224" t="s">
        <v>2568</v>
      </c>
      <c r="E493" s="224" t="s">
        <v>2569</v>
      </c>
      <c r="F493" s="224" t="s">
        <v>2570</v>
      </c>
      <c r="G493" s="224" t="s">
        <v>2562</v>
      </c>
      <c r="H493" s="224" t="s">
        <v>2571</v>
      </c>
      <c r="I493" s="224" t="s">
        <v>2571</v>
      </c>
      <c r="J493" s="224" t="s">
        <v>2571</v>
      </c>
      <c r="K493" s="224" t="s">
        <v>2571</v>
      </c>
      <c r="L493" s="224" t="s">
        <v>2571</v>
      </c>
      <c r="M493" s="224" t="s">
        <v>2571</v>
      </c>
      <c r="N493" s="224" t="s">
        <v>2571</v>
      </c>
    </row>
    <row r="494" spans="1:14">
      <c r="F494" s="218">
        <v>0</v>
      </c>
    </row>
    <row r="495" spans="1:14">
      <c r="A495" s="216" t="s">
        <v>2572</v>
      </c>
      <c r="C495" s="218">
        <v>1191081752</v>
      </c>
      <c r="D495" s="218">
        <v>1052221620.2007647</v>
      </c>
      <c r="E495" s="218">
        <v>-389902705</v>
      </c>
      <c r="F495" s="218">
        <v>0</v>
      </c>
      <c r="G495" s="218">
        <v>662318915.20076466</v>
      </c>
      <c r="H495" s="269">
        <v>42.886423804700001</v>
      </c>
      <c r="I495" s="269">
        <v>4.4816358300000001</v>
      </c>
      <c r="J495" s="269">
        <v>1.9220133354</v>
      </c>
      <c r="K495" s="269">
        <v>4.4816358300000001</v>
      </c>
      <c r="L495" s="269">
        <v>1.9220133354</v>
      </c>
      <c r="M495" s="269">
        <v>4.4816358300000001</v>
      </c>
      <c r="N495" s="269">
        <v>1.9220133354</v>
      </c>
    </row>
    <row r="496" spans="1:14">
      <c r="A496" s="216" t="s">
        <v>2573</v>
      </c>
      <c r="C496" s="218">
        <v>45742650</v>
      </c>
      <c r="D496" s="218">
        <v>26263323</v>
      </c>
      <c r="E496" s="218">
        <v>-9731924</v>
      </c>
      <c r="F496" s="218">
        <v>0</v>
      </c>
      <c r="G496" s="218">
        <v>16531399</v>
      </c>
      <c r="H496" s="269">
        <v>1.0704398852999999</v>
      </c>
      <c r="I496" s="269">
        <v>0.31</v>
      </c>
      <c r="J496" s="269">
        <v>3.3183636000000002E-3</v>
      </c>
      <c r="K496" s="269">
        <v>0.31</v>
      </c>
      <c r="L496" s="269">
        <v>3.3183636000000002E-3</v>
      </c>
      <c r="M496" s="269">
        <v>0.31</v>
      </c>
      <c r="N496" s="269">
        <v>3.3183636000000002E-3</v>
      </c>
    </row>
    <row r="497" spans="1:20">
      <c r="A497" s="216" t="s">
        <v>2574</v>
      </c>
      <c r="C497" s="218">
        <v>97998345</v>
      </c>
      <c r="D497" s="218">
        <v>84787749</v>
      </c>
      <c r="E497" s="218">
        <v>-31418260</v>
      </c>
      <c r="F497" s="218">
        <v>0</v>
      </c>
      <c r="G497" s="218">
        <v>53369489</v>
      </c>
      <c r="H497" s="269">
        <v>3.4557770749999999</v>
      </c>
      <c r="I497" s="269">
        <v>6.3974069999999994</v>
      </c>
      <c r="J497" s="269">
        <v>0.2210801245</v>
      </c>
      <c r="K497" s="269">
        <v>6.3974069999999994</v>
      </c>
      <c r="L497" s="269">
        <v>0.2210801245</v>
      </c>
      <c r="M497" s="269">
        <v>6.3974069999999994</v>
      </c>
      <c r="N497" s="269">
        <v>0.2210801245</v>
      </c>
    </row>
    <row r="498" spans="1:20">
      <c r="A498" s="216" t="s">
        <v>2575</v>
      </c>
      <c r="C498" s="218">
        <v>35060633</v>
      </c>
      <c r="D498" s="218">
        <v>35237081</v>
      </c>
      <c r="E498" s="218">
        <v>-13057167</v>
      </c>
      <c r="F498" s="218">
        <v>0</v>
      </c>
      <c r="G498" s="218">
        <v>22179914</v>
      </c>
      <c r="H498" s="269">
        <v>1.4361920971</v>
      </c>
      <c r="I498" s="269">
        <v>6.3</v>
      </c>
      <c r="J498" s="269">
        <v>9.0480102100000001E-2</v>
      </c>
      <c r="K498" s="269">
        <v>6.3</v>
      </c>
      <c r="L498" s="269">
        <v>9.0480102100000001E-2</v>
      </c>
      <c r="M498" s="269">
        <v>6.3</v>
      </c>
      <c r="N498" s="269">
        <v>9.0480102100000001E-2</v>
      </c>
    </row>
    <row r="499" spans="1:20">
      <c r="A499" s="216" t="s">
        <v>2576</v>
      </c>
      <c r="C499" s="218">
        <v>1073746182</v>
      </c>
      <c r="D499" s="218">
        <v>956930371</v>
      </c>
      <c r="E499" s="218">
        <v>-354592353</v>
      </c>
      <c r="F499" s="218">
        <v>0</v>
      </c>
      <c r="G499" s="218">
        <v>602338018</v>
      </c>
      <c r="H499" s="269">
        <v>39.002545330899999</v>
      </c>
      <c r="I499" s="269">
        <v>10.750000000000004</v>
      </c>
      <c r="J499" s="269">
        <v>4.1927736230999999</v>
      </c>
      <c r="K499" s="269">
        <v>12.000000000000004</v>
      </c>
      <c r="L499" s="269">
        <v>4.6803054396999997</v>
      </c>
      <c r="M499" s="269">
        <v>12.750000000000004</v>
      </c>
      <c r="N499" s="269">
        <v>4.9728245297000004</v>
      </c>
    </row>
    <row r="500" spans="1:20">
      <c r="A500" s="216" t="s">
        <v>2577</v>
      </c>
      <c r="C500" s="218">
        <v>346494848</v>
      </c>
      <c r="D500" s="218">
        <v>320256676</v>
      </c>
      <c r="E500" s="218">
        <v>-118671715</v>
      </c>
      <c r="F500" s="218">
        <v>0</v>
      </c>
      <c r="G500" s="218">
        <v>201584961</v>
      </c>
      <c r="H500" s="269">
        <v>13.053013996200011</v>
      </c>
    </row>
    <row r="501" spans="1:20">
      <c r="A501" s="216" t="s">
        <v>2578</v>
      </c>
      <c r="C501" s="218">
        <v>-31305102</v>
      </c>
      <c r="D501" s="218">
        <v>-28934537.190769196</v>
      </c>
      <c r="E501" s="218">
        <v>10721747.190769196</v>
      </c>
      <c r="F501" s="218">
        <v>0</v>
      </c>
      <c r="G501" s="218">
        <v>-18212790</v>
      </c>
      <c r="H501" s="269">
        <v>-1.1793131869</v>
      </c>
    </row>
    <row r="502" spans="1:20">
      <c r="A502" s="216" t="s">
        <v>2579</v>
      </c>
      <c r="C502" s="218">
        <v>0</v>
      </c>
      <c r="D502" s="218">
        <v>0</v>
      </c>
      <c r="E502" s="218">
        <v>0</v>
      </c>
      <c r="F502" s="218">
        <v>0</v>
      </c>
      <c r="G502" s="218">
        <v>0</v>
      </c>
      <c r="H502" s="269">
        <v>0</v>
      </c>
      <c r="I502" s="269"/>
      <c r="S502" s="215" t="s">
        <v>3612</v>
      </c>
    </row>
    <row r="503" spans="1:20">
      <c r="A503" s="216" t="s">
        <v>2580</v>
      </c>
      <c r="C503" s="218">
        <v>8500825</v>
      </c>
      <c r="D503" s="218">
        <v>6745207</v>
      </c>
      <c r="E503" s="218">
        <v>-2499449</v>
      </c>
      <c r="F503" s="218">
        <v>0</v>
      </c>
      <c r="G503" s="218">
        <v>4245758</v>
      </c>
      <c r="H503" s="269">
        <v>0.2749209977</v>
      </c>
      <c r="I503" s="269">
        <v>7.4238513375000004</v>
      </c>
      <c r="J503" s="269">
        <v>2.0409726199999999E-2</v>
      </c>
      <c r="K503" s="269">
        <v>7.9951012835000004</v>
      </c>
      <c r="L503" s="269">
        <v>2.1980212200000002E-2</v>
      </c>
      <c r="M503" s="269">
        <v>8.3378512511</v>
      </c>
      <c r="N503" s="269">
        <v>2.2922503800000001E-2</v>
      </c>
    </row>
    <row r="504" spans="1:20">
      <c r="C504" s="216" t="s">
        <v>708</v>
      </c>
      <c r="D504" s="216" t="s">
        <v>708</v>
      </c>
      <c r="E504" s="216" t="s">
        <v>708</v>
      </c>
      <c r="F504" s="216" t="s">
        <v>708</v>
      </c>
      <c r="G504" s="216" t="s">
        <v>708</v>
      </c>
      <c r="H504" s="270" t="s">
        <v>1102</v>
      </c>
      <c r="J504" s="270" t="s">
        <v>1322</v>
      </c>
      <c r="L504" s="270" t="s">
        <v>1102</v>
      </c>
      <c r="N504" s="216" t="s">
        <v>708</v>
      </c>
      <c r="S504" s="85" t="s">
        <v>1323</v>
      </c>
      <c r="T504" s="85">
        <v>64966</v>
      </c>
    </row>
    <row r="505" spans="1:20">
      <c r="A505" s="216" t="s">
        <v>2581</v>
      </c>
      <c r="C505" s="218">
        <v>2767320133</v>
      </c>
      <c r="D505" s="218">
        <v>2453507490.0099955</v>
      </c>
      <c r="E505" s="218">
        <v>-909151825.8092308</v>
      </c>
      <c r="F505" s="218">
        <v>0</v>
      </c>
      <c r="G505" s="218">
        <v>1544355664.2007647</v>
      </c>
      <c r="H505" s="269">
        <v>100</v>
      </c>
      <c r="J505" s="269">
        <v>6.4500752748999988</v>
      </c>
      <c r="K505" s="216" t="s">
        <v>2582</v>
      </c>
      <c r="L505" s="269">
        <v>6.9391775774999997</v>
      </c>
      <c r="M505" s="216" t="s">
        <v>2582</v>
      </c>
      <c r="N505" s="269">
        <v>7.2326389591000009</v>
      </c>
      <c r="O505" s="216" t="s">
        <v>2582</v>
      </c>
      <c r="S505" s="85" t="s">
        <v>1324</v>
      </c>
      <c r="T505" s="85">
        <v>48694</v>
      </c>
    </row>
    <row r="506" spans="1:20">
      <c r="C506" s="216" t="s">
        <v>1325</v>
      </c>
      <c r="D506" s="216" t="s">
        <v>1325</v>
      </c>
      <c r="E506" s="216" t="s">
        <v>1325</v>
      </c>
      <c r="F506" s="216" t="s">
        <v>1325</v>
      </c>
      <c r="G506" s="216" t="s">
        <v>1325</v>
      </c>
      <c r="H506" s="216" t="s">
        <v>1108</v>
      </c>
      <c r="J506" s="216" t="s">
        <v>1326</v>
      </c>
      <c r="L506" s="270" t="s">
        <v>1108</v>
      </c>
      <c r="N506" s="216" t="s">
        <v>1325</v>
      </c>
      <c r="S506" s="85" t="s">
        <v>1327</v>
      </c>
      <c r="T506" s="85">
        <v>32443</v>
      </c>
    </row>
    <row r="507" spans="1:20">
      <c r="S507" s="85" t="s">
        <v>1328</v>
      </c>
      <c r="T507" s="85">
        <v>16211</v>
      </c>
    </row>
    <row r="508" spans="1:20">
      <c r="J508" s="271"/>
      <c r="L508" s="271"/>
      <c r="N508" s="271"/>
      <c r="S508" s="93" t="s">
        <v>1329</v>
      </c>
      <c r="T508" s="93">
        <v>0</v>
      </c>
    </row>
    <row r="509" spans="1:20">
      <c r="S509" s="85" t="s">
        <v>1330</v>
      </c>
      <c r="T509" s="85">
        <v>179098</v>
      </c>
    </row>
    <row r="510" spans="1:20">
      <c r="S510" s="85" t="s">
        <v>1331</v>
      </c>
      <c r="T510" s="85">
        <v>162766</v>
      </c>
    </row>
    <row r="511" spans="1:20">
      <c r="S511" s="85" t="s">
        <v>1332</v>
      </c>
      <c r="T511" s="85">
        <v>146448</v>
      </c>
    </row>
    <row r="512" spans="1:20">
      <c r="A512" s="216" t="s">
        <v>2155</v>
      </c>
      <c r="S512" s="85" t="s">
        <v>1333</v>
      </c>
      <c r="T512" s="85">
        <v>130143</v>
      </c>
    </row>
    <row r="513" spans="1:24">
      <c r="A513" s="216" t="s">
        <v>1226</v>
      </c>
      <c r="S513" s="85" t="s">
        <v>1334</v>
      </c>
      <c r="T513" s="85">
        <v>113849</v>
      </c>
    </row>
    <row r="514" spans="1:24">
      <c r="A514" s="215" t="s">
        <v>25</v>
      </c>
      <c r="S514" s="85" t="s">
        <v>1335</v>
      </c>
      <c r="T514" s="85">
        <v>97570</v>
      </c>
    </row>
    <row r="515" spans="1:24">
      <c r="A515" s="215" t="s">
        <v>1557</v>
      </c>
      <c r="I515" s="167" t="s">
        <v>2557</v>
      </c>
      <c r="J515" s="167"/>
      <c r="K515" s="167" t="s">
        <v>2558</v>
      </c>
      <c r="L515" s="167"/>
      <c r="M515" s="167" t="s">
        <v>2559</v>
      </c>
      <c r="N515" s="167"/>
      <c r="S515" s="85" t="s">
        <v>1336</v>
      </c>
      <c r="T515" s="85">
        <v>81259</v>
      </c>
    </row>
    <row r="516" spans="1:24" ht="13.5" thickBot="1">
      <c r="E516" s="272" t="s">
        <v>2560</v>
      </c>
      <c r="F516" s="272"/>
      <c r="H516" s="273"/>
      <c r="I516" s="273"/>
      <c r="J516" s="273"/>
    </row>
    <row r="517" spans="1:24">
      <c r="C517" s="224" t="s">
        <v>2561</v>
      </c>
      <c r="D517" s="224" t="s">
        <v>2562</v>
      </c>
      <c r="E517" s="274"/>
      <c r="F517" s="274"/>
      <c r="G517" s="224" t="s">
        <v>2563</v>
      </c>
      <c r="H517" s="224" t="s">
        <v>2564</v>
      </c>
      <c r="I517" s="224" t="s">
        <v>2565</v>
      </c>
      <c r="J517" s="224" t="s">
        <v>2566</v>
      </c>
      <c r="K517" s="224" t="s">
        <v>2565</v>
      </c>
      <c r="L517" s="224" t="s">
        <v>2566</v>
      </c>
      <c r="M517" s="224" t="s">
        <v>2565</v>
      </c>
      <c r="N517" s="224" t="s">
        <v>2566</v>
      </c>
    </row>
    <row r="518" spans="1:24" ht="13.5" thickBot="1">
      <c r="A518" s="216" t="s">
        <v>3611</v>
      </c>
      <c r="C518" s="224" t="s">
        <v>2568</v>
      </c>
      <c r="D518" s="224" t="s">
        <v>2568</v>
      </c>
      <c r="E518" s="224" t="s">
        <v>2569</v>
      </c>
      <c r="F518" s="224" t="s">
        <v>2570</v>
      </c>
      <c r="G518" s="224" t="s">
        <v>2562</v>
      </c>
      <c r="H518" s="224" t="s">
        <v>2571</v>
      </c>
      <c r="I518" s="224" t="s">
        <v>2571</v>
      </c>
      <c r="J518" s="224" t="s">
        <v>2571</v>
      </c>
      <c r="K518" s="224" t="s">
        <v>2571</v>
      </c>
      <c r="L518" s="224" t="s">
        <v>2571</v>
      </c>
      <c r="M518" s="224" t="s">
        <v>2571</v>
      </c>
      <c r="N518" s="224" t="s">
        <v>2571</v>
      </c>
      <c r="P518" s="275" t="s">
        <v>1337</v>
      </c>
      <c r="S518" s="215" t="s">
        <v>14</v>
      </c>
      <c r="T518" s="167" t="s">
        <v>2560</v>
      </c>
      <c r="U518" s="167"/>
      <c r="V518" s="226" t="s">
        <v>1338</v>
      </c>
      <c r="X518" s="167"/>
    </row>
    <row r="519" spans="1:24">
      <c r="C519" s="274"/>
      <c r="D519" s="274"/>
      <c r="E519" s="274"/>
      <c r="F519" s="274"/>
      <c r="G519" s="274"/>
      <c r="H519" s="274"/>
      <c r="I519" s="274"/>
      <c r="J519" s="274"/>
      <c r="K519" s="274"/>
      <c r="L519" s="274"/>
      <c r="M519" s="274"/>
      <c r="N519" s="274"/>
      <c r="S519" s="276" t="s">
        <v>1177</v>
      </c>
      <c r="T519" s="167" t="s">
        <v>2570</v>
      </c>
      <c r="U519" s="167" t="s">
        <v>1339</v>
      </c>
      <c r="V519" s="167" t="s">
        <v>1177</v>
      </c>
    </row>
    <row r="520" spans="1:24">
      <c r="A520" s="216" t="s">
        <v>2572</v>
      </c>
      <c r="C520" s="215">
        <v>1191081752</v>
      </c>
      <c r="D520" s="218">
        <v>1052221620.2007647</v>
      </c>
      <c r="E520" s="218">
        <v>-389902705</v>
      </c>
      <c r="F520" s="215">
        <v>0</v>
      </c>
      <c r="G520" s="215">
        <v>662318915.20076466</v>
      </c>
      <c r="H520" s="269">
        <v>42.886423804700001</v>
      </c>
      <c r="I520" s="243">
        <v>4.4816358300000001</v>
      </c>
      <c r="J520" s="269">
        <v>1.9220133354</v>
      </c>
      <c r="K520" s="277">
        <v>4.4816358300000001</v>
      </c>
      <c r="L520" s="269">
        <v>1.9220133354</v>
      </c>
      <c r="M520" s="277">
        <v>4.4816358300000001</v>
      </c>
      <c r="N520" s="269">
        <v>1.9220133354</v>
      </c>
      <c r="P520" s="215">
        <v>0</v>
      </c>
      <c r="R520" s="215" t="s">
        <v>1340</v>
      </c>
      <c r="S520" s="215">
        <v>662318915.20076466</v>
      </c>
      <c r="T520" s="215">
        <v>0</v>
      </c>
      <c r="U520" s="215">
        <v>0</v>
      </c>
      <c r="V520" s="215">
        <v>662318915.20076466</v>
      </c>
      <c r="W520" s="278">
        <v>0.42886423804682849</v>
      </c>
    </row>
    <row r="521" spans="1:24">
      <c r="A521" s="216" t="s">
        <v>2573</v>
      </c>
      <c r="C521" s="215">
        <v>45742650</v>
      </c>
      <c r="D521" s="218">
        <v>26263323</v>
      </c>
      <c r="E521" s="218">
        <v>-9731924</v>
      </c>
      <c r="F521" s="215">
        <v>0</v>
      </c>
      <c r="G521" s="215">
        <v>16531399</v>
      </c>
      <c r="H521" s="269">
        <v>1.0704398852999999</v>
      </c>
      <c r="I521" s="243">
        <v>0.31</v>
      </c>
      <c r="J521" s="269">
        <v>3.3183636000000002E-3</v>
      </c>
      <c r="K521" s="277">
        <v>0.31</v>
      </c>
      <c r="L521" s="269">
        <v>3.3183636000000002E-3</v>
      </c>
      <c r="M521" s="277">
        <v>0.31</v>
      </c>
      <c r="N521" s="269">
        <v>3.3183636000000002E-3</v>
      </c>
      <c r="R521" s="215" t="s">
        <v>1341</v>
      </c>
      <c r="S521" s="215">
        <v>16531399</v>
      </c>
      <c r="T521" s="215">
        <v>0</v>
      </c>
      <c r="U521" s="215">
        <v>0</v>
      </c>
      <c r="V521" s="215">
        <v>16531399</v>
      </c>
      <c r="W521" s="278">
        <v>1.070439885267966E-2</v>
      </c>
    </row>
    <row r="522" spans="1:24">
      <c r="A522" s="216" t="s">
        <v>2574</v>
      </c>
      <c r="C522" s="215">
        <v>97998345</v>
      </c>
      <c r="D522" s="218">
        <v>84787749</v>
      </c>
      <c r="E522" s="218">
        <v>-31418260</v>
      </c>
      <c r="F522" s="215">
        <v>0</v>
      </c>
      <c r="G522" s="215">
        <v>53369489</v>
      </c>
      <c r="H522" s="269">
        <v>3.4557770749999999</v>
      </c>
      <c r="I522" s="243">
        <v>6.3974069999999994</v>
      </c>
      <c r="J522" s="269">
        <v>0.2210801245</v>
      </c>
      <c r="K522" s="277">
        <v>6.3974069999999994</v>
      </c>
      <c r="L522" s="269">
        <v>0.2210801245</v>
      </c>
      <c r="M522" s="277">
        <v>6.3974069999999994</v>
      </c>
      <c r="N522" s="269">
        <v>0.2210801245</v>
      </c>
      <c r="R522" s="215" t="s">
        <v>1085</v>
      </c>
      <c r="S522" s="215">
        <v>53369489</v>
      </c>
      <c r="T522" s="215">
        <v>0</v>
      </c>
      <c r="U522" s="215">
        <v>0</v>
      </c>
      <c r="V522" s="215">
        <v>53369489</v>
      </c>
      <c r="W522" s="278">
        <v>3.4557770750055679E-2</v>
      </c>
    </row>
    <row r="523" spans="1:24">
      <c r="A523" s="216" t="s">
        <v>2575</v>
      </c>
      <c r="C523" s="215">
        <v>35060633</v>
      </c>
      <c r="D523" s="218">
        <v>35237081</v>
      </c>
      <c r="E523" s="218">
        <v>-13057167</v>
      </c>
      <c r="F523" s="215">
        <v>0</v>
      </c>
      <c r="G523" s="215">
        <v>22179914</v>
      </c>
      <c r="H523" s="269">
        <v>1.4361920971</v>
      </c>
      <c r="I523" s="243">
        <v>6.3</v>
      </c>
      <c r="J523" s="269">
        <v>9.0480102100000001E-2</v>
      </c>
      <c r="K523" s="277">
        <v>6.3</v>
      </c>
      <c r="L523" s="269">
        <v>9.0480102100000001E-2</v>
      </c>
      <c r="M523" s="277">
        <v>6.3</v>
      </c>
      <c r="N523" s="269">
        <v>9.0480102100000001E-2</v>
      </c>
      <c r="R523" s="215" t="s">
        <v>1342</v>
      </c>
      <c r="S523" s="215">
        <v>22179914</v>
      </c>
      <c r="T523" s="215">
        <v>0</v>
      </c>
      <c r="U523" s="215">
        <v>0</v>
      </c>
      <c r="V523" s="215">
        <v>22179914</v>
      </c>
      <c r="W523" s="278">
        <v>1.4361920970761975E-2</v>
      </c>
    </row>
    <row r="524" spans="1:24">
      <c r="A524" s="216" t="s">
        <v>2576</v>
      </c>
      <c r="C524" s="215">
        <v>1073746182</v>
      </c>
      <c r="D524" s="218">
        <v>956930371</v>
      </c>
      <c r="E524" s="218">
        <v>-354592353</v>
      </c>
      <c r="F524" s="215">
        <v>0</v>
      </c>
      <c r="G524" s="215">
        <v>602338018</v>
      </c>
      <c r="H524" s="269">
        <v>39.002545330899999</v>
      </c>
      <c r="I524" s="243">
        <v>10.750000000000004</v>
      </c>
      <c r="J524" s="269">
        <v>4.1927736230999999</v>
      </c>
      <c r="K524" s="277">
        <v>12.000000000000004</v>
      </c>
      <c r="L524" s="269">
        <v>4.6803054396999997</v>
      </c>
      <c r="M524" s="277">
        <v>12.750000000000004</v>
      </c>
      <c r="N524" s="269">
        <v>4.9728245297000004</v>
      </c>
      <c r="R524" s="215" t="s">
        <v>2576</v>
      </c>
      <c r="S524" s="215">
        <v>602338018</v>
      </c>
      <c r="T524" s="215">
        <v>0</v>
      </c>
      <c r="U524" s="215">
        <v>0</v>
      </c>
      <c r="V524" s="215">
        <v>602338018</v>
      </c>
      <c r="W524" s="278">
        <v>0.3900254533088543</v>
      </c>
    </row>
    <row r="525" spans="1:24">
      <c r="A525" s="216" t="s">
        <v>2577</v>
      </c>
      <c r="C525" s="215">
        <v>346494848</v>
      </c>
      <c r="D525" s="218">
        <v>320256676</v>
      </c>
      <c r="E525" s="218">
        <v>-118671715</v>
      </c>
      <c r="F525" s="215">
        <v>0</v>
      </c>
      <c r="G525" s="215">
        <v>201584961</v>
      </c>
      <c r="H525" s="269">
        <v>13.053013996200001</v>
      </c>
      <c r="I525" s="243"/>
      <c r="R525" s="215" t="s">
        <v>1343</v>
      </c>
      <c r="S525" s="215">
        <v>201584961</v>
      </c>
      <c r="T525" s="85">
        <v>0</v>
      </c>
      <c r="U525" s="215">
        <v>0</v>
      </c>
      <c r="V525" s="215">
        <v>201584961</v>
      </c>
      <c r="W525" s="278">
        <v>0.13053013996249646</v>
      </c>
    </row>
    <row r="526" spans="1:24">
      <c r="A526" s="216" t="s">
        <v>2578</v>
      </c>
      <c r="C526" s="215">
        <v>-31305102</v>
      </c>
      <c r="D526" s="218">
        <v>-28934537.190769196</v>
      </c>
      <c r="E526" s="218">
        <v>10721747.190769196</v>
      </c>
      <c r="F526" s="215">
        <v>0</v>
      </c>
      <c r="G526" s="215">
        <v>-18212790</v>
      </c>
      <c r="H526" s="269">
        <v>-1.1793131869</v>
      </c>
      <c r="I526" s="243"/>
      <c r="R526" s="215" t="s">
        <v>1344</v>
      </c>
      <c r="S526" s="215">
        <v>-18212790</v>
      </c>
      <c r="T526" s="215">
        <v>0</v>
      </c>
      <c r="U526" s="215">
        <v>0</v>
      </c>
      <c r="V526" s="215">
        <v>-18212790</v>
      </c>
      <c r="W526" s="278">
        <v>-1.1793131868639527E-2</v>
      </c>
    </row>
    <row r="527" spans="1:24">
      <c r="A527" s="216" t="s">
        <v>2579</v>
      </c>
      <c r="C527" s="215">
        <v>0</v>
      </c>
      <c r="D527" s="218">
        <v>0</v>
      </c>
      <c r="E527" s="218">
        <v>0</v>
      </c>
      <c r="F527" s="215">
        <v>0</v>
      </c>
      <c r="G527" s="215">
        <v>0</v>
      </c>
      <c r="H527" s="269">
        <v>0</v>
      </c>
      <c r="I527" s="243"/>
      <c r="R527" s="215" t="s">
        <v>1345</v>
      </c>
      <c r="S527" s="215">
        <v>4245758</v>
      </c>
      <c r="T527" s="215">
        <v>0</v>
      </c>
      <c r="U527" s="215">
        <v>0</v>
      </c>
      <c r="V527" s="215">
        <v>4245758</v>
      </c>
      <c r="W527" s="278">
        <v>2.7492099769629592E-3</v>
      </c>
    </row>
    <row r="528" spans="1:24" ht="13.5" thickBot="1">
      <c r="A528" s="216" t="s">
        <v>2580</v>
      </c>
      <c r="C528" s="215">
        <v>8500825</v>
      </c>
      <c r="D528" s="218">
        <v>6745207</v>
      </c>
      <c r="E528" s="218">
        <v>-2499449</v>
      </c>
      <c r="F528" s="215">
        <v>0</v>
      </c>
      <c r="G528" s="215">
        <v>4245758</v>
      </c>
      <c r="H528" s="269">
        <v>0.2749209977</v>
      </c>
      <c r="I528" s="279">
        <v>7.4238513375000004</v>
      </c>
      <c r="J528" s="269">
        <v>2.0409726199999999E-2</v>
      </c>
      <c r="K528" s="279">
        <v>7.9951012835000004</v>
      </c>
      <c r="L528" s="269">
        <v>2.1980212200000002E-2</v>
      </c>
      <c r="M528" s="279">
        <v>8.3378512511</v>
      </c>
      <c r="N528" s="269">
        <v>2.2922503800000001E-2</v>
      </c>
      <c r="S528" s="280">
        <v>1544355664.2007647</v>
      </c>
      <c r="V528" s="280">
        <v>1544355664.2007647</v>
      </c>
    </row>
    <row r="529" spans="1:25">
      <c r="C529" s="274"/>
      <c r="D529" s="274"/>
      <c r="E529" s="274"/>
      <c r="F529" s="274"/>
      <c r="G529" s="274"/>
      <c r="H529" s="274"/>
      <c r="J529" s="274"/>
      <c r="L529" s="274"/>
      <c r="N529" s="281"/>
    </row>
    <row r="530" spans="1:25">
      <c r="A530" s="216" t="s">
        <v>2581</v>
      </c>
      <c r="C530" s="215">
        <v>2767320133</v>
      </c>
      <c r="D530" s="215">
        <v>2453507490.0099955</v>
      </c>
      <c r="E530" s="215">
        <v>-909151825.8092308</v>
      </c>
      <c r="F530" s="215">
        <v>0</v>
      </c>
      <c r="G530" s="215">
        <v>1544355664.2007647</v>
      </c>
      <c r="H530" s="269">
        <v>99.999999999999986</v>
      </c>
      <c r="J530" s="269">
        <v>6.4500752748999988</v>
      </c>
      <c r="L530" s="269">
        <v>6.9391775774999997</v>
      </c>
      <c r="N530" s="269">
        <v>7.2326389591000009</v>
      </c>
    </row>
    <row r="531" spans="1:25">
      <c r="S531" s="215" t="s">
        <v>1346</v>
      </c>
      <c r="T531" s="215">
        <v>0</v>
      </c>
      <c r="X531" s="226" t="s">
        <v>1347</v>
      </c>
    </row>
    <row r="532" spans="1:25">
      <c r="G532" s="215">
        <v>0</v>
      </c>
      <c r="L532" s="278">
        <v>2.2588721378000001</v>
      </c>
      <c r="S532" s="215" t="s">
        <v>1348</v>
      </c>
      <c r="U532" s="215">
        <v>0</v>
      </c>
      <c r="X532" s="226" t="s">
        <v>1349</v>
      </c>
    </row>
    <row r="533" spans="1:25">
      <c r="S533" s="215" t="s">
        <v>1350</v>
      </c>
      <c r="U533" s="215">
        <v>0</v>
      </c>
      <c r="V533" s="215">
        <v>0</v>
      </c>
      <c r="X533" s="167" t="s">
        <v>1351</v>
      </c>
      <c r="Y533" s="164" t="s">
        <v>1352</v>
      </c>
    </row>
    <row r="534" spans="1:25">
      <c r="G534" s="215">
        <v>1318026422.2007647</v>
      </c>
      <c r="W534" s="215" t="s">
        <v>1340</v>
      </c>
      <c r="X534" s="215">
        <v>662318915.20076466</v>
      </c>
      <c r="Y534" s="278">
        <v>0.496283416633717</v>
      </c>
    </row>
    <row r="535" spans="1:25">
      <c r="W535" s="215" t="s">
        <v>1341</v>
      </c>
      <c r="X535" s="215">
        <v>16531399</v>
      </c>
      <c r="Y535" s="278">
        <v>1.2387173292443725E-2</v>
      </c>
    </row>
    <row r="536" spans="1:25">
      <c r="W536" s="215" t="s">
        <v>1085</v>
      </c>
      <c r="X536" s="215">
        <v>53369489</v>
      </c>
      <c r="Y536" s="278">
        <v>3.9990390938611377E-2</v>
      </c>
    </row>
    <row r="537" spans="1:25">
      <c r="K537" s="243">
        <v>4.6803054397080013</v>
      </c>
      <c r="W537" s="215" t="s">
        <v>1342</v>
      </c>
      <c r="X537" s="215">
        <v>0</v>
      </c>
      <c r="Y537" s="278">
        <v>0</v>
      </c>
    </row>
    <row r="538" spans="1:25">
      <c r="W538" s="215" t="s">
        <v>2576</v>
      </c>
      <c r="X538" s="215">
        <v>602338018</v>
      </c>
      <c r="Y538" s="278">
        <v>0.45133901913522789</v>
      </c>
    </row>
    <row r="539" spans="1:25">
      <c r="W539" s="215" t="s">
        <v>1343</v>
      </c>
      <c r="X539" s="215">
        <v>0</v>
      </c>
      <c r="Y539" s="278">
        <v>0</v>
      </c>
    </row>
    <row r="540" spans="1:25">
      <c r="W540" s="215" t="s">
        <v>1344</v>
      </c>
      <c r="X540" s="215">
        <v>0</v>
      </c>
      <c r="Y540" s="278">
        <v>0</v>
      </c>
    </row>
    <row r="541" spans="1:25">
      <c r="W541" s="215" t="s">
        <v>1345</v>
      </c>
      <c r="X541" s="215">
        <v>0</v>
      </c>
      <c r="Y541" s="278">
        <v>0</v>
      </c>
    </row>
    <row r="542" spans="1:25">
      <c r="A542" s="216" t="s">
        <v>2639</v>
      </c>
      <c r="X542" s="280">
        <v>1334557821.2007647</v>
      </c>
      <c r="Y542" s="282">
        <v>1</v>
      </c>
    </row>
    <row r="543" spans="1:25">
      <c r="A543" s="216" t="s">
        <v>1353</v>
      </c>
      <c r="S543" s="215" t="s">
        <v>2639</v>
      </c>
    </row>
    <row r="544" spans="1:25">
      <c r="A544" s="216" t="s">
        <v>1354</v>
      </c>
      <c r="S544" s="215" t="s">
        <v>1355</v>
      </c>
    </row>
    <row r="545" spans="1:26">
      <c r="A545" s="216" t="s">
        <v>1557</v>
      </c>
    </row>
    <row r="546" spans="1:26">
      <c r="D546" s="216" t="s">
        <v>2639</v>
      </c>
    </row>
    <row r="547" spans="1:26">
      <c r="D547" s="216" t="s">
        <v>1356</v>
      </c>
      <c r="O547" s="224" t="s">
        <v>1357</v>
      </c>
    </row>
    <row r="548" spans="1:26">
      <c r="K548" s="216" t="s">
        <v>1358</v>
      </c>
      <c r="O548" s="224" t="s">
        <v>1359</v>
      </c>
    </row>
    <row r="549" spans="1:26">
      <c r="D549" s="224" t="s">
        <v>1338</v>
      </c>
      <c r="G549" s="224" t="s">
        <v>1360</v>
      </c>
      <c r="H549" s="224" t="s">
        <v>1619</v>
      </c>
      <c r="K549" s="216" t="s">
        <v>1361</v>
      </c>
      <c r="M549" s="224" t="s">
        <v>1362</v>
      </c>
      <c r="N549" s="224" t="s">
        <v>1357</v>
      </c>
      <c r="O549" s="224" t="s">
        <v>1363</v>
      </c>
      <c r="V549" s="224" t="s">
        <v>1338</v>
      </c>
      <c r="Y549" s="224" t="s">
        <v>1360</v>
      </c>
      <c r="Z549" s="224" t="s">
        <v>1619</v>
      </c>
    </row>
    <row r="550" spans="1:26">
      <c r="D550" s="224" t="s">
        <v>31</v>
      </c>
      <c r="E550" s="224" t="s">
        <v>2564</v>
      </c>
      <c r="F550" s="224" t="s">
        <v>2590</v>
      </c>
      <c r="G550" s="224" t="s">
        <v>1364</v>
      </c>
      <c r="H550" s="224" t="s">
        <v>1365</v>
      </c>
      <c r="K550" s="224" t="s">
        <v>1619</v>
      </c>
      <c r="L550" s="216" t="s">
        <v>1366</v>
      </c>
      <c r="M550" s="224" t="s">
        <v>1367</v>
      </c>
      <c r="N550" s="224" t="s">
        <v>1368</v>
      </c>
      <c r="O550" s="224" t="s">
        <v>1369</v>
      </c>
      <c r="V550" s="283" t="s">
        <v>31</v>
      </c>
      <c r="W550" s="283" t="s">
        <v>2564</v>
      </c>
      <c r="X550" s="283" t="s">
        <v>2590</v>
      </c>
      <c r="Y550" s="283" t="s">
        <v>1364</v>
      </c>
      <c r="Z550" s="283" t="s">
        <v>1365</v>
      </c>
    </row>
    <row r="551" spans="1:26">
      <c r="D551" s="224" t="s">
        <v>1112</v>
      </c>
      <c r="E551" s="224" t="s">
        <v>1112</v>
      </c>
      <c r="F551" s="224" t="s">
        <v>1112</v>
      </c>
      <c r="G551" s="224" t="s">
        <v>1112</v>
      </c>
      <c r="H551" s="224" t="s">
        <v>1112</v>
      </c>
      <c r="K551" s="224" t="s">
        <v>1112</v>
      </c>
      <c r="L551" s="224" t="s">
        <v>1112</v>
      </c>
      <c r="M551" s="224" t="s">
        <v>1112</v>
      </c>
      <c r="N551" s="224" t="s">
        <v>1112</v>
      </c>
      <c r="O551" s="224" t="s">
        <v>1112</v>
      </c>
    </row>
    <row r="552" spans="1:26">
      <c r="J552" s="215" t="s">
        <v>1370</v>
      </c>
      <c r="K552" s="215">
        <v>0</v>
      </c>
      <c r="L552" s="215">
        <v>0</v>
      </c>
    </row>
    <row r="553" spans="1:26">
      <c r="A553" s="216" t="s">
        <v>1371</v>
      </c>
      <c r="J553" s="218" t="s">
        <v>1910</v>
      </c>
      <c r="K553" s="84">
        <v>0</v>
      </c>
      <c r="L553" s="84">
        <v>0</v>
      </c>
      <c r="M553" s="218">
        <v>0</v>
      </c>
      <c r="N553" s="218">
        <v>0</v>
      </c>
      <c r="O553" s="218">
        <v>0</v>
      </c>
      <c r="S553" s="284" t="s">
        <v>1372</v>
      </c>
    </row>
    <row r="554" spans="1:26">
      <c r="A554" s="216" t="s">
        <v>1582</v>
      </c>
      <c r="J554" s="218" t="s">
        <v>588</v>
      </c>
      <c r="K554" s="84">
        <v>0</v>
      </c>
      <c r="L554" s="84">
        <v>0</v>
      </c>
      <c r="M554" s="218">
        <v>0</v>
      </c>
      <c r="N554" s="218">
        <v>0</v>
      </c>
      <c r="O554" s="218">
        <v>0</v>
      </c>
      <c r="S554" s="216"/>
    </row>
    <row r="555" spans="1:26">
      <c r="A555" s="216" t="s">
        <v>1373</v>
      </c>
      <c r="D555" s="218">
        <v>1544355664.2007647</v>
      </c>
      <c r="E555" s="285">
        <v>0.42886424000000001</v>
      </c>
      <c r="F555" s="218">
        <v>662318918</v>
      </c>
      <c r="G555" s="252">
        <v>4.4816358299999998E-2</v>
      </c>
      <c r="H555" s="218">
        <v>29682722</v>
      </c>
      <c r="J555" s="218" t="s">
        <v>598</v>
      </c>
      <c r="K555" s="84">
        <v>0</v>
      </c>
      <c r="L555" s="84">
        <v>0</v>
      </c>
      <c r="M555" s="218">
        <v>0</v>
      </c>
      <c r="N555" s="218">
        <v>0</v>
      </c>
      <c r="O555" s="218">
        <v>0</v>
      </c>
      <c r="S555" s="216" t="s">
        <v>1373</v>
      </c>
      <c r="V555" s="215">
        <v>1544355664.2007647</v>
      </c>
      <c r="W555" s="233">
        <v>0.42886423804700002</v>
      </c>
      <c r="X555" s="215">
        <v>662318915</v>
      </c>
      <c r="Y555" s="286">
        <v>4.4816358299999998E-2</v>
      </c>
      <c r="Z555" s="215">
        <v>29682722</v>
      </c>
    </row>
    <row r="556" spans="1:26">
      <c r="A556" s="216" t="s">
        <v>1374</v>
      </c>
      <c r="D556" s="218">
        <v>1544355664.2007647</v>
      </c>
      <c r="E556" s="285">
        <v>1.0704399999999999E-2</v>
      </c>
      <c r="F556" s="218">
        <v>16531401</v>
      </c>
      <c r="G556" s="252">
        <v>3.0999999999999999E-3</v>
      </c>
      <c r="H556" s="218">
        <v>51247</v>
      </c>
      <c r="J556" s="218" t="s">
        <v>609</v>
      </c>
      <c r="K556" s="84">
        <v>0</v>
      </c>
      <c r="L556" s="84">
        <v>0</v>
      </c>
      <c r="M556" s="218">
        <v>0</v>
      </c>
      <c r="N556" s="218">
        <v>0</v>
      </c>
      <c r="O556" s="218">
        <v>0</v>
      </c>
      <c r="S556" s="216" t="s">
        <v>1374</v>
      </c>
      <c r="V556" s="215">
        <v>1544355664.2007647</v>
      </c>
      <c r="W556" s="233">
        <v>1.0704398852999999E-2</v>
      </c>
      <c r="X556" s="215">
        <v>16531399</v>
      </c>
      <c r="Y556" s="286">
        <v>3.0999999999999999E-3</v>
      </c>
      <c r="Z556" s="215">
        <v>51247</v>
      </c>
    </row>
    <row r="557" spans="1:26">
      <c r="A557" s="216" t="s">
        <v>1375</v>
      </c>
      <c r="D557" s="218">
        <v>1544355664.2007647</v>
      </c>
      <c r="E557" s="285">
        <v>1.436192E-2</v>
      </c>
      <c r="F557" s="218">
        <v>22179913</v>
      </c>
      <c r="G557" s="252">
        <v>6.3E-2</v>
      </c>
      <c r="H557" s="218">
        <v>1397335</v>
      </c>
      <c r="J557" s="218" t="s">
        <v>618</v>
      </c>
      <c r="K557" s="84">
        <v>0</v>
      </c>
      <c r="L557" s="84">
        <v>0</v>
      </c>
      <c r="M557" s="218">
        <v>0</v>
      </c>
      <c r="N557" s="218">
        <v>0</v>
      </c>
      <c r="O557" s="218">
        <v>0</v>
      </c>
      <c r="S557" s="216" t="s">
        <v>1375</v>
      </c>
      <c r="V557" s="215">
        <v>1544355664.2007647</v>
      </c>
      <c r="W557" s="233">
        <v>1.4361920970999999E-2</v>
      </c>
      <c r="X557" s="215">
        <v>22179914</v>
      </c>
      <c r="Y557" s="286">
        <v>6.3E-2</v>
      </c>
      <c r="Z557" s="215">
        <v>1397335</v>
      </c>
    </row>
    <row r="558" spans="1:26">
      <c r="A558" s="216" t="s">
        <v>1376</v>
      </c>
      <c r="D558" s="218">
        <v>4245758</v>
      </c>
      <c r="E558" s="285">
        <v>0.50250806999999997</v>
      </c>
      <c r="F558" s="218">
        <v>2133528</v>
      </c>
      <c r="G558" s="252">
        <v>4.4816358299999998E-2</v>
      </c>
      <c r="H558" s="218">
        <v>95617</v>
      </c>
      <c r="J558" s="218" t="s">
        <v>629</v>
      </c>
      <c r="K558" s="84">
        <v>0</v>
      </c>
      <c r="L558" s="84">
        <v>0</v>
      </c>
      <c r="M558" s="218">
        <v>0</v>
      </c>
      <c r="N558" s="218">
        <v>0</v>
      </c>
      <c r="O558" s="218">
        <v>0</v>
      </c>
      <c r="S558" s="216" t="s">
        <v>1376</v>
      </c>
      <c r="V558" s="215">
        <v>4245758</v>
      </c>
      <c r="W558" s="233">
        <v>0.50250807119242924</v>
      </c>
      <c r="X558" s="215">
        <v>2133528</v>
      </c>
      <c r="Y558" s="286">
        <v>4.4816358299999998E-2</v>
      </c>
      <c r="Z558" s="215">
        <v>95617</v>
      </c>
    </row>
    <row r="559" spans="1:26">
      <c r="E559" s="287">
        <v>0.95643862999999996</v>
      </c>
      <c r="H559" s="216" t="s">
        <v>1214</v>
      </c>
      <c r="J559" s="218" t="s">
        <v>639</v>
      </c>
      <c r="K559" s="84">
        <v>0</v>
      </c>
      <c r="L559" s="84">
        <v>0</v>
      </c>
      <c r="M559" s="218">
        <v>0</v>
      </c>
      <c r="N559" s="218">
        <v>0</v>
      </c>
      <c r="O559" s="218">
        <v>0</v>
      </c>
    </row>
    <row r="560" spans="1:26">
      <c r="A560" s="216" t="s">
        <v>1377</v>
      </c>
      <c r="H560" s="218">
        <v>31226921</v>
      </c>
      <c r="J560" s="218" t="s">
        <v>649</v>
      </c>
      <c r="K560" s="84">
        <v>0</v>
      </c>
      <c r="L560" s="84">
        <v>0</v>
      </c>
      <c r="M560" s="218">
        <v>0</v>
      </c>
      <c r="N560" s="218">
        <v>0</v>
      </c>
      <c r="O560" s="218">
        <v>0</v>
      </c>
      <c r="S560" s="216" t="s">
        <v>1377</v>
      </c>
      <c r="Z560" s="280">
        <v>31226921</v>
      </c>
    </row>
    <row r="561" spans="1:26">
      <c r="A561" s="236" t="s">
        <v>1378</v>
      </c>
      <c r="G561" s="218">
        <v>54141155.979999997</v>
      </c>
      <c r="J561" s="218" t="s">
        <v>658</v>
      </c>
      <c r="K561" s="84">
        <v>0</v>
      </c>
      <c r="L561" s="84">
        <v>0</v>
      </c>
      <c r="M561" s="218">
        <v>0</v>
      </c>
      <c r="N561" s="218">
        <v>0</v>
      </c>
      <c r="O561" s="218">
        <v>0</v>
      </c>
    </row>
    <row r="562" spans="1:26">
      <c r="A562" s="216" t="s">
        <v>1379</v>
      </c>
      <c r="G562" s="218">
        <v>5926529</v>
      </c>
      <c r="J562" s="218" t="s">
        <v>669</v>
      </c>
      <c r="K562" s="84">
        <v>0</v>
      </c>
      <c r="L562" s="84">
        <v>0</v>
      </c>
      <c r="M562" s="218">
        <v>0</v>
      </c>
      <c r="N562" s="218">
        <v>0</v>
      </c>
      <c r="O562" s="218">
        <v>0</v>
      </c>
    </row>
    <row r="563" spans="1:26">
      <c r="J563" s="218" t="s">
        <v>679</v>
      </c>
      <c r="K563" s="84">
        <v>0</v>
      </c>
      <c r="L563" s="84">
        <v>0</v>
      </c>
      <c r="M563" s="218">
        <v>0</v>
      </c>
      <c r="N563" s="218">
        <v>0</v>
      </c>
      <c r="O563" s="218">
        <v>0</v>
      </c>
      <c r="S563" s="236" t="s">
        <v>1378</v>
      </c>
      <c r="Y563" s="215">
        <v>54141155.979999997</v>
      </c>
    </row>
    <row r="564" spans="1:26">
      <c r="G564" s="216" t="s">
        <v>1214</v>
      </c>
      <c r="J564" s="218" t="s">
        <v>1557</v>
      </c>
      <c r="K564" s="84">
        <v>0</v>
      </c>
      <c r="L564" s="84">
        <v>0</v>
      </c>
      <c r="M564" s="218">
        <v>0</v>
      </c>
      <c r="N564" s="84">
        <v>0</v>
      </c>
      <c r="O564" s="84">
        <v>0</v>
      </c>
    </row>
    <row r="565" spans="1:26">
      <c r="G565" s="218">
        <v>48214626.979999997</v>
      </c>
      <c r="K565" s="216" t="s">
        <v>969</v>
      </c>
      <c r="L565" s="216" t="s">
        <v>969</v>
      </c>
      <c r="M565" s="216" t="s">
        <v>969</v>
      </c>
      <c r="N565" s="216" t="s">
        <v>969</v>
      </c>
      <c r="O565" s="216" t="s">
        <v>969</v>
      </c>
      <c r="S565" s="216" t="s">
        <v>1379</v>
      </c>
      <c r="Y565" s="215">
        <v>5926529</v>
      </c>
    </row>
    <row r="566" spans="1:26">
      <c r="A566" s="216" t="s">
        <v>1380</v>
      </c>
      <c r="G566" s="251">
        <v>0.97488739999999996</v>
      </c>
      <c r="H566" s="218">
        <v>47003832</v>
      </c>
      <c r="J566" s="216" t="s">
        <v>1381</v>
      </c>
      <c r="K566" s="218">
        <v>0</v>
      </c>
      <c r="L566" s="218">
        <v>0</v>
      </c>
      <c r="M566" s="218">
        <v>0</v>
      </c>
      <c r="N566" s="218">
        <v>0</v>
      </c>
      <c r="O566" s="218">
        <v>0</v>
      </c>
    </row>
    <row r="567" spans="1:26">
      <c r="G567" s="216" t="s">
        <v>1214</v>
      </c>
      <c r="H567" s="216" t="s">
        <v>1214</v>
      </c>
      <c r="K567" s="216" t="s">
        <v>1045</v>
      </c>
      <c r="L567" s="216" t="s">
        <v>1045</v>
      </c>
      <c r="M567" s="216" t="s">
        <v>1045</v>
      </c>
      <c r="N567" s="216" t="s">
        <v>1045</v>
      </c>
      <c r="O567" s="216" t="s">
        <v>1045</v>
      </c>
      <c r="S567" s="215" t="s">
        <v>1382</v>
      </c>
      <c r="Y567" s="280">
        <v>48214626.979999997</v>
      </c>
    </row>
    <row r="568" spans="1:26">
      <c r="A568" s="216" t="s">
        <v>1383</v>
      </c>
      <c r="H568" s="218">
        <v>-15776911</v>
      </c>
    </row>
    <row r="569" spans="1:26">
      <c r="H569" s="216" t="s">
        <v>1214</v>
      </c>
      <c r="S569" s="216" t="s">
        <v>1380</v>
      </c>
      <c r="Y569" s="232">
        <v>0.97419800000000001</v>
      </c>
      <c r="Z569" s="215">
        <v>46970593</v>
      </c>
    </row>
    <row r="570" spans="1:26">
      <c r="A570" s="216" t="s">
        <v>1384</v>
      </c>
      <c r="G570" s="285"/>
      <c r="H570" s="218">
        <v>-5218213</v>
      </c>
      <c r="J570" s="216" t="s">
        <v>1385</v>
      </c>
      <c r="L570" s="224" t="s">
        <v>1386</v>
      </c>
    </row>
    <row r="571" spans="1:26">
      <c r="A571" s="216" t="s">
        <v>1387</v>
      </c>
      <c r="H571" s="218">
        <v>-867730</v>
      </c>
      <c r="J571" s="216" t="s">
        <v>1388</v>
      </c>
      <c r="L571" s="216" t="s">
        <v>969</v>
      </c>
      <c r="Y571" s="280"/>
      <c r="Z571" s="280"/>
    </row>
    <row r="572" spans="1:26">
      <c r="H572" s="216" t="s">
        <v>1214</v>
      </c>
      <c r="J572" s="216" t="s">
        <v>1389</v>
      </c>
      <c r="L572" s="84">
        <v>54141155.979999997</v>
      </c>
      <c r="S572" s="215" t="s">
        <v>1390</v>
      </c>
      <c r="Z572" s="215">
        <v>-15743672</v>
      </c>
    </row>
    <row r="573" spans="1:26">
      <c r="A573" s="216" t="s">
        <v>1391</v>
      </c>
      <c r="H573" s="218">
        <v>-6085943</v>
      </c>
      <c r="J573" s="216" t="s">
        <v>1392</v>
      </c>
      <c r="L573" s="218">
        <v>0</v>
      </c>
      <c r="Z573" s="280"/>
    </row>
    <row r="574" spans="1:26">
      <c r="H574" s="216" t="s">
        <v>1393</v>
      </c>
      <c r="J574" s="216" t="s">
        <v>1394</v>
      </c>
      <c r="L574" s="218">
        <v>0</v>
      </c>
      <c r="M574" s="224" t="s">
        <v>1395</v>
      </c>
      <c r="S574" s="216" t="s">
        <v>1396</v>
      </c>
      <c r="Z574" s="215">
        <v>-5207220</v>
      </c>
    </row>
    <row r="575" spans="1:26">
      <c r="J575" s="216" t="s">
        <v>1397</v>
      </c>
      <c r="L575" s="218">
        <v>0</v>
      </c>
    </row>
    <row r="576" spans="1:26">
      <c r="L576" s="216" t="s">
        <v>969</v>
      </c>
      <c r="S576" s="216" t="s">
        <v>1398</v>
      </c>
      <c r="Z576" s="215">
        <v>-865902</v>
      </c>
    </row>
    <row r="577" spans="1:26">
      <c r="A577" s="216" t="s">
        <v>1399</v>
      </c>
      <c r="L577" s="218">
        <v>54141155.979999997</v>
      </c>
    </row>
    <row r="578" spans="1:26">
      <c r="A578" s="216" t="s">
        <v>970</v>
      </c>
      <c r="L578" s="216" t="s">
        <v>1045</v>
      </c>
      <c r="S578" s="215" t="s">
        <v>1400</v>
      </c>
      <c r="Z578" s="280">
        <v>-6073122</v>
      </c>
    </row>
    <row r="579" spans="1:26">
      <c r="A579" s="216" t="s">
        <v>1373</v>
      </c>
      <c r="D579" s="218">
        <v>1835015915.4430835</v>
      </c>
      <c r="E579" s="285">
        <v>0.43040982</v>
      </c>
      <c r="F579" s="218">
        <v>789808870</v>
      </c>
      <c r="G579" s="252">
        <v>4.5095165999999999E-2</v>
      </c>
      <c r="H579" s="218">
        <v>35616562</v>
      </c>
    </row>
    <row r="580" spans="1:26">
      <c r="A580" s="216" t="s">
        <v>1374</v>
      </c>
      <c r="D580" s="218">
        <v>1835015915.4430835</v>
      </c>
      <c r="E580" s="285">
        <v>1.6529579999999999E-2</v>
      </c>
      <c r="F580" s="218">
        <v>30332042</v>
      </c>
      <c r="G580" s="252">
        <v>3.0999999999999999E-3</v>
      </c>
      <c r="H580" s="218">
        <v>94029</v>
      </c>
      <c r="S580" s="215" t="s">
        <v>1401</v>
      </c>
      <c r="Z580" s="215">
        <v>-6085943</v>
      </c>
    </row>
    <row r="581" spans="1:26">
      <c r="A581" s="216" t="s">
        <v>1375</v>
      </c>
      <c r="D581" s="218">
        <v>1835015915.4430835</v>
      </c>
      <c r="E581" s="285">
        <v>1.266953E-2</v>
      </c>
      <c r="F581" s="218">
        <v>23248789</v>
      </c>
      <c r="G581" s="252">
        <v>6.3E-2</v>
      </c>
      <c r="H581" s="218">
        <v>1464674</v>
      </c>
    </row>
    <row r="582" spans="1:26" ht="13.5" thickBot="1">
      <c r="A582" s="216" t="s">
        <v>1376</v>
      </c>
      <c r="D582" s="218">
        <v>5636915.289770144</v>
      </c>
      <c r="E582" s="285">
        <v>0.50409196925983568</v>
      </c>
      <c r="F582" s="218">
        <v>2841524</v>
      </c>
      <c r="G582" s="252">
        <v>4.5095165999999999E-2</v>
      </c>
      <c r="H582" s="218">
        <v>128139</v>
      </c>
      <c r="S582" s="215" t="s">
        <v>1402</v>
      </c>
      <c r="Z582" s="280">
        <v>-12821</v>
      </c>
    </row>
    <row r="583" spans="1:26">
      <c r="E583" s="278">
        <v>0.96370089925983571</v>
      </c>
      <c r="H583" s="216" t="s">
        <v>1403</v>
      </c>
      <c r="Z583" s="274"/>
    </row>
    <row r="584" spans="1:26">
      <c r="A584" s="216" t="s">
        <v>1404</v>
      </c>
      <c r="H584" s="218">
        <v>37303404</v>
      </c>
    </row>
    <row r="586" spans="1:26">
      <c r="A586" s="216" t="s">
        <v>1405</v>
      </c>
      <c r="H586" s="218">
        <v>54141155.979999997</v>
      </c>
      <c r="S586" s="215" t="s">
        <v>1406</v>
      </c>
    </row>
    <row r="587" spans="1:26">
      <c r="H587" s="216" t="s">
        <v>969</v>
      </c>
    </row>
    <row r="588" spans="1:26">
      <c r="A588" s="216" t="s">
        <v>1383</v>
      </c>
      <c r="H588" s="218">
        <v>-16837751.979999997</v>
      </c>
      <c r="T588" s="215" t="s">
        <v>1407</v>
      </c>
      <c r="V588" s="215">
        <v>0</v>
      </c>
    </row>
    <row r="589" spans="1:26">
      <c r="H589" s="216" t="s">
        <v>1878</v>
      </c>
      <c r="T589" s="215" t="s">
        <v>1408</v>
      </c>
      <c r="V589" s="215">
        <v>0</v>
      </c>
    </row>
    <row r="590" spans="1:26">
      <c r="T590" s="215" t="s">
        <v>1409</v>
      </c>
      <c r="V590" s="215">
        <v>0</v>
      </c>
    </row>
    <row r="591" spans="1:26">
      <c r="A591" s="218" t="s">
        <v>1384</v>
      </c>
      <c r="H591" s="218">
        <v>-5569086</v>
      </c>
      <c r="T591" s="215" t="s">
        <v>1410</v>
      </c>
      <c r="V591" s="215">
        <v>0</v>
      </c>
    </row>
    <row r="592" spans="1:26">
      <c r="A592" s="216" t="s">
        <v>1411</v>
      </c>
      <c r="H592" s="218">
        <v>-926076</v>
      </c>
      <c r="T592" s="215" t="s">
        <v>1412</v>
      </c>
      <c r="V592" s="215">
        <v>0</v>
      </c>
    </row>
    <row r="593" spans="1:22">
      <c r="H593" s="216" t="s">
        <v>1214</v>
      </c>
      <c r="T593" s="215" t="s">
        <v>1413</v>
      </c>
      <c r="V593" s="215">
        <v>0</v>
      </c>
    </row>
    <row r="594" spans="1:22">
      <c r="A594" s="216" t="s">
        <v>1391</v>
      </c>
      <c r="H594" s="218">
        <v>-6495162</v>
      </c>
    </row>
    <row r="595" spans="1:22">
      <c r="H595" s="216" t="s">
        <v>736</v>
      </c>
      <c r="T595" s="215" t="s">
        <v>1414</v>
      </c>
      <c r="V595" s="280">
        <v>0</v>
      </c>
    </row>
    <row r="597" spans="1:22">
      <c r="T597" s="215" t="s">
        <v>1415</v>
      </c>
      <c r="V597" s="288">
        <v>0.38574999999999998</v>
      </c>
    </row>
    <row r="599" spans="1:22">
      <c r="T599" s="215" t="s">
        <v>1416</v>
      </c>
      <c r="V599" s="280">
        <v>0</v>
      </c>
    </row>
    <row r="601" spans="1:22">
      <c r="A601" s="263" t="s">
        <v>1417</v>
      </c>
      <c r="T601" s="215" t="s">
        <v>1418</v>
      </c>
      <c r="V601" s="215">
        <v>-12821</v>
      </c>
    </row>
    <row r="602" spans="1:22">
      <c r="A602" s="216" t="s">
        <v>1419</v>
      </c>
    </row>
    <row r="603" spans="1:22">
      <c r="A603" s="216" t="s">
        <v>1420</v>
      </c>
      <c r="E603" s="263" t="s">
        <v>1421</v>
      </c>
      <c r="T603" s="215" t="s">
        <v>1422</v>
      </c>
      <c r="V603" s="280">
        <v>-12821</v>
      </c>
    </row>
    <row r="604" spans="1:22">
      <c r="A604" s="216" t="s">
        <v>1557</v>
      </c>
      <c r="E604" s="216" t="s">
        <v>1423</v>
      </c>
    </row>
    <row r="605" spans="1:22">
      <c r="D605" s="263" t="s">
        <v>1113</v>
      </c>
      <c r="E605" s="263" t="s">
        <v>1424</v>
      </c>
      <c r="G605" s="263" t="s">
        <v>1425</v>
      </c>
    </row>
    <row r="606" spans="1:22">
      <c r="C606" s="263" t="s">
        <v>1426</v>
      </c>
      <c r="D606" s="289" t="s">
        <v>1583</v>
      </c>
      <c r="E606" s="263" t="s">
        <v>1426</v>
      </c>
      <c r="F606" s="289" t="s">
        <v>1583</v>
      </c>
      <c r="G606" s="263" t="s">
        <v>1426</v>
      </c>
      <c r="H606" s="289" t="s">
        <v>1583</v>
      </c>
    </row>
    <row r="607" spans="1:22">
      <c r="C607" s="263" t="s">
        <v>1427</v>
      </c>
      <c r="D607" s="263" t="s">
        <v>1428</v>
      </c>
      <c r="E607" s="263" t="s">
        <v>1427</v>
      </c>
      <c r="F607" s="263" t="s">
        <v>1428</v>
      </c>
      <c r="G607" s="263" t="s">
        <v>1427</v>
      </c>
      <c r="H607" s="263" t="s">
        <v>1428</v>
      </c>
      <c r="J607" s="216" t="s">
        <v>1429</v>
      </c>
    </row>
    <row r="608" spans="1:22">
      <c r="J608" s="219" t="s">
        <v>1583</v>
      </c>
      <c r="K608" s="219" t="s">
        <v>1583</v>
      </c>
      <c r="L608" s="219" t="s">
        <v>1583</v>
      </c>
    </row>
    <row r="609" spans="1:12">
      <c r="A609" s="263" t="s">
        <v>1430</v>
      </c>
      <c r="C609" s="261">
        <v>5.6256834999999998E-2</v>
      </c>
      <c r="D609" s="261">
        <v>5.4703982599999999E-2</v>
      </c>
      <c r="E609" s="261">
        <v>5.2263168399999997E-2</v>
      </c>
      <c r="F609" s="261">
        <v>4.7965181799999999E-2</v>
      </c>
      <c r="G609" s="261">
        <v>5.2263168399999997E-2</v>
      </c>
      <c r="H609" s="261">
        <v>4.7965181799999999E-2</v>
      </c>
      <c r="J609" s="216" t="s">
        <v>1116</v>
      </c>
      <c r="L609" s="218">
        <v>4521</v>
      </c>
    </row>
    <row r="610" spans="1:12">
      <c r="A610" s="263" t="s">
        <v>1431</v>
      </c>
      <c r="C610" s="261">
        <v>2.2183683999999999E-2</v>
      </c>
      <c r="D610" s="261">
        <v>2.20872246E-2</v>
      </c>
      <c r="E610" s="261">
        <v>2.2183683999999999E-2</v>
      </c>
      <c r="F610" s="261">
        <v>2.20872246E-2</v>
      </c>
      <c r="G610" s="261">
        <v>2.2183683999999999E-2</v>
      </c>
      <c r="H610" s="261">
        <v>2.2085634257999996E-2</v>
      </c>
      <c r="J610" s="216" t="s">
        <v>2589</v>
      </c>
      <c r="L610" s="218">
        <v>0</v>
      </c>
    </row>
    <row r="611" spans="1:12">
      <c r="C611" s="216" t="s">
        <v>1432</v>
      </c>
      <c r="D611" s="216" t="s">
        <v>1432</v>
      </c>
      <c r="E611" s="216" t="s">
        <v>1432</v>
      </c>
      <c r="F611" s="216" t="s">
        <v>1432</v>
      </c>
      <c r="G611" s="216" t="s">
        <v>1432</v>
      </c>
      <c r="H611" s="216" t="s">
        <v>1432</v>
      </c>
      <c r="J611" s="216" t="s">
        <v>1120</v>
      </c>
      <c r="L611" s="218">
        <v>13381550.029999999</v>
      </c>
    </row>
    <row r="612" spans="1:12">
      <c r="C612" s="261">
        <v>3.4073150999999996E-2</v>
      </c>
      <c r="D612" s="261">
        <v>3.2616757999999996E-2</v>
      </c>
      <c r="E612" s="261">
        <v>3.0079484399999998E-2</v>
      </c>
      <c r="F612" s="261">
        <v>2.5877957199999999E-2</v>
      </c>
      <c r="G612" s="261">
        <v>3.0079484399999998E-2</v>
      </c>
      <c r="H612" s="261">
        <v>2.5879547542000003E-2</v>
      </c>
      <c r="L612" s="289" t="s">
        <v>1583</v>
      </c>
    </row>
    <row r="613" spans="1:12">
      <c r="A613" s="216" t="s">
        <v>1433</v>
      </c>
      <c r="C613" s="261">
        <v>0.3824173441</v>
      </c>
      <c r="D613" s="261">
        <v>0.37935673930000002</v>
      </c>
      <c r="E613" s="261">
        <v>0.3824173441</v>
      </c>
      <c r="F613" s="261">
        <v>0.37935673930000002</v>
      </c>
      <c r="G613" s="261">
        <v>0.3824173441</v>
      </c>
      <c r="H613" s="261">
        <v>0.37939999999999996</v>
      </c>
      <c r="J613" s="263" t="s">
        <v>1434</v>
      </c>
      <c r="L613" s="218">
        <v>13386071.029999999</v>
      </c>
    </row>
    <row r="614" spans="1:12">
      <c r="C614" s="216" t="s">
        <v>1432</v>
      </c>
      <c r="D614" s="216" t="s">
        <v>1432</v>
      </c>
      <c r="E614" s="216" t="s">
        <v>1432</v>
      </c>
      <c r="F614" s="216" t="s">
        <v>1432</v>
      </c>
      <c r="G614" s="216" t="s">
        <v>1432</v>
      </c>
      <c r="H614" s="216" t="s">
        <v>1432</v>
      </c>
      <c r="L614" s="289" t="s">
        <v>510</v>
      </c>
    </row>
    <row r="615" spans="1:12">
      <c r="A615" s="216" t="s">
        <v>1435</v>
      </c>
      <c r="C615" s="261">
        <v>8.9099387163491348E-2</v>
      </c>
      <c r="D615" s="261">
        <v>8.5979118389158907E-2</v>
      </c>
      <c r="E615" s="261">
        <v>7.8656172017486689E-2</v>
      </c>
      <c r="F615" s="261">
        <v>6.8215361740378594E-2</v>
      </c>
      <c r="G615" s="261">
        <v>7.8656172017486689E-2</v>
      </c>
      <c r="H615" s="261">
        <v>6.8211775282024267E-2</v>
      </c>
      <c r="I615" s="224" t="s">
        <v>1148</v>
      </c>
      <c r="J615" s="263" t="s">
        <v>1436</v>
      </c>
      <c r="L615" s="218">
        <v>0</v>
      </c>
    </row>
    <row r="616" spans="1:12">
      <c r="C616" s="263" t="s">
        <v>1437</v>
      </c>
      <c r="D616" s="263" t="s">
        <v>1437</v>
      </c>
      <c r="E616" s="263" t="s">
        <v>1437</v>
      </c>
      <c r="F616" s="263" t="s">
        <v>1437</v>
      </c>
      <c r="G616" s="263" t="s">
        <v>1437</v>
      </c>
      <c r="H616" s="263" t="s">
        <v>1437</v>
      </c>
      <c r="I616" s="224" t="s">
        <v>1151</v>
      </c>
      <c r="L616" s="289" t="s">
        <v>510</v>
      </c>
    </row>
    <row r="617" spans="1:12">
      <c r="C617" s="216" t="s">
        <v>2528</v>
      </c>
      <c r="D617" s="216" t="s">
        <v>1152</v>
      </c>
      <c r="E617" s="216" t="s">
        <v>1153</v>
      </c>
      <c r="F617" s="216" t="s">
        <v>1154</v>
      </c>
      <c r="H617" s="216" t="s">
        <v>1193</v>
      </c>
      <c r="I617" s="224" t="s">
        <v>2655</v>
      </c>
      <c r="J617" s="216" t="s">
        <v>1155</v>
      </c>
    </row>
    <row r="618" spans="1:12">
      <c r="A618" s="216" t="s">
        <v>1165</v>
      </c>
      <c r="C618" s="216" t="s">
        <v>1156</v>
      </c>
      <c r="D618" s="216" t="s">
        <v>1438</v>
      </c>
      <c r="E618" s="216" t="s">
        <v>1158</v>
      </c>
      <c r="F618" s="216" t="s">
        <v>1159</v>
      </c>
      <c r="G618" s="216" t="s">
        <v>1160</v>
      </c>
      <c r="H618" s="216" t="s">
        <v>1194</v>
      </c>
      <c r="I618" s="224" t="s">
        <v>1098</v>
      </c>
      <c r="J618" s="216" t="s">
        <v>1161</v>
      </c>
      <c r="K618" s="216" t="s">
        <v>1162</v>
      </c>
      <c r="L618" s="216" t="s">
        <v>1163</v>
      </c>
    </row>
    <row r="619" spans="1:12">
      <c r="A619" s="216" t="s">
        <v>1439</v>
      </c>
      <c r="C619" s="216" t="s">
        <v>1878</v>
      </c>
      <c r="D619" s="216" t="s">
        <v>1878</v>
      </c>
      <c r="E619" s="216" t="s">
        <v>1878</v>
      </c>
      <c r="F619" s="216" t="s">
        <v>1878</v>
      </c>
      <c r="G619" s="216" t="s">
        <v>1878</v>
      </c>
      <c r="H619" s="216" t="s">
        <v>1878</v>
      </c>
      <c r="I619" s="219" t="s">
        <v>1583</v>
      </c>
      <c r="J619" s="216" t="s">
        <v>1878</v>
      </c>
      <c r="K619" s="216" t="s">
        <v>1878</v>
      </c>
      <c r="L619" s="216" t="s">
        <v>1878</v>
      </c>
    </row>
    <row r="620" spans="1:12">
      <c r="A620" s="216" t="s">
        <v>1440</v>
      </c>
      <c r="C620" s="218">
        <v>1195182225.8299999</v>
      </c>
      <c r="D620" s="218">
        <v>86563058.700000003</v>
      </c>
      <c r="E620" s="218">
        <v>97998345.260000005</v>
      </c>
      <c r="F620" s="218">
        <v>35913603.859999999</v>
      </c>
      <c r="G620" s="218">
        <v>0</v>
      </c>
      <c r="H620" s="218">
        <v>406766910.43000001</v>
      </c>
      <c r="I620" s="218">
        <v>-38551279.950000003</v>
      </c>
      <c r="J620" s="218">
        <v>1113445382.6900001</v>
      </c>
      <c r="K620" s="218">
        <v>7771484</v>
      </c>
      <c r="L620" s="218">
        <v>2905089730.8199997</v>
      </c>
    </row>
    <row r="621" spans="1:12">
      <c r="A621" s="216" t="s">
        <v>1168</v>
      </c>
      <c r="C621" s="218">
        <v>0</v>
      </c>
      <c r="D621" s="218">
        <v>0</v>
      </c>
      <c r="E621" s="218">
        <v>0</v>
      </c>
      <c r="F621" s="218">
        <v>0</v>
      </c>
      <c r="G621" s="218">
        <v>0</v>
      </c>
      <c r="H621" s="218">
        <v>0</v>
      </c>
      <c r="I621" s="218">
        <v>0</v>
      </c>
      <c r="J621" s="218">
        <v>0</v>
      </c>
      <c r="K621" s="218">
        <v>0</v>
      </c>
      <c r="L621" s="218">
        <v>0</v>
      </c>
    </row>
    <row r="622" spans="1:12">
      <c r="B622" s="84"/>
      <c r="C622" s="216" t="s">
        <v>1878</v>
      </c>
      <c r="D622" s="216" t="s">
        <v>1878</v>
      </c>
      <c r="E622" s="216" t="s">
        <v>1878</v>
      </c>
      <c r="F622" s="216" t="s">
        <v>1878</v>
      </c>
      <c r="G622" s="216" t="s">
        <v>1878</v>
      </c>
      <c r="H622" s="216" t="s">
        <v>1878</v>
      </c>
      <c r="I622" s="219" t="s">
        <v>1583</v>
      </c>
      <c r="J622" s="216" t="s">
        <v>1878</v>
      </c>
      <c r="K622" s="216" t="s">
        <v>1878</v>
      </c>
      <c r="L622" s="216" t="s">
        <v>1878</v>
      </c>
    </row>
    <row r="623" spans="1:12">
      <c r="C623" s="218">
        <v>1195182225.8299999</v>
      </c>
      <c r="D623" s="218">
        <v>86563058.700000003</v>
      </c>
      <c r="E623" s="218">
        <v>97998345.260000005</v>
      </c>
      <c r="F623" s="218">
        <v>35913603.859999999</v>
      </c>
      <c r="G623" s="218">
        <v>0</v>
      </c>
      <c r="H623" s="218">
        <v>406766910.43000001</v>
      </c>
      <c r="I623" s="218">
        <v>-38551279.950000003</v>
      </c>
      <c r="J623" s="218">
        <v>1113445382.6900001</v>
      </c>
      <c r="K623" s="218">
        <v>7771484</v>
      </c>
      <c r="L623" s="218">
        <v>2905089730.8199997</v>
      </c>
    </row>
    <row r="624" spans="1:12">
      <c r="A624" s="216" t="s">
        <v>1169</v>
      </c>
      <c r="C624" s="261">
        <v>0.41140974516220674</v>
      </c>
      <c r="D624" s="261">
        <v>2.9797034419162826E-2</v>
      </c>
      <c r="E624" s="261">
        <v>3.3733328172393037E-2</v>
      </c>
      <c r="F624" s="261">
        <v>1.2362304502678103E-2</v>
      </c>
      <c r="G624" s="261">
        <v>0</v>
      </c>
      <c r="H624" s="261">
        <v>0.14001870789553364</v>
      </c>
      <c r="I624" s="261">
        <v>-1.3270254457551091E-2</v>
      </c>
      <c r="J624" s="261">
        <v>0.38327400729743227</v>
      </c>
      <c r="K624" s="261">
        <v>2.6751270081445629E-3</v>
      </c>
      <c r="L624" s="261">
        <v>1.0000000000000002</v>
      </c>
    </row>
    <row r="625" spans="1:14">
      <c r="A625" s="236" t="s">
        <v>1170</v>
      </c>
      <c r="B625" s="215">
        <v>65899981.044723481</v>
      </c>
      <c r="C625" s="215">
        <v>0</v>
      </c>
      <c r="D625" s="215">
        <v>15102690</v>
      </c>
      <c r="E625" s="215">
        <v>0</v>
      </c>
      <c r="H625" s="215">
        <v>0</v>
      </c>
      <c r="J625" s="218">
        <v>13381550.029999999</v>
      </c>
      <c r="L625" s="218">
        <v>28484240.030000001</v>
      </c>
    </row>
    <row r="626" spans="1:14">
      <c r="A626" s="216" t="s">
        <v>1200</v>
      </c>
      <c r="B626" s="215">
        <v>65899981.044723481</v>
      </c>
      <c r="J626" s="218">
        <v>0</v>
      </c>
      <c r="L626" s="218">
        <v>0</v>
      </c>
    </row>
    <row r="627" spans="1:14">
      <c r="C627" s="216" t="s">
        <v>1878</v>
      </c>
      <c r="D627" s="216" t="s">
        <v>1878</v>
      </c>
      <c r="E627" s="216" t="s">
        <v>1878</v>
      </c>
      <c r="F627" s="216" t="s">
        <v>1878</v>
      </c>
      <c r="G627" s="216" t="s">
        <v>1878</v>
      </c>
      <c r="H627" s="216" t="s">
        <v>1878</v>
      </c>
      <c r="I627" s="219" t="s">
        <v>1583</v>
      </c>
      <c r="J627" s="216" t="s">
        <v>1878</v>
      </c>
      <c r="K627" s="216" t="s">
        <v>1878</v>
      </c>
      <c r="L627" s="216" t="s">
        <v>1878</v>
      </c>
    </row>
    <row r="628" spans="1:14">
      <c r="C628" s="218">
        <v>1195182225.8299999</v>
      </c>
      <c r="D628" s="218">
        <v>71460368.700000003</v>
      </c>
      <c r="E628" s="218">
        <v>97998345.260000005</v>
      </c>
      <c r="F628" s="218">
        <v>35913603.859999999</v>
      </c>
      <c r="G628" s="218">
        <v>0</v>
      </c>
      <c r="H628" s="218">
        <v>406766910.43000001</v>
      </c>
      <c r="I628" s="218">
        <v>-38551279.950000003</v>
      </c>
      <c r="J628" s="218">
        <v>1100063832.6600001</v>
      </c>
      <c r="K628" s="218">
        <v>7771484</v>
      </c>
      <c r="L628" s="218">
        <v>2876605490.7899995</v>
      </c>
    </row>
    <row r="629" spans="1:14">
      <c r="C629" s="261">
        <v>0.49262400000000001</v>
      </c>
      <c r="D629" s="261">
        <v>2.9454000000000001E-2</v>
      </c>
      <c r="E629" s="261">
        <v>4.0391999999999997E-2</v>
      </c>
      <c r="F629" s="261"/>
      <c r="G629" s="261"/>
      <c r="J629" s="261">
        <v>0.45341900000000002</v>
      </c>
      <c r="L629" s="261">
        <v>1.0159</v>
      </c>
    </row>
    <row r="630" spans="1:14">
      <c r="C630" s="216" t="s">
        <v>1878</v>
      </c>
      <c r="D630" s="216" t="s">
        <v>1878</v>
      </c>
      <c r="E630" s="216" t="s">
        <v>1878</v>
      </c>
      <c r="F630" s="216" t="s">
        <v>1878</v>
      </c>
      <c r="G630" s="216" t="s">
        <v>1878</v>
      </c>
      <c r="H630" s="216" t="s">
        <v>1878</v>
      </c>
      <c r="I630" s="219" t="s">
        <v>1583</v>
      </c>
      <c r="J630" s="216" t="s">
        <v>1878</v>
      </c>
      <c r="K630" s="216" t="s">
        <v>1878</v>
      </c>
      <c r="L630" s="216" t="s">
        <v>1878</v>
      </c>
      <c r="M630" s="218">
        <v>0</v>
      </c>
    </row>
    <row r="631" spans="1:14">
      <c r="C631" s="218">
        <v>1195182225.8299999</v>
      </c>
      <c r="D631" s="218">
        <v>71460368.700000003</v>
      </c>
      <c r="E631" s="218">
        <v>97998345.260000005</v>
      </c>
      <c r="F631" s="218">
        <v>35913603.859999999</v>
      </c>
      <c r="G631" s="218">
        <v>0</v>
      </c>
      <c r="H631" s="218">
        <v>406766910.43000001</v>
      </c>
      <c r="I631" s="218">
        <v>-38551279.950000003</v>
      </c>
      <c r="J631" s="218">
        <v>1100063832.6600001</v>
      </c>
      <c r="K631" s="218">
        <v>7771484</v>
      </c>
      <c r="L631" s="218">
        <v>2876605490.7899995</v>
      </c>
    </row>
    <row r="632" spans="1:14">
      <c r="A632" s="216" t="s">
        <v>1172</v>
      </c>
      <c r="C632" s="261">
        <v>0.41548353768238416</v>
      </c>
      <c r="D632" s="261">
        <v>2.4841907911527662E-2</v>
      </c>
      <c r="E632" s="261">
        <v>3.4067356672216741E-2</v>
      </c>
      <c r="F632" s="261">
        <v>1.2484716439214292E-2</v>
      </c>
      <c r="G632" s="261">
        <v>0</v>
      </c>
      <c r="H632" s="261">
        <v>0.14140517764161328</v>
      </c>
      <c r="I632" s="261">
        <v>-1.3401656943723868E-2</v>
      </c>
      <c r="J632" s="261">
        <v>0.38241734439500447</v>
      </c>
      <c r="K632" s="261">
        <v>2.7016162017634627E-3</v>
      </c>
      <c r="L632" s="261">
        <v>1.0000000000000002</v>
      </c>
    </row>
    <row r="633" spans="1:14">
      <c r="A633" s="216" t="s">
        <v>1173</v>
      </c>
    </row>
    <row r="634" spans="1:14">
      <c r="A634" s="216" t="s">
        <v>1441</v>
      </c>
      <c r="C634" s="218">
        <v>0</v>
      </c>
      <c r="D634" s="218">
        <v>0</v>
      </c>
      <c r="E634" s="218">
        <v>0</v>
      </c>
      <c r="F634" s="218">
        <v>0</v>
      </c>
      <c r="G634" s="218">
        <v>0</v>
      </c>
      <c r="H634" s="218">
        <v>0</v>
      </c>
      <c r="I634" s="218">
        <v>0</v>
      </c>
      <c r="J634" s="218">
        <v>0</v>
      </c>
      <c r="K634" s="218">
        <v>0</v>
      </c>
      <c r="L634" s="218">
        <v>0</v>
      </c>
    </row>
    <row r="635" spans="1:14">
      <c r="A635" s="216" t="s">
        <v>1442</v>
      </c>
      <c r="C635" s="218">
        <v>407112387.82603526</v>
      </c>
      <c r="D635" s="218">
        <v>24341394</v>
      </c>
      <c r="E635" s="218">
        <v>33380969</v>
      </c>
      <c r="F635" s="218">
        <v>12233175</v>
      </c>
      <c r="G635" s="218">
        <v>0</v>
      </c>
      <c r="H635" s="218">
        <v>138556150</v>
      </c>
      <c r="I635" s="218">
        <v>-13131641</v>
      </c>
      <c r="J635" s="218">
        <v>374712412</v>
      </c>
      <c r="K635" s="218">
        <v>2647184</v>
      </c>
      <c r="L635" s="218">
        <v>979852030.82603526</v>
      </c>
    </row>
    <row r="636" spans="1:14">
      <c r="A636" s="216" t="s">
        <v>1176</v>
      </c>
      <c r="C636" s="218">
        <v>0</v>
      </c>
      <c r="D636" s="218">
        <v>0</v>
      </c>
      <c r="E636" s="218">
        <v>0</v>
      </c>
      <c r="F636" s="218">
        <v>0</v>
      </c>
      <c r="G636" s="218">
        <v>0</v>
      </c>
      <c r="H636" s="218">
        <v>0</v>
      </c>
      <c r="I636" s="218">
        <v>0</v>
      </c>
      <c r="J636" s="218">
        <v>0</v>
      </c>
      <c r="K636" s="218">
        <v>0</v>
      </c>
      <c r="L636" s="218">
        <v>0</v>
      </c>
      <c r="M636" s="224" t="s">
        <v>1364</v>
      </c>
    </row>
    <row r="637" spans="1:14">
      <c r="C637" s="216" t="s">
        <v>1878</v>
      </c>
      <c r="D637" s="216" t="s">
        <v>1878</v>
      </c>
      <c r="E637" s="216" t="s">
        <v>1878</v>
      </c>
      <c r="F637" s="216" t="s">
        <v>1878</v>
      </c>
      <c r="G637" s="216" t="s">
        <v>1878</v>
      </c>
      <c r="H637" s="216" t="s">
        <v>1878</v>
      </c>
      <c r="I637" s="219" t="s">
        <v>1583</v>
      </c>
      <c r="J637" s="216" t="s">
        <v>1878</v>
      </c>
      <c r="K637" s="216" t="s">
        <v>1878</v>
      </c>
      <c r="L637" s="216" t="s">
        <v>1878</v>
      </c>
      <c r="M637" s="224" t="s">
        <v>1443</v>
      </c>
    </row>
    <row r="638" spans="1:14">
      <c r="C638" s="218">
        <v>788069838.00396466</v>
      </c>
      <c r="D638" s="218">
        <v>47118974.700000003</v>
      </c>
      <c r="E638" s="218">
        <v>64617376.260000005</v>
      </c>
      <c r="F638" s="218">
        <v>23680428.859999999</v>
      </c>
      <c r="G638" s="218">
        <v>0</v>
      </c>
      <c r="H638" s="218">
        <v>268210760.43000001</v>
      </c>
      <c r="I638" s="218">
        <v>-25419638.950000003</v>
      </c>
      <c r="J638" s="218">
        <v>725351420.66000009</v>
      </c>
      <c r="K638" s="218">
        <v>5124300</v>
      </c>
      <c r="L638" s="218">
        <v>1896753459.9639642</v>
      </c>
      <c r="M638" s="218">
        <v>1896753459.9639642</v>
      </c>
      <c r="N638" s="218">
        <v>0</v>
      </c>
    </row>
    <row r="639" spans="1:14">
      <c r="C639" s="216" t="s">
        <v>736</v>
      </c>
      <c r="D639" s="216" t="s">
        <v>736</v>
      </c>
      <c r="E639" s="216" t="s">
        <v>736</v>
      </c>
      <c r="F639" s="216" t="s">
        <v>736</v>
      </c>
      <c r="G639" s="216" t="s">
        <v>736</v>
      </c>
      <c r="H639" s="216" t="s">
        <v>736</v>
      </c>
      <c r="I639" s="219" t="s">
        <v>510</v>
      </c>
      <c r="J639" s="216" t="s">
        <v>736</v>
      </c>
      <c r="K639" s="216" t="s">
        <v>736</v>
      </c>
      <c r="L639" s="216" t="s">
        <v>736</v>
      </c>
      <c r="M639" s="88" t="s">
        <v>3501</v>
      </c>
    </row>
    <row r="640" spans="1:14">
      <c r="A640" s="216" t="s">
        <v>1189</v>
      </c>
      <c r="C640" s="218">
        <v>788069838.00396466</v>
      </c>
      <c r="E640" s="218">
        <v>64617376.260000005</v>
      </c>
      <c r="J640" s="218">
        <v>725351420.66000009</v>
      </c>
      <c r="L640" s="218">
        <v>1578038634.9239647</v>
      </c>
    </row>
    <row r="641" spans="1:12">
      <c r="A641" s="216" t="s">
        <v>2564</v>
      </c>
      <c r="C641" s="261">
        <v>0.49939999999999996</v>
      </c>
      <c r="D641" s="261"/>
      <c r="E641" s="261">
        <v>4.0899999999999999E-2</v>
      </c>
      <c r="F641" s="261"/>
      <c r="G641" s="261"/>
      <c r="H641" s="261"/>
      <c r="J641" s="261">
        <v>0.4597</v>
      </c>
      <c r="K641" s="261"/>
      <c r="L641" s="261">
        <v>1</v>
      </c>
    </row>
    <row r="642" spans="1:12">
      <c r="A642" s="216" t="s">
        <v>2565</v>
      </c>
      <c r="C642" s="261">
        <v>4.5776796799999998E-2</v>
      </c>
      <c r="D642" s="261"/>
      <c r="E642" s="261">
        <v>6.3291885000000006E-2</v>
      </c>
      <c r="F642" s="261"/>
      <c r="G642" s="261"/>
      <c r="H642" s="261"/>
      <c r="J642" s="265">
        <v>0.12</v>
      </c>
    </row>
    <row r="643" spans="1:12">
      <c r="C643" s="216" t="s">
        <v>1180</v>
      </c>
      <c r="E643" s="216" t="s">
        <v>1180</v>
      </c>
      <c r="J643" s="216" t="s">
        <v>1180</v>
      </c>
      <c r="L643" s="216" t="s">
        <v>1180</v>
      </c>
    </row>
    <row r="644" spans="1:12">
      <c r="C644" s="261">
        <v>2.2860932300000001E-2</v>
      </c>
      <c r="D644" s="261"/>
      <c r="E644" s="261">
        <v>2.5886380999999999E-3</v>
      </c>
      <c r="F644" s="261"/>
      <c r="G644" s="261"/>
      <c r="H644" s="261"/>
      <c r="J644" s="261">
        <v>5.5163999999999998E-2</v>
      </c>
      <c r="K644" s="261"/>
      <c r="L644" s="261">
        <v>8.0613570400000001E-2</v>
      </c>
    </row>
    <row r="645" spans="1:12">
      <c r="C645" s="216" t="s">
        <v>1183</v>
      </c>
      <c r="E645" s="216" t="s">
        <v>1183</v>
      </c>
      <c r="J645" s="216" t="s">
        <v>1183</v>
      </c>
      <c r="L645" s="216" t="s">
        <v>1183</v>
      </c>
    </row>
    <row r="646" spans="1:12">
      <c r="A646" s="216" t="s">
        <v>2564</v>
      </c>
      <c r="C646" s="261">
        <v>0.41548353789999998</v>
      </c>
      <c r="D646" s="261">
        <v>2.4841907900000001E-2</v>
      </c>
      <c r="E646" s="261">
        <v>3.40673565E-2</v>
      </c>
      <c r="F646" s="261">
        <v>1.24847163E-2</v>
      </c>
      <c r="G646" s="261">
        <v>0</v>
      </c>
      <c r="H646" s="261">
        <v>0.14140517780000006</v>
      </c>
      <c r="I646" s="261">
        <v>-1.34016568E-2</v>
      </c>
      <c r="J646" s="261">
        <v>0.3824173441</v>
      </c>
      <c r="K646" s="261">
        <v>2.7016163000000001E-3</v>
      </c>
      <c r="L646" s="261">
        <v>1</v>
      </c>
    </row>
    <row r="647" spans="1:12">
      <c r="A647" s="216" t="s">
        <v>1179</v>
      </c>
      <c r="C647" s="261">
        <v>4.5776796799999998E-2</v>
      </c>
      <c r="D647" s="265">
        <v>2.2081479429053494E-3</v>
      </c>
      <c r="E647" s="261">
        <v>6.3291885000000006E-2</v>
      </c>
      <c r="F647" s="261">
        <v>5.8900000000000001E-2</v>
      </c>
      <c r="J647" s="265">
        <v>0.12</v>
      </c>
      <c r="K647" s="261">
        <v>8.0613570400000001E-2</v>
      </c>
    </row>
    <row r="648" spans="1:12">
      <c r="C648" s="263" t="s">
        <v>1180</v>
      </c>
      <c r="D648" s="263" t="s">
        <v>1180</v>
      </c>
      <c r="E648" s="263" t="s">
        <v>1180</v>
      </c>
      <c r="F648" s="263" t="s">
        <v>1180</v>
      </c>
      <c r="K648" s="263" t="s">
        <v>1180</v>
      </c>
      <c r="L648" s="263" t="s">
        <v>1180</v>
      </c>
    </row>
    <row r="649" spans="1:12">
      <c r="A649" s="216" t="s">
        <v>1182</v>
      </c>
      <c r="C649" s="261">
        <v>1.9019505499999999E-2</v>
      </c>
      <c r="D649" s="261">
        <v>5.4854600000000002E-5</v>
      </c>
      <c r="E649" s="261">
        <v>2.1561872E-3</v>
      </c>
      <c r="F649" s="261">
        <v>7.353498E-4</v>
      </c>
      <c r="K649" s="261">
        <v>2.1778689999999999E-4</v>
      </c>
      <c r="L649" s="261">
        <v>2.2183683999999999E-2</v>
      </c>
    </row>
    <row r="650" spans="1:12">
      <c r="C650" s="216" t="s">
        <v>1183</v>
      </c>
      <c r="D650" s="216" t="s">
        <v>1183</v>
      </c>
      <c r="E650" s="216" t="s">
        <v>1183</v>
      </c>
      <c r="F650" s="216" t="s">
        <v>1183</v>
      </c>
      <c r="K650" s="216" t="s">
        <v>1183</v>
      </c>
      <c r="L650" s="216" t="s">
        <v>1183</v>
      </c>
    </row>
    <row r="651" spans="1:12">
      <c r="A651" s="216" t="s">
        <v>2564</v>
      </c>
      <c r="C651" s="261">
        <v>0.41548353789999998</v>
      </c>
      <c r="D651" s="261">
        <v>2.4841907900000001E-2</v>
      </c>
      <c r="E651" s="261">
        <v>3.40673565E-2</v>
      </c>
      <c r="F651" s="261">
        <v>1.24847163E-2</v>
      </c>
      <c r="G651" s="261">
        <v>0</v>
      </c>
      <c r="H651" s="261">
        <v>0.14140517780000006</v>
      </c>
      <c r="I651" s="261">
        <v>-1.34016568E-2</v>
      </c>
      <c r="J651" s="261">
        <v>0.3824173441</v>
      </c>
      <c r="K651" s="261">
        <v>2.7016163000000001E-3</v>
      </c>
      <c r="L651" s="261">
        <v>1</v>
      </c>
    </row>
    <row r="652" spans="1:12">
      <c r="A652" s="216" t="s">
        <v>1185</v>
      </c>
      <c r="C652" s="261">
        <v>4.5776796799999998E-2</v>
      </c>
      <c r="D652" s="261">
        <v>2.2081479429053494E-3</v>
      </c>
      <c r="E652" s="261">
        <v>6.3291885000000006E-2</v>
      </c>
      <c r="F652" s="261">
        <v>5.8900000000000001E-2</v>
      </c>
      <c r="J652" s="265">
        <v>0.12</v>
      </c>
      <c r="K652" s="261">
        <v>8.0613570400000001E-2</v>
      </c>
    </row>
    <row r="653" spans="1:12">
      <c r="C653" s="263" t="s">
        <v>1180</v>
      </c>
      <c r="D653" s="263" t="s">
        <v>1180</v>
      </c>
      <c r="E653" s="263" t="s">
        <v>1180</v>
      </c>
      <c r="F653" s="263" t="s">
        <v>1180</v>
      </c>
      <c r="K653" s="263" t="s">
        <v>1180</v>
      </c>
      <c r="L653" s="263" t="s">
        <v>1180</v>
      </c>
    </row>
    <row r="654" spans="1:12">
      <c r="A654" s="216" t="s">
        <v>1186</v>
      </c>
      <c r="C654" s="261">
        <v>1.9019505499999999E-2</v>
      </c>
      <c r="D654" s="261">
        <v>5.4854600000000002E-5</v>
      </c>
      <c r="E654" s="261">
        <v>2.1561872E-3</v>
      </c>
      <c r="F654" s="261">
        <v>7.353498E-4</v>
      </c>
      <c r="K654" s="261">
        <v>2.1778689999999999E-4</v>
      </c>
      <c r="L654" s="261">
        <v>2.2183683999999999E-2</v>
      </c>
    </row>
    <row r="655" spans="1:12">
      <c r="C655" s="216" t="s">
        <v>1183</v>
      </c>
      <c r="D655" s="216" t="s">
        <v>1183</v>
      </c>
      <c r="E655" s="216" t="s">
        <v>1183</v>
      </c>
      <c r="F655" s="216" t="s">
        <v>1183</v>
      </c>
      <c r="K655" s="216" t="s">
        <v>1183</v>
      </c>
      <c r="L655" s="216" t="s">
        <v>1183</v>
      </c>
    </row>
    <row r="656" spans="1:12">
      <c r="A656" s="216" t="s">
        <v>2564</v>
      </c>
      <c r="C656" s="261">
        <v>0.41548353789999998</v>
      </c>
      <c r="D656" s="261">
        <v>2.4841907900000001E-2</v>
      </c>
      <c r="E656" s="261">
        <v>3.40673565E-2</v>
      </c>
      <c r="F656" s="261">
        <v>1.24847163E-2</v>
      </c>
      <c r="G656" s="261">
        <v>0</v>
      </c>
      <c r="H656" s="261">
        <v>0.14140517780000006</v>
      </c>
      <c r="I656" s="261">
        <v>-1.34016568E-2</v>
      </c>
      <c r="J656" s="261">
        <v>0.3824173441</v>
      </c>
      <c r="K656" s="261">
        <v>2.7016163000000001E-3</v>
      </c>
      <c r="L656" s="261">
        <v>1</v>
      </c>
    </row>
    <row r="657" spans="1:12">
      <c r="A657" s="216" t="s">
        <v>1187</v>
      </c>
      <c r="C657" s="261">
        <v>4.5776796799999998E-2</v>
      </c>
      <c r="D657" s="261">
        <v>2.2081479429053494E-3</v>
      </c>
      <c r="E657" s="261">
        <v>6.3291885000000006E-2</v>
      </c>
      <c r="F657" s="261">
        <v>5.8900000000000001E-2</v>
      </c>
      <c r="J657" s="265">
        <v>0.12</v>
      </c>
      <c r="K657" s="261">
        <v>8.0613570400000001E-2</v>
      </c>
    </row>
    <row r="658" spans="1:12">
      <c r="C658" s="263" t="s">
        <v>1180</v>
      </c>
      <c r="D658" s="263" t="s">
        <v>1180</v>
      </c>
      <c r="E658" s="263" t="s">
        <v>1180</v>
      </c>
      <c r="F658" s="263" t="s">
        <v>1180</v>
      </c>
      <c r="K658" s="263" t="s">
        <v>1180</v>
      </c>
      <c r="L658" s="263" t="s">
        <v>1180</v>
      </c>
    </row>
    <row r="659" spans="1:12">
      <c r="A659" s="216" t="s">
        <v>1444</v>
      </c>
      <c r="C659" s="261">
        <v>1.9019505499999999E-2</v>
      </c>
      <c r="D659" s="261">
        <v>5.4854600000000002E-5</v>
      </c>
      <c r="E659" s="261">
        <v>2.1561872E-3</v>
      </c>
      <c r="F659" s="261">
        <v>7.353498E-4</v>
      </c>
      <c r="K659" s="261">
        <v>2.1778689999999999E-4</v>
      </c>
      <c r="L659" s="261">
        <v>2.2183683999999999E-2</v>
      </c>
    </row>
    <row r="660" spans="1:12">
      <c r="C660" s="216" t="s">
        <v>1183</v>
      </c>
      <c r="D660" s="216" t="s">
        <v>1183</v>
      </c>
      <c r="E660" s="216" t="s">
        <v>1183</v>
      </c>
      <c r="F660" s="216" t="s">
        <v>1183</v>
      </c>
      <c r="K660" s="216" t="s">
        <v>1183</v>
      </c>
      <c r="L660" s="216" t="s">
        <v>1183</v>
      </c>
    </row>
    <row r="661" spans="1:12">
      <c r="A661" s="263" t="s">
        <v>1417</v>
      </c>
      <c r="I661" s="224" t="s">
        <v>1148</v>
      </c>
      <c r="L661" s="216" t="s">
        <v>1149</v>
      </c>
    </row>
    <row r="662" spans="1:12">
      <c r="A662" s="216" t="s">
        <v>1445</v>
      </c>
      <c r="I662" s="224" t="s">
        <v>1151</v>
      </c>
    </row>
    <row r="663" spans="1:12">
      <c r="A663" s="216" t="s">
        <v>1557</v>
      </c>
      <c r="C663" s="216" t="s">
        <v>2528</v>
      </c>
      <c r="D663" s="216" t="s">
        <v>1152</v>
      </c>
      <c r="E663" s="216" t="s">
        <v>1153</v>
      </c>
      <c r="F663" s="216" t="s">
        <v>1154</v>
      </c>
      <c r="H663" s="216" t="s">
        <v>1193</v>
      </c>
      <c r="I663" s="224" t="s">
        <v>2655</v>
      </c>
      <c r="J663" s="216" t="s">
        <v>1155</v>
      </c>
    </row>
    <row r="664" spans="1:12">
      <c r="C664" s="216" t="s">
        <v>1156</v>
      </c>
      <c r="D664" s="216" t="s">
        <v>1438</v>
      </c>
      <c r="E664" s="216" t="s">
        <v>1158</v>
      </c>
      <c r="F664" s="216" t="s">
        <v>1159</v>
      </c>
      <c r="G664" s="216" t="s">
        <v>1160</v>
      </c>
      <c r="H664" s="216" t="s">
        <v>1194</v>
      </c>
      <c r="I664" s="224" t="s">
        <v>1098</v>
      </c>
      <c r="J664" s="216" t="s">
        <v>1161</v>
      </c>
      <c r="K664" s="216" t="s">
        <v>1162</v>
      </c>
      <c r="L664" s="216" t="s">
        <v>1163</v>
      </c>
    </row>
    <row r="665" spans="1:12">
      <c r="C665" s="216" t="s">
        <v>1878</v>
      </c>
      <c r="D665" s="216" t="s">
        <v>1878</v>
      </c>
      <c r="E665" s="216" t="s">
        <v>1878</v>
      </c>
      <c r="F665" s="216" t="s">
        <v>1878</v>
      </c>
      <c r="G665" s="216" t="s">
        <v>1878</v>
      </c>
      <c r="H665" s="216" t="s">
        <v>1878</v>
      </c>
      <c r="I665" s="219" t="s">
        <v>1583</v>
      </c>
      <c r="J665" s="216" t="s">
        <v>1878</v>
      </c>
      <c r="K665" s="216" t="s">
        <v>1878</v>
      </c>
      <c r="L665" s="216" t="s">
        <v>1878</v>
      </c>
    </row>
    <row r="666" spans="1:12">
      <c r="A666" s="216" t="s">
        <v>1195</v>
      </c>
    </row>
    <row r="667" spans="1:12">
      <c r="A667" s="216" t="s">
        <v>1196</v>
      </c>
      <c r="K667" s="216" t="s">
        <v>2528</v>
      </c>
    </row>
    <row r="668" spans="1:12">
      <c r="A668" s="216" t="s">
        <v>1440</v>
      </c>
      <c r="C668" s="218">
        <v>1195182225.8299999</v>
      </c>
      <c r="D668" s="218">
        <v>86563058.700000003</v>
      </c>
      <c r="E668" s="218">
        <v>97998345.260000005</v>
      </c>
      <c r="F668" s="218">
        <v>35913603.859999999</v>
      </c>
      <c r="G668" s="218">
        <v>0</v>
      </c>
      <c r="H668" s="218">
        <v>406766910.43000001</v>
      </c>
      <c r="I668" s="218">
        <v>-38551279.950000003</v>
      </c>
      <c r="J668" s="218">
        <v>1113445382.6900001</v>
      </c>
      <c r="K668" s="218">
        <v>7771484</v>
      </c>
      <c r="L668" s="218">
        <v>2905089730.8199997</v>
      </c>
    </row>
    <row r="669" spans="1:12">
      <c r="A669" s="216" t="s">
        <v>1446</v>
      </c>
      <c r="C669" s="218">
        <v>0</v>
      </c>
      <c r="D669" s="218">
        <v>15102690</v>
      </c>
      <c r="E669" s="218">
        <v>0</v>
      </c>
      <c r="F669" s="218">
        <v>0</v>
      </c>
      <c r="G669" s="218">
        <v>0</v>
      </c>
      <c r="H669" s="218">
        <v>0</v>
      </c>
      <c r="I669" s="218">
        <v>0</v>
      </c>
      <c r="J669" s="218">
        <v>13381550.029999999</v>
      </c>
      <c r="K669" s="218">
        <v>0</v>
      </c>
      <c r="L669" s="218">
        <v>28484240.030000001</v>
      </c>
    </row>
    <row r="670" spans="1:12">
      <c r="A670" s="216" t="s">
        <v>1200</v>
      </c>
      <c r="C670" s="218">
        <v>0</v>
      </c>
      <c r="D670" s="218">
        <v>0</v>
      </c>
      <c r="E670" s="218">
        <v>0</v>
      </c>
      <c r="F670" s="218">
        <v>0</v>
      </c>
      <c r="G670" s="218">
        <v>0</v>
      </c>
      <c r="H670" s="218">
        <v>0</v>
      </c>
      <c r="I670" s="218">
        <v>0</v>
      </c>
      <c r="J670" s="218">
        <v>0</v>
      </c>
      <c r="K670" s="218">
        <v>0</v>
      </c>
      <c r="L670" s="218">
        <v>0</v>
      </c>
    </row>
    <row r="671" spans="1:12">
      <c r="A671" s="216" t="s">
        <v>1447</v>
      </c>
      <c r="C671" s="218">
        <v>119900987.04472964</v>
      </c>
      <c r="D671" s="218">
        <v>8684028.2221676521</v>
      </c>
      <c r="E671" s="218">
        <v>9831219.0990493447</v>
      </c>
      <c r="F671" s="84">
        <v>0</v>
      </c>
      <c r="G671" s="218">
        <v>0</v>
      </c>
      <c r="H671" s="218">
        <v>20370387.805358734</v>
      </c>
      <c r="I671" s="218">
        <v>-1930600.8007000675</v>
      </c>
      <c r="J671" s="218">
        <v>110358685.47705732</v>
      </c>
      <c r="K671" s="218">
        <v>1448854</v>
      </c>
      <c r="L671" s="218">
        <v>268663560.84766263</v>
      </c>
    </row>
    <row r="672" spans="1:12">
      <c r="A672" s="216" t="s">
        <v>1448</v>
      </c>
      <c r="B672" s="84"/>
      <c r="C672" s="218">
        <v>0</v>
      </c>
      <c r="D672" s="218">
        <v>0</v>
      </c>
      <c r="E672" s="218">
        <v>0</v>
      </c>
      <c r="F672" s="218">
        <v>0</v>
      </c>
      <c r="G672" s="218">
        <v>0</v>
      </c>
      <c r="H672" s="218">
        <v>0</v>
      </c>
      <c r="I672" s="218">
        <v>0</v>
      </c>
      <c r="J672" s="218">
        <v>0</v>
      </c>
      <c r="K672" s="218">
        <v>0</v>
      </c>
      <c r="L672" s="218">
        <v>0</v>
      </c>
    </row>
    <row r="673" spans="1:14">
      <c r="C673" s="216" t="s">
        <v>1878</v>
      </c>
      <c r="D673" s="216" t="s">
        <v>1878</v>
      </c>
      <c r="E673" s="216" t="s">
        <v>1878</v>
      </c>
      <c r="F673" s="216" t="s">
        <v>1878</v>
      </c>
      <c r="G673" s="216" t="s">
        <v>1878</v>
      </c>
      <c r="H673" s="216" t="s">
        <v>1878</v>
      </c>
      <c r="I673" s="219" t="s">
        <v>1583</v>
      </c>
      <c r="J673" s="216" t="s">
        <v>1878</v>
      </c>
      <c r="K673" s="216" t="s">
        <v>1878</v>
      </c>
      <c r="L673" s="216" t="s">
        <v>1878</v>
      </c>
    </row>
    <row r="674" spans="1:14">
      <c r="C674" s="218">
        <v>1075281238.7852702</v>
      </c>
      <c r="D674" s="218">
        <v>62776340.477832347</v>
      </c>
      <c r="E674" s="218">
        <v>88167126.160950661</v>
      </c>
      <c r="F674" s="218">
        <v>35913603.859999999</v>
      </c>
      <c r="G674" s="218">
        <v>0</v>
      </c>
      <c r="H674" s="218">
        <v>386396522.6246413</v>
      </c>
      <c r="I674" s="218">
        <v>-36620679.149299935</v>
      </c>
      <c r="J674" s="218">
        <v>989705147.18294275</v>
      </c>
      <c r="K674" s="218">
        <v>6322630</v>
      </c>
      <c r="L674" s="218">
        <v>2607941929.942337</v>
      </c>
    </row>
    <row r="675" spans="1:14">
      <c r="C675" s="261">
        <v>0.49340463110116095</v>
      </c>
      <c r="D675" s="261">
        <v>2.8805614752784849E-2</v>
      </c>
      <c r="E675" s="261">
        <v>4.0456456217758473E-2</v>
      </c>
      <c r="F675" s="261">
        <v>0</v>
      </c>
      <c r="G675" s="261">
        <v>0</v>
      </c>
      <c r="J675" s="261">
        <v>0.45413709960788856</v>
      </c>
      <c r="L675" s="261">
        <v>1.0168038016795928</v>
      </c>
    </row>
    <row r="676" spans="1:14">
      <c r="A676" s="216" t="s">
        <v>1204</v>
      </c>
      <c r="C676" s="218">
        <v>0</v>
      </c>
      <c r="D676" s="218">
        <v>0</v>
      </c>
      <c r="E676" s="218">
        <v>0</v>
      </c>
      <c r="F676" s="218">
        <v>0</v>
      </c>
      <c r="G676" s="218">
        <v>0</v>
      </c>
      <c r="H676" s="218">
        <v>0</v>
      </c>
      <c r="I676" s="218">
        <v>0</v>
      </c>
      <c r="J676" s="218">
        <v>0</v>
      </c>
      <c r="K676" s="218">
        <v>0</v>
      </c>
      <c r="L676" s="218">
        <v>0</v>
      </c>
      <c r="M676" s="218">
        <v>0</v>
      </c>
    </row>
    <row r="677" spans="1:14">
      <c r="C677" s="218" t="s">
        <v>1878</v>
      </c>
      <c r="D677" s="216" t="s">
        <v>1878</v>
      </c>
      <c r="E677" s="216" t="s">
        <v>1878</v>
      </c>
      <c r="F677" s="216" t="s">
        <v>1878</v>
      </c>
      <c r="G677" s="216" t="s">
        <v>1878</v>
      </c>
      <c r="H677" s="216" t="s">
        <v>1878</v>
      </c>
      <c r="I677" s="219" t="s">
        <v>1583</v>
      </c>
      <c r="J677" s="216" t="s">
        <v>1878</v>
      </c>
      <c r="K677" s="216" t="s">
        <v>1878</v>
      </c>
      <c r="L677" s="216" t="s">
        <v>1878</v>
      </c>
    </row>
    <row r="678" spans="1:14">
      <c r="C678" s="218">
        <v>1075281238.7852702</v>
      </c>
      <c r="D678" s="218">
        <v>62776340.477832347</v>
      </c>
      <c r="E678" s="218">
        <v>88167126.160950661</v>
      </c>
      <c r="F678" s="218">
        <v>35913603.859999999</v>
      </c>
      <c r="G678" s="218">
        <v>0</v>
      </c>
      <c r="H678" s="218">
        <v>386396522.6246413</v>
      </c>
      <c r="I678" s="218">
        <v>-36620679.149299935</v>
      </c>
      <c r="J678" s="218">
        <v>989705147.18294275</v>
      </c>
      <c r="K678" s="218">
        <v>6322630</v>
      </c>
      <c r="L678" s="218">
        <v>2607941929.942337</v>
      </c>
    </row>
    <row r="679" spans="1:14">
      <c r="A679" s="216" t="s">
        <v>1449</v>
      </c>
      <c r="C679" s="261">
        <v>0.41231026904385298</v>
      </c>
      <c r="D679" s="261">
        <v>2.4071218671352996E-2</v>
      </c>
      <c r="E679" s="261">
        <v>3.3807166159907587E-2</v>
      </c>
      <c r="F679" s="261">
        <v>1.3770860251015661E-2</v>
      </c>
      <c r="G679" s="261">
        <v>0</v>
      </c>
      <c r="H679" s="261">
        <v>0.14816147483513359</v>
      </c>
      <c r="I679" s="261">
        <v>-1.4041984113545672E-2</v>
      </c>
      <c r="J679" s="261">
        <v>0.37949661985181765</v>
      </c>
      <c r="K679" s="261">
        <v>2.4243753004652971E-3</v>
      </c>
      <c r="L679" s="261">
        <v>1.0000000000000002</v>
      </c>
    </row>
    <row r="680" spans="1:14">
      <c r="A680" s="216" t="s">
        <v>1442</v>
      </c>
      <c r="C680" s="218">
        <v>404003055.82603526</v>
      </c>
      <c r="D680" s="218">
        <v>23586232</v>
      </c>
      <c r="E680" s="218">
        <v>33126020</v>
      </c>
      <c r="F680" s="218">
        <v>13493405</v>
      </c>
      <c r="G680" s="218">
        <v>0</v>
      </c>
      <c r="H680" s="218">
        <v>145176322</v>
      </c>
      <c r="I680" s="218">
        <v>-13759067</v>
      </c>
      <c r="J680" s="218">
        <v>371850534</v>
      </c>
      <c r="K680" s="218">
        <v>2375529</v>
      </c>
      <c r="L680" s="218">
        <v>979852030.82603526</v>
      </c>
    </row>
    <row r="681" spans="1:14">
      <c r="C681" s="216" t="s">
        <v>1878</v>
      </c>
      <c r="D681" s="216" t="s">
        <v>1878</v>
      </c>
      <c r="E681" s="216" t="s">
        <v>1878</v>
      </c>
      <c r="F681" s="216" t="s">
        <v>1878</v>
      </c>
      <c r="G681" s="216" t="s">
        <v>1878</v>
      </c>
      <c r="H681" s="216" t="s">
        <v>1878</v>
      </c>
      <c r="I681" s="219" t="s">
        <v>1583</v>
      </c>
      <c r="J681" s="216" t="s">
        <v>1878</v>
      </c>
      <c r="K681" s="216" t="s">
        <v>1878</v>
      </c>
      <c r="L681" s="216" t="s">
        <v>1878</v>
      </c>
    </row>
    <row r="682" spans="1:14">
      <c r="A682" s="216" t="s">
        <v>1450</v>
      </c>
      <c r="C682" s="218">
        <v>671278182.95923495</v>
      </c>
      <c r="D682" s="218">
        <v>39190108.477832347</v>
      </c>
      <c r="E682" s="218">
        <v>55041106.160950661</v>
      </c>
      <c r="F682" s="218">
        <v>22420198.859999999</v>
      </c>
      <c r="G682" s="218">
        <v>0</v>
      </c>
      <c r="H682" s="218">
        <v>241220200.6246413</v>
      </c>
      <c r="I682" s="218">
        <v>-22861612.149299935</v>
      </c>
      <c r="J682" s="218">
        <v>617854613.18294275</v>
      </c>
      <c r="K682" s="218">
        <v>3947101</v>
      </c>
      <c r="L682" s="218">
        <v>1628089899.1163018</v>
      </c>
    </row>
    <row r="683" spans="1:14">
      <c r="A683" s="216" t="s">
        <v>1210</v>
      </c>
      <c r="C683" s="251">
        <v>0.97392219081617259</v>
      </c>
      <c r="D683" s="251">
        <v>0.97392219081617259</v>
      </c>
      <c r="E683" s="251">
        <v>0.97392219081617259</v>
      </c>
      <c r="F683" s="89">
        <v>1</v>
      </c>
      <c r="G683" s="251">
        <v>0.97392219081617259</v>
      </c>
      <c r="H683" s="251">
        <v>0.97392219081617259</v>
      </c>
      <c r="I683" s="251">
        <v>0.97392219081617259</v>
      </c>
      <c r="J683" s="251">
        <v>0.97392219081617259</v>
      </c>
      <c r="K683" s="251">
        <v>0.97392219081617259</v>
      </c>
      <c r="L683" s="216" t="s">
        <v>1451</v>
      </c>
    </row>
    <row r="684" spans="1:14">
      <c r="C684" s="216" t="s">
        <v>1878</v>
      </c>
      <c r="D684" s="216" t="s">
        <v>1878</v>
      </c>
      <c r="E684" s="216" t="s">
        <v>1878</v>
      </c>
      <c r="F684" s="216" t="s">
        <v>1878</v>
      </c>
      <c r="G684" s="216" t="s">
        <v>1878</v>
      </c>
      <c r="H684" s="216" t="s">
        <v>1878</v>
      </c>
      <c r="I684" s="219" t="s">
        <v>1583</v>
      </c>
      <c r="J684" s="216" t="s">
        <v>1878</v>
      </c>
      <c r="K684" s="216" t="s">
        <v>1878</v>
      </c>
      <c r="L684" s="216" t="s">
        <v>1878</v>
      </c>
      <c r="M684" s="224" t="s">
        <v>31</v>
      </c>
    </row>
    <row r="685" spans="1:14">
      <c r="A685" s="216" t="s">
        <v>1211</v>
      </c>
      <c r="C685" s="218">
        <v>653772719.20076466</v>
      </c>
      <c r="D685" s="218">
        <v>38168116</v>
      </c>
      <c r="E685" s="218">
        <v>53605755</v>
      </c>
      <c r="F685" s="218">
        <v>22420199</v>
      </c>
      <c r="G685" s="218">
        <v>0</v>
      </c>
      <c r="H685" s="218">
        <v>234929706</v>
      </c>
      <c r="I685" s="218">
        <v>-22265431</v>
      </c>
      <c r="J685" s="218">
        <v>601742318</v>
      </c>
      <c r="K685" s="218">
        <v>3844169</v>
      </c>
      <c r="L685" s="218">
        <v>1586217551.2007647</v>
      </c>
      <c r="M685" s="218">
        <v>1586217551.2007647</v>
      </c>
      <c r="N685" s="218">
        <v>0</v>
      </c>
    </row>
    <row r="686" spans="1:14">
      <c r="C686" s="216" t="s">
        <v>736</v>
      </c>
      <c r="D686" s="216" t="s">
        <v>736</v>
      </c>
      <c r="E686" s="216" t="s">
        <v>736</v>
      </c>
      <c r="F686" s="216" t="s">
        <v>736</v>
      </c>
      <c r="G686" s="216" t="s">
        <v>736</v>
      </c>
      <c r="H686" s="216" t="s">
        <v>736</v>
      </c>
      <c r="I686" s="219" t="s">
        <v>510</v>
      </c>
      <c r="J686" s="216" t="s">
        <v>736</v>
      </c>
      <c r="K686" s="216" t="s">
        <v>736</v>
      </c>
      <c r="L686" s="216" t="s">
        <v>736</v>
      </c>
      <c r="M686" s="88" t="s">
        <v>3501</v>
      </c>
    </row>
    <row r="687" spans="1:14">
      <c r="A687" s="216" t="s">
        <v>2564</v>
      </c>
      <c r="C687" s="261">
        <v>0.4121582936</v>
      </c>
      <c r="D687" s="261">
        <v>2.4062346299999999E-2</v>
      </c>
      <c r="E687" s="261">
        <v>3.3794705500000001E-2</v>
      </c>
      <c r="F687" s="261">
        <v>1.41343783E-2</v>
      </c>
      <c r="G687" s="261">
        <v>0</v>
      </c>
      <c r="H687" s="261">
        <v>0.1481068633</v>
      </c>
      <c r="I687" s="261">
        <v>-1.40368079E-2</v>
      </c>
      <c r="J687" s="261">
        <v>0.37935673930000002</v>
      </c>
      <c r="K687" s="261">
        <v>2.4234816000000001E-3</v>
      </c>
      <c r="L687" s="261">
        <v>1</v>
      </c>
    </row>
    <row r="688" spans="1:14">
      <c r="A688" s="216" t="s">
        <v>1452</v>
      </c>
      <c r="C688" s="261">
        <v>4.57767969E-2</v>
      </c>
      <c r="D688" s="261">
        <v>2.2081479E-3</v>
      </c>
      <c r="E688" s="261">
        <v>6.3291889399999995E-2</v>
      </c>
      <c r="F688" s="261">
        <v>5.8900000000000001E-2</v>
      </c>
      <c r="J688" s="265">
        <v>0.12</v>
      </c>
      <c r="K688" s="261">
        <v>8.0610978999999999E-2</v>
      </c>
    </row>
    <row r="689" spans="1:12">
      <c r="C689" s="263" t="s">
        <v>1180</v>
      </c>
      <c r="D689" s="263" t="s">
        <v>1180</v>
      </c>
      <c r="E689" s="263" t="s">
        <v>1180</v>
      </c>
      <c r="F689" s="263" t="s">
        <v>1180</v>
      </c>
      <c r="K689" s="263" t="s">
        <v>1180</v>
      </c>
      <c r="L689" s="263" t="s">
        <v>1180</v>
      </c>
    </row>
    <row r="690" spans="1:12">
      <c r="A690" s="216" t="s">
        <v>1453</v>
      </c>
      <c r="C690" s="261">
        <v>1.88672865E-2</v>
      </c>
      <c r="D690" s="261">
        <v>5.3133200000000001E-5</v>
      </c>
      <c r="E690" s="261">
        <v>2.1389308000000001E-3</v>
      </c>
      <c r="F690" s="261">
        <v>8.325149E-4</v>
      </c>
      <c r="K690" s="261">
        <v>1.953592E-4</v>
      </c>
      <c r="L690" s="261">
        <v>2.20872246E-2</v>
      </c>
    </row>
    <row r="691" spans="1:12">
      <c r="C691" s="216" t="s">
        <v>1183</v>
      </c>
      <c r="D691" s="216" t="s">
        <v>1183</v>
      </c>
      <c r="E691" s="216" t="s">
        <v>1183</v>
      </c>
      <c r="F691" s="216" t="s">
        <v>1183</v>
      </c>
      <c r="K691" s="216" t="s">
        <v>1183</v>
      </c>
      <c r="L691" s="216" t="s">
        <v>1183</v>
      </c>
    </row>
    <row r="693" spans="1:12">
      <c r="A693" s="216" t="s">
        <v>2564</v>
      </c>
      <c r="C693" s="261">
        <v>0.4121582936</v>
      </c>
      <c r="D693" s="261">
        <v>2.4062346299999999E-2</v>
      </c>
      <c r="E693" s="261">
        <v>3.3794705500000001E-2</v>
      </c>
      <c r="F693" s="261">
        <v>1.41343783E-2</v>
      </c>
      <c r="G693" s="261">
        <v>0</v>
      </c>
      <c r="H693" s="261">
        <v>0.1481068633</v>
      </c>
      <c r="I693" s="261">
        <v>-1.40368079E-2</v>
      </c>
      <c r="J693" s="261">
        <v>0.37935673930000002</v>
      </c>
      <c r="K693" s="261">
        <v>2.4234816000000001E-3</v>
      </c>
      <c r="L693" s="261">
        <v>1</v>
      </c>
    </row>
    <row r="694" spans="1:12">
      <c r="A694" s="216" t="s">
        <v>1452</v>
      </c>
      <c r="C694" s="261">
        <v>4.57767969E-2</v>
      </c>
      <c r="D694" s="261">
        <v>2.2081479E-3</v>
      </c>
      <c r="E694" s="261">
        <v>6.3291889399999995E-2</v>
      </c>
      <c r="F694" s="261">
        <v>5.8900000000000001E-2</v>
      </c>
      <c r="J694" s="265">
        <v>0.12</v>
      </c>
      <c r="K694" s="261">
        <v>8.0610978999999999E-2</v>
      </c>
    </row>
    <row r="695" spans="1:12">
      <c r="C695" s="263" t="s">
        <v>1180</v>
      </c>
      <c r="D695" s="263" t="s">
        <v>1180</v>
      </c>
      <c r="E695" s="263" t="s">
        <v>1180</v>
      </c>
      <c r="F695" s="263" t="s">
        <v>1180</v>
      </c>
      <c r="K695" s="263" t="s">
        <v>1180</v>
      </c>
      <c r="L695" s="263" t="s">
        <v>1180</v>
      </c>
    </row>
    <row r="696" spans="1:12">
      <c r="A696" s="216" t="s">
        <v>1453</v>
      </c>
      <c r="C696" s="261">
        <v>1.88672865E-2</v>
      </c>
      <c r="D696" s="261">
        <v>5.3133200000000001E-5</v>
      </c>
      <c r="E696" s="261">
        <v>2.1389308000000001E-3</v>
      </c>
      <c r="F696" s="261">
        <v>8.325149E-4</v>
      </c>
      <c r="K696" s="261">
        <v>1.953592E-4</v>
      </c>
      <c r="L696" s="261">
        <v>2.20872246E-2</v>
      </c>
    </row>
    <row r="697" spans="1:12">
      <c r="C697" s="216" t="s">
        <v>1183</v>
      </c>
      <c r="D697" s="216" t="s">
        <v>1183</v>
      </c>
      <c r="E697" s="216" t="s">
        <v>1183</v>
      </c>
      <c r="F697" s="216" t="s">
        <v>1183</v>
      </c>
      <c r="K697" s="216" t="s">
        <v>1183</v>
      </c>
      <c r="L697" s="216" t="s">
        <v>1183</v>
      </c>
    </row>
    <row r="699" spans="1:12">
      <c r="A699" s="216" t="s">
        <v>2564</v>
      </c>
      <c r="C699" s="261">
        <v>0.4121582936</v>
      </c>
      <c r="D699" s="261">
        <v>2.4062346299999999E-2</v>
      </c>
      <c r="E699" s="261">
        <v>3.3794705500000001E-2</v>
      </c>
      <c r="F699" s="261">
        <v>1.41343783E-2</v>
      </c>
      <c r="G699" s="261">
        <v>0</v>
      </c>
      <c r="H699" s="261">
        <v>0.1481068633</v>
      </c>
      <c r="I699" s="261">
        <v>-1.40368079E-2</v>
      </c>
      <c r="J699" s="261">
        <v>0.37935673930000002</v>
      </c>
      <c r="K699" s="261">
        <v>2.4234816000000001E-3</v>
      </c>
      <c r="L699" s="261">
        <v>1</v>
      </c>
    </row>
    <row r="700" spans="1:12">
      <c r="A700" s="216" t="s">
        <v>1452</v>
      </c>
      <c r="C700" s="261">
        <v>4.57767969E-2</v>
      </c>
      <c r="D700" s="261">
        <v>2.2081479E-3</v>
      </c>
      <c r="E700" s="261">
        <v>6.3291889399999995E-2</v>
      </c>
      <c r="F700" s="261">
        <v>5.8900000000000001E-2</v>
      </c>
      <c r="J700" s="265">
        <v>0.12</v>
      </c>
      <c r="K700" s="261">
        <v>8.0610978999999999E-2</v>
      </c>
    </row>
    <row r="701" spans="1:12">
      <c r="C701" s="263" t="s">
        <v>1180</v>
      </c>
      <c r="D701" s="263" t="s">
        <v>1180</v>
      </c>
      <c r="E701" s="263" t="s">
        <v>1180</v>
      </c>
      <c r="F701" s="263" t="s">
        <v>1180</v>
      </c>
      <c r="K701" s="263" t="s">
        <v>1180</v>
      </c>
      <c r="L701" s="263" t="s">
        <v>1180</v>
      </c>
    </row>
    <row r="702" spans="1:12">
      <c r="A702" s="216" t="s">
        <v>1453</v>
      </c>
      <c r="C702" s="261">
        <v>1.88672865E-2</v>
      </c>
      <c r="D702" s="261">
        <v>5.3133200000000001E-5</v>
      </c>
      <c r="E702" s="261">
        <v>2.1389308000000001E-3</v>
      </c>
      <c r="F702" s="261">
        <v>8.325149E-4</v>
      </c>
      <c r="K702" s="261">
        <v>1.953592E-4</v>
      </c>
      <c r="L702" s="261">
        <v>2.20872246E-2</v>
      </c>
    </row>
    <row r="703" spans="1:12">
      <c r="C703" s="216" t="s">
        <v>1183</v>
      </c>
      <c r="D703" s="216" t="s">
        <v>1183</v>
      </c>
      <c r="E703" s="216" t="s">
        <v>1183</v>
      </c>
      <c r="F703" s="216" t="s">
        <v>1183</v>
      </c>
      <c r="K703" s="216" t="s">
        <v>1183</v>
      </c>
      <c r="L703" s="216" t="s">
        <v>1183</v>
      </c>
    </row>
    <row r="705" spans="1:12">
      <c r="A705" s="216" t="s">
        <v>1220</v>
      </c>
      <c r="C705" s="261">
        <v>0.4133685762</v>
      </c>
      <c r="D705" s="261">
        <v>2.4062346299999999E-2</v>
      </c>
      <c r="E705" s="261">
        <v>3.3893942000000003E-2</v>
      </c>
      <c r="F705" s="261">
        <v>1.41343783E-2</v>
      </c>
      <c r="G705" s="261">
        <v>0</v>
      </c>
      <c r="H705" s="261">
        <v>0.14810686340000001</v>
      </c>
      <c r="I705" s="261">
        <v>-1.40368079E-2</v>
      </c>
      <c r="J705" s="261">
        <v>0.38047070170000002</v>
      </c>
      <c r="L705" s="261">
        <v>1</v>
      </c>
    </row>
    <row r="706" spans="1:12">
      <c r="A706" s="216" t="s">
        <v>1221</v>
      </c>
      <c r="C706" s="261">
        <v>4.57767969E-2</v>
      </c>
      <c r="D706" s="261">
        <v>2.2081479E-3</v>
      </c>
      <c r="E706" s="261">
        <v>6.3291889399999995E-2</v>
      </c>
      <c r="F706" s="261">
        <v>5.8900000000000001E-2</v>
      </c>
      <c r="J706" s="261">
        <v>0.12</v>
      </c>
    </row>
    <row r="707" spans="1:12">
      <c r="C707" s="263" t="s">
        <v>1180</v>
      </c>
      <c r="D707" s="263" t="s">
        <v>1180</v>
      </c>
      <c r="E707" s="263" t="s">
        <v>1180</v>
      </c>
      <c r="F707" s="263" t="s">
        <v>1180</v>
      </c>
      <c r="L707" s="263" t="s">
        <v>1180</v>
      </c>
    </row>
    <row r="708" spans="1:12">
      <c r="A708" s="216" t="s">
        <v>1222</v>
      </c>
      <c r="C708" s="261">
        <v>1.8922689400000001E-2</v>
      </c>
      <c r="D708" s="261">
        <v>5.3133200000000001E-5</v>
      </c>
      <c r="E708" s="261">
        <v>2.1452115999999999E-3</v>
      </c>
      <c r="F708" s="261">
        <v>8.325149E-4</v>
      </c>
      <c r="L708" s="261">
        <v>2.1953549100000001E-2</v>
      </c>
    </row>
    <row r="709" spans="1:12">
      <c r="C709" s="216" t="s">
        <v>1183</v>
      </c>
      <c r="D709" s="216" t="s">
        <v>1183</v>
      </c>
      <c r="E709" s="216" t="s">
        <v>1183</v>
      </c>
      <c r="F709" s="216" t="s">
        <v>1183</v>
      </c>
      <c r="L709" s="216" t="s">
        <v>1183</v>
      </c>
    </row>
    <row r="710" spans="1:12">
      <c r="C710" s="216" t="s">
        <v>1454</v>
      </c>
      <c r="H710" s="224" t="s">
        <v>1455</v>
      </c>
      <c r="I710" s="224" t="s">
        <v>2564</v>
      </c>
      <c r="J710" s="224" t="s">
        <v>2565</v>
      </c>
      <c r="K710" s="224" t="s">
        <v>1456</v>
      </c>
    </row>
    <row r="711" spans="1:12">
      <c r="C711" s="216" t="s">
        <v>1117</v>
      </c>
      <c r="D711" s="219" t="s">
        <v>1583</v>
      </c>
      <c r="E711" s="219" t="s">
        <v>1583</v>
      </c>
    </row>
    <row r="712" spans="1:12">
      <c r="C712" s="216" t="s">
        <v>1132</v>
      </c>
      <c r="D712" s="216" t="s">
        <v>1457</v>
      </c>
      <c r="E712" s="216" t="s">
        <v>1134</v>
      </c>
      <c r="G712" s="216" t="s">
        <v>1458</v>
      </c>
      <c r="H712" s="218">
        <v>653772719.20076466</v>
      </c>
      <c r="I712" s="261">
        <v>0.49939831610000002</v>
      </c>
      <c r="J712" s="261">
        <v>4.57767969E-2</v>
      </c>
      <c r="K712" s="261">
        <v>2.28608553E-2</v>
      </c>
    </row>
    <row r="713" spans="1:12">
      <c r="A713" s="216" t="s">
        <v>1433</v>
      </c>
      <c r="C713" s="261">
        <v>0.38047070170000002</v>
      </c>
      <c r="D713" s="261">
        <v>0.38047070170000002</v>
      </c>
      <c r="E713" s="261">
        <v>0.38047070170000002</v>
      </c>
      <c r="G713" s="216" t="s">
        <v>2574</v>
      </c>
      <c r="H713" s="218">
        <v>53605755</v>
      </c>
      <c r="I713" s="261">
        <v>4.0947905899999998E-2</v>
      </c>
      <c r="J713" s="261">
        <v>6.3291889399999995E-2</v>
      </c>
      <c r="K713" s="261">
        <v>2.5916703E-3</v>
      </c>
    </row>
    <row r="714" spans="1:12">
      <c r="A714" s="216" t="s">
        <v>1459</v>
      </c>
      <c r="C714" s="261">
        <v>0.1075</v>
      </c>
      <c r="D714" s="261">
        <v>0.12</v>
      </c>
      <c r="E714" s="261">
        <v>0.1275</v>
      </c>
      <c r="G714" s="216" t="s">
        <v>2576</v>
      </c>
      <c r="H714" s="218">
        <v>601742318</v>
      </c>
      <c r="I714" s="261">
        <v>0.45965377800000001</v>
      </c>
      <c r="J714" s="265">
        <v>0.12</v>
      </c>
      <c r="K714" s="261">
        <v>5.5158453400000002E-2</v>
      </c>
    </row>
    <row r="715" spans="1:12">
      <c r="C715" s="216" t="s">
        <v>1117</v>
      </c>
      <c r="D715" s="216" t="s">
        <v>1117</v>
      </c>
      <c r="E715" s="216" t="s">
        <v>1117</v>
      </c>
      <c r="H715" s="216" t="s">
        <v>1102</v>
      </c>
      <c r="K715" s="216" t="s">
        <v>1180</v>
      </c>
    </row>
    <row r="716" spans="1:12">
      <c r="C716" s="261">
        <v>4.0900600400000001E-2</v>
      </c>
      <c r="D716" s="261">
        <v>4.5656484204000002E-2</v>
      </c>
      <c r="E716" s="261">
        <v>4.8510014466750004E-2</v>
      </c>
      <c r="H716" s="218">
        <v>1309120792.2007647</v>
      </c>
      <c r="K716" s="261">
        <v>8.0610978999999999E-2</v>
      </c>
    </row>
    <row r="717" spans="1:12">
      <c r="A717" s="216" t="s">
        <v>1431</v>
      </c>
      <c r="C717" s="261">
        <v>2.1953549100000001E-2</v>
      </c>
      <c r="D717" s="261">
        <v>2.1953549100000001E-2</v>
      </c>
      <c r="E717" s="261">
        <v>2.1953549100000001E-2</v>
      </c>
    </row>
    <row r="718" spans="1:12">
      <c r="C718" s="216" t="s">
        <v>1117</v>
      </c>
      <c r="D718" s="216" t="s">
        <v>1117</v>
      </c>
      <c r="E718" s="216" t="s">
        <v>1117</v>
      </c>
    </row>
    <row r="719" spans="1:12">
      <c r="A719" s="216" t="s">
        <v>1460</v>
      </c>
      <c r="C719" s="261">
        <v>6.2854149499999998E-2</v>
      </c>
      <c r="D719" s="261">
        <v>6.7610033304000006E-2</v>
      </c>
      <c r="E719" s="261">
        <v>7.0463563566750001E-2</v>
      </c>
    </row>
    <row r="720" spans="1:12">
      <c r="C720" s="216" t="s">
        <v>1461</v>
      </c>
      <c r="D720" s="216" t="s">
        <v>1461</v>
      </c>
      <c r="E720" s="216" t="s">
        <v>1461</v>
      </c>
    </row>
    <row r="721" spans="1:14">
      <c r="C721" s="93"/>
      <c r="D721" s="93"/>
      <c r="E721" s="93"/>
    </row>
    <row r="722" spans="1:14">
      <c r="I722" s="261"/>
      <c r="J722" s="264"/>
      <c r="K722" s="261"/>
    </row>
    <row r="723" spans="1:14">
      <c r="I723" s="216" t="s">
        <v>1228</v>
      </c>
      <c r="J723" s="264"/>
      <c r="K723" s="216" t="s">
        <v>1229</v>
      </c>
      <c r="M723" s="216" t="s">
        <v>1230</v>
      </c>
    </row>
    <row r="724" spans="1:14">
      <c r="E724" s="216" t="s">
        <v>3610</v>
      </c>
      <c r="I724" s="216" t="s">
        <v>1462</v>
      </c>
      <c r="K724" s="216" t="s">
        <v>1462</v>
      </c>
      <c r="M724" s="216" t="s">
        <v>1462</v>
      </c>
    </row>
    <row r="725" spans="1:14">
      <c r="A725" s="216" t="s">
        <v>2583</v>
      </c>
      <c r="C725" s="224" t="s">
        <v>2561</v>
      </c>
      <c r="D725" s="224" t="s">
        <v>2562</v>
      </c>
      <c r="E725" s="216" t="s">
        <v>1463</v>
      </c>
      <c r="G725" s="224" t="s">
        <v>2563</v>
      </c>
      <c r="H725" s="224" t="s">
        <v>2564</v>
      </c>
      <c r="I725" s="224" t="s">
        <v>2565</v>
      </c>
      <c r="J725" s="224" t="s">
        <v>2566</v>
      </c>
      <c r="K725" s="224" t="s">
        <v>2565</v>
      </c>
      <c r="L725" s="224" t="s">
        <v>2566</v>
      </c>
      <c r="M725" s="224" t="s">
        <v>2565</v>
      </c>
      <c r="N725" s="224" t="s">
        <v>2566</v>
      </c>
    </row>
    <row r="726" spans="1:14">
      <c r="A726" s="216" t="s">
        <v>1464</v>
      </c>
      <c r="C726" s="224" t="s">
        <v>2568</v>
      </c>
      <c r="D726" s="224" t="s">
        <v>2568</v>
      </c>
      <c r="E726" s="224" t="s">
        <v>2569</v>
      </c>
      <c r="F726" s="224" t="s">
        <v>2570</v>
      </c>
      <c r="G726" s="224" t="s">
        <v>2562</v>
      </c>
      <c r="H726" s="224" t="s">
        <v>2571</v>
      </c>
      <c r="I726" s="224" t="s">
        <v>2571</v>
      </c>
      <c r="J726" s="224" t="s">
        <v>2571</v>
      </c>
      <c r="K726" s="224" t="s">
        <v>2571</v>
      </c>
      <c r="L726" s="224" t="s">
        <v>2571</v>
      </c>
      <c r="M726" s="224" t="s">
        <v>2571</v>
      </c>
      <c r="N726" s="224" t="s">
        <v>2571</v>
      </c>
    </row>
    <row r="727" spans="1:14">
      <c r="A727" s="216" t="s">
        <v>1465</v>
      </c>
      <c r="C727" s="216" t="s">
        <v>708</v>
      </c>
      <c r="D727" s="216" t="s">
        <v>708</v>
      </c>
      <c r="E727" s="216" t="s">
        <v>708</v>
      </c>
      <c r="F727" s="216" t="s">
        <v>708</v>
      </c>
      <c r="G727" s="216" t="s">
        <v>708</v>
      </c>
      <c r="H727" s="216" t="s">
        <v>708</v>
      </c>
      <c r="I727" s="216" t="s">
        <v>708</v>
      </c>
      <c r="J727" s="216" t="s">
        <v>708</v>
      </c>
      <c r="K727" s="216" t="s">
        <v>708</v>
      </c>
      <c r="L727" s="216" t="s">
        <v>708</v>
      </c>
      <c r="M727" s="216" t="s">
        <v>708</v>
      </c>
      <c r="N727" s="216" t="s">
        <v>708</v>
      </c>
    </row>
    <row r="728" spans="1:14">
      <c r="A728" s="216" t="s">
        <v>2572</v>
      </c>
      <c r="C728" s="218">
        <v>1195182225.8299999</v>
      </c>
      <c r="D728" s="218">
        <v>1047156555.2007647</v>
      </c>
      <c r="E728" s="218">
        <v>-393383836</v>
      </c>
      <c r="F728" s="86">
        <v>0</v>
      </c>
      <c r="G728" s="218">
        <v>653772719.20076466</v>
      </c>
      <c r="H728" s="269">
        <v>41.22</v>
      </c>
      <c r="I728" s="269">
        <v>4.5776796900000001</v>
      </c>
      <c r="J728" s="269">
        <v>1.8869195682</v>
      </c>
      <c r="K728" s="269">
        <v>4.5776796900000001</v>
      </c>
      <c r="L728" s="269">
        <v>1.8869195682</v>
      </c>
      <c r="M728" s="269">
        <v>4.5776796900000001</v>
      </c>
      <c r="N728" s="269">
        <v>1.8869195682</v>
      </c>
    </row>
    <row r="729" spans="1:14">
      <c r="A729" s="216" t="s">
        <v>2573</v>
      </c>
      <c r="C729" s="218">
        <v>86563058.700000003</v>
      </c>
      <c r="D729" s="218">
        <v>61134385</v>
      </c>
      <c r="E729" s="218">
        <v>-22966269</v>
      </c>
      <c r="F729" s="86">
        <v>0</v>
      </c>
      <c r="G729" s="218">
        <v>38168116</v>
      </c>
      <c r="H729" s="269">
        <v>2.41</v>
      </c>
      <c r="I729" s="269">
        <v>0.22081479000000001</v>
      </c>
      <c r="J729" s="269">
        <v>5.3216364000000004E-3</v>
      </c>
      <c r="K729" s="269">
        <v>0.22081479000000001</v>
      </c>
      <c r="L729" s="269">
        <v>5.3216364000000004E-3</v>
      </c>
      <c r="M729" s="269">
        <v>0.22081479000000001</v>
      </c>
      <c r="N729" s="269">
        <v>5.3216364000000004E-3</v>
      </c>
    </row>
    <row r="730" spans="1:14">
      <c r="A730" s="216" t="s">
        <v>2574</v>
      </c>
      <c r="C730" s="218">
        <v>97998345.260000005</v>
      </c>
      <c r="D730" s="218">
        <v>85861059</v>
      </c>
      <c r="E730" s="218">
        <v>-32255304</v>
      </c>
      <c r="F730" s="218">
        <v>0</v>
      </c>
      <c r="G730" s="218">
        <v>53605755</v>
      </c>
      <c r="H730" s="269">
        <v>3.38</v>
      </c>
      <c r="I730" s="269">
        <v>6.3291889399999999</v>
      </c>
      <c r="J730" s="269">
        <v>0.21392658619999999</v>
      </c>
      <c r="K730" s="269">
        <v>6.3291889399999999</v>
      </c>
      <c r="L730" s="269">
        <v>0.21392658619999999</v>
      </c>
      <c r="M730" s="269">
        <v>6.3291889399999999</v>
      </c>
      <c r="N730" s="269">
        <v>0.21392658619999999</v>
      </c>
    </row>
    <row r="731" spans="1:14">
      <c r="A731" s="216" t="s">
        <v>2575</v>
      </c>
      <c r="C731" s="218">
        <v>35913603.859999999</v>
      </c>
      <c r="D731" s="218">
        <v>35910734</v>
      </c>
      <c r="E731" s="218">
        <v>-13490535</v>
      </c>
      <c r="F731" s="218">
        <v>0</v>
      </c>
      <c r="G731" s="218">
        <v>22420199</v>
      </c>
      <c r="H731" s="269">
        <v>1.41</v>
      </c>
      <c r="I731" s="269">
        <v>5.89</v>
      </c>
      <c r="J731" s="269">
        <v>8.3048999999999998E-2</v>
      </c>
      <c r="K731" s="269">
        <v>5.89</v>
      </c>
      <c r="L731" s="269">
        <v>8.3048999999999998E-2</v>
      </c>
      <c r="M731" s="269">
        <v>5.89</v>
      </c>
      <c r="N731" s="269">
        <v>8.3048999999999998E-2</v>
      </c>
    </row>
    <row r="732" spans="1:14">
      <c r="A732" s="216" t="s">
        <v>2576</v>
      </c>
      <c r="C732" s="218">
        <v>1113445382.6900001</v>
      </c>
      <c r="D732" s="218">
        <v>963818762</v>
      </c>
      <c r="E732" s="218">
        <v>-362076444</v>
      </c>
      <c r="F732" s="86">
        <v>0</v>
      </c>
      <c r="G732" s="218">
        <v>601742318</v>
      </c>
      <c r="H732" s="269">
        <v>37.94</v>
      </c>
      <c r="I732" s="269">
        <v>10.75</v>
      </c>
      <c r="J732" s="269">
        <v>4.0785499999999999</v>
      </c>
      <c r="K732" s="269">
        <v>12</v>
      </c>
      <c r="L732" s="269">
        <v>4.5528000000000004</v>
      </c>
      <c r="M732" s="269">
        <v>12.75</v>
      </c>
      <c r="N732" s="269">
        <v>4.8373499999999998</v>
      </c>
    </row>
    <row r="733" spans="1:14">
      <c r="A733" s="216" t="s">
        <v>2577</v>
      </c>
      <c r="C733" s="218">
        <v>406766910.43000001</v>
      </c>
      <c r="D733" s="218">
        <v>376290069</v>
      </c>
      <c r="E733" s="218">
        <v>-141360363</v>
      </c>
      <c r="F733" s="218">
        <v>0</v>
      </c>
      <c r="G733" s="218">
        <v>234929706</v>
      </c>
      <c r="H733" s="269">
        <v>14.800000000000011</v>
      </c>
    </row>
    <row r="734" spans="1:14">
      <c r="A734" s="216" t="s">
        <v>2578</v>
      </c>
      <c r="C734" s="218">
        <v>-38551279.950000003</v>
      </c>
      <c r="D734" s="218">
        <v>-35662840</v>
      </c>
      <c r="E734" s="218">
        <v>13397409</v>
      </c>
      <c r="F734" s="218">
        <v>0</v>
      </c>
      <c r="G734" s="218">
        <v>-22265431</v>
      </c>
      <c r="H734" s="269">
        <v>-1.4</v>
      </c>
    </row>
    <row r="735" spans="1:14">
      <c r="A735" s="216" t="s">
        <v>2579</v>
      </c>
      <c r="C735" s="218">
        <v>0</v>
      </c>
      <c r="D735" s="218">
        <v>0</v>
      </c>
      <c r="E735" s="218">
        <v>0</v>
      </c>
      <c r="F735" s="218">
        <v>0</v>
      </c>
      <c r="G735" s="218">
        <v>0</v>
      </c>
      <c r="H735" s="269">
        <v>0</v>
      </c>
    </row>
    <row r="736" spans="1:14">
      <c r="A736" s="216" t="s">
        <v>2580</v>
      </c>
      <c r="C736" s="218">
        <v>7771484</v>
      </c>
      <c r="D736" s="218">
        <v>6157257</v>
      </c>
      <c r="E736" s="218">
        <v>-2313088</v>
      </c>
      <c r="F736" s="218">
        <v>0</v>
      </c>
      <c r="G736" s="218">
        <v>3844169</v>
      </c>
      <c r="H736" s="269">
        <v>0.24</v>
      </c>
      <c r="I736" s="269">
        <v>7.4865306755000001</v>
      </c>
      <c r="J736" s="269">
        <v>1.7967673600000001E-2</v>
      </c>
      <c r="K736" s="269">
        <v>8.0610978979999999</v>
      </c>
      <c r="L736" s="269">
        <v>1.9346635000000001E-2</v>
      </c>
      <c r="M736" s="269">
        <v>8.4058382315000006</v>
      </c>
      <c r="N736" s="269">
        <v>2.0174011799999999E-2</v>
      </c>
    </row>
    <row r="737" spans="1:22">
      <c r="C737" s="216" t="s">
        <v>708</v>
      </c>
      <c r="D737" s="216" t="s">
        <v>708</v>
      </c>
      <c r="E737" s="216" t="s">
        <v>708</v>
      </c>
      <c r="F737" s="216" t="s">
        <v>708</v>
      </c>
      <c r="G737" s="216" t="s">
        <v>708</v>
      </c>
      <c r="H737" s="270" t="s">
        <v>1102</v>
      </c>
      <c r="J737" s="270" t="s">
        <v>1322</v>
      </c>
      <c r="L737" s="270" t="s">
        <v>1102</v>
      </c>
      <c r="N737" s="216" t="s">
        <v>708</v>
      </c>
    </row>
    <row r="738" spans="1:22">
      <c r="A738" s="216" t="s">
        <v>2581</v>
      </c>
      <c r="C738" s="218">
        <v>2905089730.8200002</v>
      </c>
      <c r="D738" s="218">
        <v>2540665981.2007647</v>
      </c>
      <c r="E738" s="218">
        <v>-954448430</v>
      </c>
      <c r="F738" s="218">
        <v>0</v>
      </c>
      <c r="G738" s="218">
        <v>1586217551.2007647</v>
      </c>
      <c r="H738" s="269">
        <v>100</v>
      </c>
      <c r="J738" s="269">
        <v>6.2857344643999999</v>
      </c>
      <c r="L738" s="269">
        <v>6.7613634257999999</v>
      </c>
      <c r="N738" s="269">
        <v>7.0467408025999996</v>
      </c>
    </row>
    <row r="739" spans="1:22">
      <c r="C739" s="216" t="s">
        <v>1325</v>
      </c>
      <c r="D739" s="216" t="s">
        <v>1325</v>
      </c>
      <c r="E739" s="216" t="s">
        <v>1325</v>
      </c>
      <c r="F739" s="216" t="s">
        <v>1325</v>
      </c>
      <c r="G739" s="216" t="s">
        <v>1325</v>
      </c>
      <c r="H739" s="216" t="s">
        <v>1108</v>
      </c>
      <c r="J739" s="216" t="s">
        <v>1326</v>
      </c>
      <c r="L739" s="270" t="s">
        <v>1108</v>
      </c>
      <c r="N739" s="216" t="s">
        <v>1325</v>
      </c>
    </row>
    <row r="740" spans="1:22">
      <c r="J740" s="252"/>
    </row>
    <row r="741" spans="1:22">
      <c r="J741" s="252"/>
    </row>
    <row r="743" spans="1:22">
      <c r="A743" s="216" t="s">
        <v>1466</v>
      </c>
    </row>
    <row r="744" spans="1:22">
      <c r="A744" s="216" t="s">
        <v>1467</v>
      </c>
    </row>
    <row r="745" spans="1:22">
      <c r="A745" s="216"/>
    </row>
    <row r="746" spans="1:22">
      <c r="A746" s="216"/>
      <c r="R746" s="215" t="s">
        <v>1468</v>
      </c>
    </row>
    <row r="747" spans="1:22">
      <c r="R747" s="215" t="s">
        <v>1469</v>
      </c>
    </row>
    <row r="748" spans="1:22">
      <c r="A748" s="215" t="s">
        <v>1557</v>
      </c>
      <c r="I748" s="215" t="s">
        <v>2557</v>
      </c>
      <c r="K748" s="215" t="s">
        <v>2558</v>
      </c>
      <c r="M748" s="215" t="s">
        <v>2559</v>
      </c>
    </row>
    <row r="749" spans="1:22" ht="13.5" thickBot="1">
      <c r="E749" s="215" t="s">
        <v>2560</v>
      </c>
      <c r="H749" s="273"/>
      <c r="I749" s="273"/>
      <c r="J749" s="273"/>
    </row>
    <row r="750" spans="1:22">
      <c r="C750" s="224" t="s">
        <v>2561</v>
      </c>
      <c r="D750" s="224" t="s">
        <v>2562</v>
      </c>
      <c r="E750" s="274"/>
      <c r="F750" s="274"/>
      <c r="G750" s="224" t="s">
        <v>2563</v>
      </c>
      <c r="H750" s="224" t="s">
        <v>2564</v>
      </c>
      <c r="I750" s="224" t="s">
        <v>2565</v>
      </c>
      <c r="J750" s="224" t="s">
        <v>2566</v>
      </c>
      <c r="K750" s="224" t="s">
        <v>2565</v>
      </c>
      <c r="L750" s="224" t="s">
        <v>2566</v>
      </c>
      <c r="M750" s="224" t="s">
        <v>2565</v>
      </c>
      <c r="N750" s="224" t="s">
        <v>2566</v>
      </c>
    </row>
    <row r="751" spans="1:22" ht="13.5" thickBot="1">
      <c r="A751" s="283" t="s">
        <v>1464</v>
      </c>
      <c r="C751" s="224" t="s">
        <v>2568</v>
      </c>
      <c r="D751" s="224" t="s">
        <v>2568</v>
      </c>
      <c r="E751" s="224" t="s">
        <v>2569</v>
      </c>
      <c r="F751" s="224" t="s">
        <v>2570</v>
      </c>
      <c r="G751" s="224" t="s">
        <v>2562</v>
      </c>
      <c r="H751" s="224" t="s">
        <v>2571</v>
      </c>
      <c r="I751" s="224" t="s">
        <v>2571</v>
      </c>
      <c r="J751" s="224" t="s">
        <v>2571</v>
      </c>
      <c r="K751" s="224" t="s">
        <v>2571</v>
      </c>
      <c r="L751" s="224" t="s">
        <v>2571</v>
      </c>
      <c r="M751" s="224" t="s">
        <v>2571</v>
      </c>
      <c r="N751" s="224" t="s">
        <v>2571</v>
      </c>
      <c r="S751" s="215" t="s">
        <v>14</v>
      </c>
      <c r="T751" s="167" t="s">
        <v>2560</v>
      </c>
      <c r="U751" s="167"/>
      <c r="V751" s="226" t="s">
        <v>1338</v>
      </c>
    </row>
    <row r="752" spans="1:22">
      <c r="A752" s="216"/>
      <c r="C752" s="274"/>
      <c r="D752" s="274"/>
      <c r="E752" s="274"/>
      <c r="F752" s="274"/>
      <c r="G752" s="274"/>
      <c r="H752" s="274"/>
      <c r="I752" s="274"/>
      <c r="J752" s="274"/>
      <c r="K752" s="274"/>
      <c r="L752" s="274"/>
      <c r="M752" s="274"/>
      <c r="N752" s="274"/>
      <c r="S752" s="276" t="s">
        <v>1177</v>
      </c>
      <c r="T752" s="167" t="s">
        <v>2570</v>
      </c>
      <c r="U752" s="167" t="s">
        <v>1339</v>
      </c>
      <c r="V752" s="167" t="s">
        <v>1177</v>
      </c>
    </row>
    <row r="753" spans="1:22">
      <c r="A753" s="216" t="s">
        <v>2572</v>
      </c>
      <c r="C753" s="215">
        <v>1195182225.8299999</v>
      </c>
      <c r="D753" s="218">
        <v>1047196362.2007647</v>
      </c>
      <c r="E753" s="218">
        <v>-393423643</v>
      </c>
      <c r="F753" s="215">
        <v>0</v>
      </c>
      <c r="G753" s="215">
        <v>653772719.20076466</v>
      </c>
      <c r="H753" s="269">
        <v>41.22</v>
      </c>
      <c r="I753" s="243">
        <v>4.5776796900000001</v>
      </c>
      <c r="J753" s="269">
        <v>1.8869195682</v>
      </c>
      <c r="K753" s="277">
        <v>4.5776796900000001</v>
      </c>
      <c r="L753" s="269">
        <v>1.8869195682</v>
      </c>
      <c r="M753" s="277">
        <v>4.5776796900000001</v>
      </c>
      <c r="N753" s="269">
        <v>1.8869195682</v>
      </c>
      <c r="R753" s="215" t="s">
        <v>1340</v>
      </c>
      <c r="S753" s="215">
        <v>653772719.20076466</v>
      </c>
      <c r="T753" s="215">
        <v>0</v>
      </c>
      <c r="U753" s="215">
        <v>0</v>
      </c>
      <c r="V753" s="215">
        <v>653772719.20076466</v>
      </c>
    </row>
    <row r="754" spans="1:22">
      <c r="A754" s="216" t="s">
        <v>2573</v>
      </c>
      <c r="C754" s="215">
        <v>86563058.700000003</v>
      </c>
      <c r="D754" s="218">
        <v>61170323</v>
      </c>
      <c r="E754" s="218">
        <v>-23002207</v>
      </c>
      <c r="F754" s="215">
        <v>0</v>
      </c>
      <c r="G754" s="215">
        <v>38168116</v>
      </c>
      <c r="H754" s="269">
        <v>2.41</v>
      </c>
      <c r="I754" s="243">
        <v>0.22081479000000001</v>
      </c>
      <c r="J754" s="269">
        <v>5.3216364000000004E-3</v>
      </c>
      <c r="K754" s="277">
        <v>0.22081479000000001</v>
      </c>
      <c r="L754" s="269">
        <v>5.3216364000000004E-3</v>
      </c>
      <c r="M754" s="277">
        <v>0.22081479000000001</v>
      </c>
      <c r="N754" s="269">
        <v>5.3216364000000004E-3</v>
      </c>
      <c r="R754" s="215" t="s">
        <v>1341</v>
      </c>
      <c r="S754" s="215">
        <v>38168116</v>
      </c>
      <c r="T754" s="215">
        <v>0</v>
      </c>
      <c r="U754" s="215">
        <v>0</v>
      </c>
      <c r="V754" s="215">
        <v>38168116</v>
      </c>
    </row>
    <row r="755" spans="1:22">
      <c r="A755" s="216" t="s">
        <v>2574</v>
      </c>
      <c r="C755" s="215">
        <v>97998345.260000005</v>
      </c>
      <c r="D755" s="218">
        <v>85866112</v>
      </c>
      <c r="E755" s="218">
        <v>-32260357</v>
      </c>
      <c r="F755" s="215">
        <v>0</v>
      </c>
      <c r="G755" s="215">
        <v>53605755</v>
      </c>
      <c r="H755" s="269">
        <v>3.38</v>
      </c>
      <c r="I755" s="243">
        <v>6.3291889399999999</v>
      </c>
      <c r="J755" s="269">
        <v>0.21392658619999999</v>
      </c>
      <c r="K755" s="277">
        <v>6.3291889399999999</v>
      </c>
      <c r="L755" s="269">
        <v>0.21392658619999999</v>
      </c>
      <c r="M755" s="277">
        <v>6.3291889399999999</v>
      </c>
      <c r="N755" s="269">
        <v>0.21392658619999999</v>
      </c>
      <c r="R755" s="215" t="s">
        <v>1085</v>
      </c>
      <c r="S755" s="215">
        <v>53605755</v>
      </c>
      <c r="T755" s="215">
        <v>0</v>
      </c>
      <c r="U755" s="215">
        <v>0</v>
      </c>
      <c r="V755" s="215">
        <v>53605755</v>
      </c>
    </row>
    <row r="756" spans="1:22">
      <c r="A756" s="216" t="s">
        <v>2575</v>
      </c>
      <c r="C756" s="215">
        <v>35913603.859999999</v>
      </c>
      <c r="D756" s="218">
        <v>35877922</v>
      </c>
      <c r="E756" s="218">
        <v>-13457723</v>
      </c>
      <c r="F756" s="215">
        <v>0</v>
      </c>
      <c r="G756" s="215">
        <v>22420199</v>
      </c>
      <c r="H756" s="269">
        <v>1.41</v>
      </c>
      <c r="I756" s="243">
        <v>5.89</v>
      </c>
      <c r="J756" s="269">
        <v>8.3048999999999998E-2</v>
      </c>
      <c r="K756" s="277">
        <v>5.89</v>
      </c>
      <c r="L756" s="269">
        <v>8.3048999999999998E-2</v>
      </c>
      <c r="M756" s="277">
        <v>5.89</v>
      </c>
      <c r="N756" s="269">
        <v>8.3048999999999998E-2</v>
      </c>
      <c r="R756" s="215" t="s">
        <v>1342</v>
      </c>
      <c r="S756" s="215">
        <v>22420199</v>
      </c>
      <c r="T756" s="215">
        <v>0</v>
      </c>
      <c r="U756" s="215">
        <v>0</v>
      </c>
      <c r="V756" s="215">
        <v>22420199</v>
      </c>
    </row>
    <row r="757" spans="1:22">
      <c r="A757" s="216" t="s">
        <v>2576</v>
      </c>
      <c r="C757" s="215">
        <v>1113445382.6900001</v>
      </c>
      <c r="D757" s="218">
        <v>963860052</v>
      </c>
      <c r="E757" s="218">
        <v>-362117734</v>
      </c>
      <c r="F757" s="215">
        <v>0</v>
      </c>
      <c r="G757" s="215">
        <v>601742318</v>
      </c>
      <c r="H757" s="269">
        <v>37.94</v>
      </c>
      <c r="I757" s="243">
        <v>10.75</v>
      </c>
      <c r="J757" s="269">
        <v>4.0785499999999999</v>
      </c>
      <c r="K757" s="277">
        <v>12</v>
      </c>
      <c r="L757" s="269">
        <v>4.5528000000000004</v>
      </c>
      <c r="M757" s="277">
        <v>12.75</v>
      </c>
      <c r="N757" s="269">
        <v>4.8373499999999998</v>
      </c>
      <c r="R757" s="215" t="s">
        <v>2576</v>
      </c>
      <c r="S757" s="215">
        <v>601742318</v>
      </c>
      <c r="T757" s="215">
        <v>0</v>
      </c>
      <c r="U757" s="215">
        <v>0</v>
      </c>
      <c r="V757" s="215">
        <v>601742318</v>
      </c>
    </row>
    <row r="758" spans="1:22">
      <c r="A758" s="216" t="s">
        <v>2577</v>
      </c>
      <c r="C758" s="215">
        <v>406766910.43000001</v>
      </c>
      <c r="D758" s="86">
        <v>376283518</v>
      </c>
      <c r="E758" s="218">
        <v>-141353812</v>
      </c>
      <c r="F758" s="215">
        <v>0</v>
      </c>
      <c r="G758" s="215">
        <v>234929706</v>
      </c>
      <c r="H758" s="269">
        <v>14.81</v>
      </c>
      <c r="I758" s="243"/>
      <c r="R758" s="215" t="s">
        <v>1343</v>
      </c>
      <c r="S758" s="215">
        <v>234929706</v>
      </c>
      <c r="T758" s="85">
        <v>0</v>
      </c>
      <c r="U758" s="215">
        <v>0</v>
      </c>
      <c r="V758" s="215">
        <v>234929706</v>
      </c>
    </row>
    <row r="759" spans="1:22">
      <c r="A759" s="216" t="s">
        <v>2578</v>
      </c>
      <c r="C759" s="215">
        <v>-38551279.950000003</v>
      </c>
      <c r="D759" s="218">
        <v>-35627709</v>
      </c>
      <c r="E759" s="218">
        <v>13362278</v>
      </c>
      <c r="F759" s="215">
        <v>0</v>
      </c>
      <c r="G759" s="215">
        <v>-22265431</v>
      </c>
      <c r="H759" s="269">
        <v>-1.4</v>
      </c>
      <c r="I759" s="243"/>
      <c r="R759" s="215" t="s">
        <v>1344</v>
      </c>
      <c r="S759" s="215">
        <v>-22265431</v>
      </c>
      <c r="T759" s="215">
        <v>0</v>
      </c>
      <c r="U759" s="215">
        <v>0</v>
      </c>
      <c r="V759" s="215">
        <v>-22265431</v>
      </c>
    </row>
    <row r="760" spans="1:22">
      <c r="A760" s="216" t="s">
        <v>2579</v>
      </c>
      <c r="C760" s="215">
        <v>0</v>
      </c>
      <c r="D760" s="218">
        <v>0</v>
      </c>
      <c r="E760" s="218">
        <v>0</v>
      </c>
      <c r="F760" s="215">
        <v>0</v>
      </c>
      <c r="G760" s="215">
        <v>0</v>
      </c>
      <c r="H760" s="269">
        <v>0</v>
      </c>
      <c r="I760" s="243"/>
      <c r="R760" s="215" t="s">
        <v>1345</v>
      </c>
      <c r="S760" s="215">
        <v>3844169</v>
      </c>
      <c r="T760" s="215">
        <v>0</v>
      </c>
      <c r="U760" s="215">
        <v>0</v>
      </c>
      <c r="V760" s="215">
        <v>3844169</v>
      </c>
    </row>
    <row r="761" spans="1:22" ht="13.5" thickBot="1">
      <c r="A761" s="216" t="s">
        <v>2580</v>
      </c>
      <c r="C761" s="215">
        <v>7771484</v>
      </c>
      <c r="D761" s="218">
        <v>6134845</v>
      </c>
      <c r="E761" s="218">
        <v>-2290676</v>
      </c>
      <c r="F761" s="215">
        <v>0</v>
      </c>
      <c r="G761" s="215">
        <v>3844169</v>
      </c>
      <c r="H761" s="269">
        <v>0.24</v>
      </c>
      <c r="I761" s="279">
        <v>7.4865306755000001</v>
      </c>
      <c r="J761" s="269">
        <v>1.7967673600000001E-2</v>
      </c>
      <c r="K761" s="279">
        <v>8.0610978979999999</v>
      </c>
      <c r="L761" s="269">
        <v>1.9346635000000001E-2</v>
      </c>
      <c r="M761" s="279">
        <v>8.4058382315000006</v>
      </c>
      <c r="N761" s="269">
        <v>2.0174011799999999E-2</v>
      </c>
    </row>
    <row r="762" spans="1:22">
      <c r="C762" s="274"/>
      <c r="D762" s="274"/>
      <c r="E762" s="274"/>
      <c r="F762" s="274"/>
      <c r="G762" s="274"/>
      <c r="H762" s="274"/>
      <c r="J762" s="274"/>
      <c r="L762" s="274"/>
      <c r="N762" s="281"/>
    </row>
    <row r="763" spans="1:22">
      <c r="A763" s="216" t="s">
        <v>2581</v>
      </c>
      <c r="C763" s="273">
        <v>2905089730.8200002</v>
      </c>
      <c r="D763" s="273">
        <v>2540761425.2007647</v>
      </c>
      <c r="E763" s="215">
        <v>-954448430</v>
      </c>
      <c r="F763" s="215">
        <v>0</v>
      </c>
      <c r="G763" s="273">
        <v>1586217551.2007647</v>
      </c>
      <c r="H763" s="269">
        <v>100.00999999999998</v>
      </c>
      <c r="I763" s="215" t="s">
        <v>2582</v>
      </c>
      <c r="J763" s="269">
        <v>6.2857344643999999</v>
      </c>
      <c r="K763" s="215" t="s">
        <v>2582</v>
      </c>
      <c r="L763" s="269">
        <v>6.7613634257999999</v>
      </c>
      <c r="M763" s="215" t="s">
        <v>2582</v>
      </c>
      <c r="N763" s="269">
        <v>7.0467408025999996</v>
      </c>
      <c r="O763" s="215" t="s">
        <v>2582</v>
      </c>
    </row>
    <row r="765" spans="1:22">
      <c r="L765" s="287">
        <v>2.2085634257999995</v>
      </c>
    </row>
    <row r="781" spans="1:5">
      <c r="A781" s="216" t="s">
        <v>2639</v>
      </c>
    </row>
    <row r="782" spans="1:5">
      <c r="A782" s="216" t="s">
        <v>1470</v>
      </c>
      <c r="E782" s="216" t="s">
        <v>2639</v>
      </c>
    </row>
    <row r="783" spans="1:5">
      <c r="A783" s="216" t="s">
        <v>1471</v>
      </c>
      <c r="E783" s="216" t="s">
        <v>1472</v>
      </c>
    </row>
    <row r="784" spans="1:5">
      <c r="A784" s="216" t="s">
        <v>1557</v>
      </c>
    </row>
    <row r="785" spans="1:8">
      <c r="D785" s="216" t="s">
        <v>1473</v>
      </c>
      <c r="G785" s="224" t="s">
        <v>1474</v>
      </c>
      <c r="H785" s="224" t="s">
        <v>1619</v>
      </c>
    </row>
    <row r="786" spans="1:8">
      <c r="D786" s="216" t="s">
        <v>1209</v>
      </c>
      <c r="E786" s="224" t="s">
        <v>2564</v>
      </c>
      <c r="F786" s="224" t="s">
        <v>2590</v>
      </c>
      <c r="G786" s="224" t="s">
        <v>1364</v>
      </c>
      <c r="H786" s="224" t="s">
        <v>1365</v>
      </c>
    </row>
    <row r="787" spans="1:8">
      <c r="A787" s="216" t="s">
        <v>1371</v>
      </c>
      <c r="D787" s="224" t="s">
        <v>970</v>
      </c>
      <c r="E787" s="224" t="s">
        <v>1475</v>
      </c>
      <c r="F787" s="224" t="s">
        <v>1112</v>
      </c>
      <c r="G787" s="224" t="s">
        <v>3538</v>
      </c>
      <c r="H787" s="224" t="s">
        <v>970</v>
      </c>
    </row>
    <row r="788" spans="1:8">
      <c r="A788" s="216" t="s">
        <v>1582</v>
      </c>
    </row>
    <row r="789" spans="1:8">
      <c r="A789" s="216" t="s">
        <v>1373</v>
      </c>
      <c r="D789" s="218">
        <v>1586217551.2007647</v>
      </c>
      <c r="E789" s="285">
        <v>0.41215828999999998</v>
      </c>
      <c r="F789" s="218">
        <v>653772713</v>
      </c>
      <c r="G789" s="252">
        <v>4.57767969E-2</v>
      </c>
      <c r="H789" s="218">
        <v>29927621</v>
      </c>
    </row>
    <row r="790" spans="1:8">
      <c r="A790" s="216" t="s">
        <v>1374</v>
      </c>
      <c r="D790" s="218">
        <v>1586217551.2007647</v>
      </c>
      <c r="E790" s="285">
        <v>2.406235E-2</v>
      </c>
      <c r="F790" s="218">
        <v>38168122</v>
      </c>
      <c r="G790" s="252">
        <v>2.2081479E-3</v>
      </c>
      <c r="H790" s="218">
        <v>84281</v>
      </c>
    </row>
    <row r="791" spans="1:8">
      <c r="A791" s="216" t="s">
        <v>1375</v>
      </c>
      <c r="D791" s="218">
        <v>1586217551.2007647</v>
      </c>
      <c r="E791" s="285">
        <v>1.413438E-2</v>
      </c>
      <c r="F791" s="218">
        <v>22420202</v>
      </c>
      <c r="G791" s="252">
        <v>5.8900000000000001E-2</v>
      </c>
      <c r="H791" s="218">
        <v>1320550</v>
      </c>
    </row>
    <row r="792" spans="1:8">
      <c r="A792" s="216" t="s">
        <v>1376</v>
      </c>
      <c r="D792" s="218">
        <v>3844169</v>
      </c>
      <c r="E792" s="285">
        <v>0.49939832000000001</v>
      </c>
      <c r="F792" s="218">
        <v>1919772</v>
      </c>
      <c r="G792" s="252">
        <v>4.57767969E-2</v>
      </c>
      <c r="H792" s="218">
        <v>87881</v>
      </c>
    </row>
    <row r="793" spans="1:8">
      <c r="H793" s="224" t="s">
        <v>1476</v>
      </c>
    </row>
    <row r="794" spans="1:8">
      <c r="A794" s="216" t="s">
        <v>1377</v>
      </c>
      <c r="H794" s="218">
        <v>31420333</v>
      </c>
    </row>
    <row r="796" spans="1:8">
      <c r="A796" s="216" t="s">
        <v>1405</v>
      </c>
      <c r="G796" s="218">
        <v>54141155.979999997</v>
      </c>
    </row>
    <row r="797" spans="1:8">
      <c r="A797" s="216" t="s">
        <v>1477</v>
      </c>
      <c r="G797" s="218">
        <v>5926529</v>
      </c>
    </row>
    <row r="798" spans="1:8">
      <c r="G798" s="224" t="s">
        <v>1476</v>
      </c>
    </row>
    <row r="799" spans="1:8">
      <c r="G799" s="218">
        <v>48214626.979999997</v>
      </c>
    </row>
    <row r="800" spans="1:8">
      <c r="A800" s="216" t="s">
        <v>1380</v>
      </c>
      <c r="G800" s="251">
        <v>0.97428130000000002</v>
      </c>
      <c r="H800" s="218">
        <v>46974609</v>
      </c>
    </row>
    <row r="801" spans="1:8">
      <c r="A801" s="216" t="s">
        <v>2583</v>
      </c>
      <c r="G801" s="224" t="s">
        <v>1214</v>
      </c>
      <c r="H801" s="224" t="s">
        <v>1214</v>
      </c>
    </row>
    <row r="802" spans="1:8">
      <c r="A802" s="216" t="s">
        <v>1383</v>
      </c>
      <c r="H802" s="218">
        <v>-15554276</v>
      </c>
    </row>
    <row r="803" spans="1:8">
      <c r="H803" s="224" t="s">
        <v>1214</v>
      </c>
    </row>
    <row r="804" spans="1:8">
      <c r="A804" s="218" t="s">
        <v>1384</v>
      </c>
      <c r="H804" s="218">
        <v>-5144577</v>
      </c>
    </row>
    <row r="805" spans="1:8">
      <c r="A805" s="216" t="s">
        <v>1478</v>
      </c>
      <c r="H805" s="218">
        <v>-855485</v>
      </c>
    </row>
    <row r="806" spans="1:8">
      <c r="A806" s="216" t="s">
        <v>2583</v>
      </c>
      <c r="H806" s="224" t="s">
        <v>1123</v>
      </c>
    </row>
    <row r="807" spans="1:8">
      <c r="A807" s="216" t="s">
        <v>1391</v>
      </c>
      <c r="H807" s="218">
        <v>-6000062</v>
      </c>
    </row>
    <row r="808" spans="1:8">
      <c r="H808" s="224" t="s">
        <v>1393</v>
      </c>
    </row>
    <row r="811" spans="1:8">
      <c r="A811" s="216" t="s">
        <v>1399</v>
      </c>
    </row>
    <row r="812" spans="1:8">
      <c r="A812" s="216" t="s">
        <v>1479</v>
      </c>
    </row>
    <row r="813" spans="1:8">
      <c r="A813" s="216" t="s">
        <v>1373</v>
      </c>
      <c r="D813" s="218">
        <v>1896753459.9639642</v>
      </c>
      <c r="E813" s="285">
        <v>0.41140975000000002</v>
      </c>
      <c r="F813" s="218">
        <v>780342867</v>
      </c>
      <c r="G813" s="290">
        <v>4.5776796799999998E-2</v>
      </c>
      <c r="H813" s="218">
        <v>35721597</v>
      </c>
    </row>
    <row r="814" spans="1:8">
      <c r="A814" s="216" t="s">
        <v>1374</v>
      </c>
      <c r="D814" s="218">
        <v>1896753459.9639642</v>
      </c>
      <c r="E814" s="285">
        <v>2.9797029999999999E-2</v>
      </c>
      <c r="F814" s="218">
        <v>56517620</v>
      </c>
      <c r="G814" s="252">
        <v>2.2000000000000001E-3</v>
      </c>
      <c r="H814" s="218">
        <v>124339</v>
      </c>
    </row>
    <row r="815" spans="1:8">
      <c r="A815" s="216" t="s">
        <v>1375</v>
      </c>
      <c r="D815" s="218">
        <v>1896753459.9639642</v>
      </c>
      <c r="E815" s="285">
        <v>1.23623E-2</v>
      </c>
      <c r="F815" s="218">
        <v>23448235</v>
      </c>
      <c r="G815" s="252">
        <v>5.8900000000000001E-2</v>
      </c>
      <c r="H815" s="218">
        <v>1381101</v>
      </c>
    </row>
    <row r="816" spans="1:8">
      <c r="A816" s="216" t="s">
        <v>1376</v>
      </c>
      <c r="D816" s="218">
        <v>5074056.4085412472</v>
      </c>
      <c r="E816" s="285">
        <v>0.49662151442885039</v>
      </c>
      <c r="F816" s="218">
        <v>2519886</v>
      </c>
      <c r="G816" s="252">
        <v>4.5776796799999998E-2</v>
      </c>
      <c r="H816" s="218">
        <v>115352</v>
      </c>
    </row>
    <row r="817" spans="1:8">
      <c r="H817" s="216" t="s">
        <v>1214</v>
      </c>
    </row>
    <row r="819" spans="1:8">
      <c r="A819" s="216" t="s">
        <v>1377</v>
      </c>
      <c r="H819" s="218">
        <v>37342389</v>
      </c>
    </row>
    <row r="821" spans="1:8">
      <c r="A821" s="216" t="s">
        <v>1405</v>
      </c>
      <c r="H821" s="218">
        <v>54141155.979999997</v>
      </c>
    </row>
    <row r="822" spans="1:8">
      <c r="H822" s="224" t="s">
        <v>1214</v>
      </c>
    </row>
    <row r="823" spans="1:8">
      <c r="A823" s="216" t="s">
        <v>1383</v>
      </c>
      <c r="H823" s="218">
        <v>-16798766.979999997</v>
      </c>
    </row>
    <row r="824" spans="1:8">
      <c r="H824" s="224" t="s">
        <v>1214</v>
      </c>
    </row>
    <row r="826" spans="1:8">
      <c r="A826" s="218" t="s">
        <v>1384</v>
      </c>
      <c r="H826" s="218">
        <v>-5556192</v>
      </c>
    </row>
    <row r="827" spans="1:8">
      <c r="A827" s="216" t="s">
        <v>1411</v>
      </c>
      <c r="H827" s="218">
        <v>-923932</v>
      </c>
    </row>
    <row r="828" spans="1:8">
      <c r="H828" s="224" t="s">
        <v>1214</v>
      </c>
    </row>
    <row r="829" spans="1:8">
      <c r="A829" s="216" t="s">
        <v>1391</v>
      </c>
      <c r="H829" s="218">
        <v>-6480124</v>
      </c>
    </row>
    <row r="830" spans="1:8">
      <c r="H830" s="224" t="s">
        <v>1393</v>
      </c>
    </row>
    <row r="831" spans="1:8">
      <c r="A831" s="216" t="s">
        <v>1480</v>
      </c>
    </row>
    <row r="841" spans="1:33">
      <c r="A841" s="216" t="s">
        <v>1481</v>
      </c>
    </row>
    <row r="842" spans="1:33">
      <c r="A842" s="216" t="s">
        <v>1482</v>
      </c>
    </row>
    <row r="843" spans="1:33">
      <c r="A843" s="216" t="s">
        <v>1483</v>
      </c>
    </row>
    <row r="844" spans="1:33">
      <c r="A844" s="216" t="s">
        <v>1484</v>
      </c>
    </row>
    <row r="845" spans="1:33">
      <c r="A845" s="216" t="s">
        <v>1557</v>
      </c>
      <c r="O845" s="224" t="s">
        <v>1485</v>
      </c>
    </row>
    <row r="846" spans="1:33">
      <c r="O846" s="224" t="s">
        <v>1486</v>
      </c>
    </row>
    <row r="847" spans="1:33">
      <c r="C847" s="224" t="s">
        <v>2666</v>
      </c>
      <c r="F847" s="224" t="s">
        <v>3477</v>
      </c>
      <c r="H847" s="224" t="s">
        <v>1487</v>
      </c>
      <c r="M847" s="224" t="s">
        <v>2581</v>
      </c>
      <c r="N847" s="224" t="s">
        <v>2581</v>
      </c>
      <c r="O847" s="224" t="s">
        <v>1488</v>
      </c>
      <c r="S847" s="224" t="s">
        <v>1489</v>
      </c>
      <c r="AC847" s="224" t="s">
        <v>1490</v>
      </c>
    </row>
    <row r="848" spans="1:33">
      <c r="C848" s="224" t="s">
        <v>1491</v>
      </c>
      <c r="D848" s="224" t="s">
        <v>3477</v>
      </c>
      <c r="E848" s="224" t="s">
        <v>116</v>
      </c>
      <c r="F848" s="224" t="s">
        <v>1492</v>
      </c>
      <c r="G848" s="224" t="s">
        <v>1558</v>
      </c>
      <c r="H848" s="224" t="s">
        <v>2674</v>
      </c>
      <c r="J848" s="224" t="s">
        <v>2669</v>
      </c>
      <c r="K848" s="224" t="s">
        <v>2668</v>
      </c>
      <c r="L848" s="224" t="s">
        <v>2675</v>
      </c>
      <c r="M848" s="224" t="s">
        <v>2658</v>
      </c>
      <c r="N848" s="224" t="s">
        <v>1493</v>
      </c>
      <c r="O848" s="224" t="s">
        <v>1494</v>
      </c>
      <c r="P848" s="224" t="s">
        <v>1495</v>
      </c>
      <c r="S848" s="224" t="s">
        <v>1496</v>
      </c>
      <c r="T848" s="224" t="s">
        <v>1497</v>
      </c>
      <c r="U848" s="224" t="s">
        <v>1498</v>
      </c>
      <c r="V848" s="224" t="s">
        <v>1499</v>
      </c>
      <c r="W848" s="224" t="s">
        <v>2675</v>
      </c>
      <c r="AC848" s="224" t="s">
        <v>1500</v>
      </c>
      <c r="AE848" s="224" t="s">
        <v>2560</v>
      </c>
      <c r="AG848" s="224" t="s">
        <v>3690</v>
      </c>
    </row>
    <row r="849" spans="1:36">
      <c r="B849" s="224" t="s">
        <v>2666</v>
      </c>
      <c r="C849" s="224" t="s">
        <v>3691</v>
      </c>
      <c r="D849" s="224" t="s">
        <v>1492</v>
      </c>
      <c r="E849" s="224" t="s">
        <v>3691</v>
      </c>
      <c r="F849" s="224" t="s">
        <v>3692</v>
      </c>
      <c r="G849" s="224" t="s">
        <v>1492</v>
      </c>
      <c r="H849" s="224" t="s">
        <v>1492</v>
      </c>
      <c r="I849" s="224" t="s">
        <v>1617</v>
      </c>
      <c r="J849" s="224" t="s">
        <v>3693</v>
      </c>
      <c r="K849" s="224" t="s">
        <v>1098</v>
      </c>
      <c r="L849" s="224" t="s">
        <v>1098</v>
      </c>
      <c r="M849" s="224" t="s">
        <v>2674</v>
      </c>
      <c r="N849" s="224" t="s">
        <v>3692</v>
      </c>
      <c r="O849" s="224" t="s">
        <v>3694</v>
      </c>
      <c r="P849" s="88" t="s">
        <v>3501</v>
      </c>
      <c r="S849" s="224" t="s">
        <v>3695</v>
      </c>
      <c r="T849" s="224" t="s">
        <v>3696</v>
      </c>
      <c r="U849" s="224" t="s">
        <v>2675</v>
      </c>
      <c r="V849" s="224" t="s">
        <v>3697</v>
      </c>
      <c r="W849" s="224" t="s">
        <v>1098</v>
      </c>
      <c r="AC849" s="224" t="s">
        <v>3698</v>
      </c>
      <c r="AD849" s="224" t="s">
        <v>3699</v>
      </c>
      <c r="AE849" s="224" t="s">
        <v>3698</v>
      </c>
      <c r="AF849" s="224" t="s">
        <v>3699</v>
      </c>
      <c r="AG849" s="224" t="s">
        <v>3698</v>
      </c>
      <c r="AH849" s="224" t="s">
        <v>3699</v>
      </c>
      <c r="AI849" s="224" t="s">
        <v>2657</v>
      </c>
    </row>
    <row r="850" spans="1:36">
      <c r="B850" s="216" t="s">
        <v>1878</v>
      </c>
      <c r="C850" s="216" t="s">
        <v>1878</v>
      </c>
      <c r="D850" s="216" t="s">
        <v>1878</v>
      </c>
      <c r="E850" s="216" t="s">
        <v>1878</v>
      </c>
      <c r="F850" s="216" t="s">
        <v>1878</v>
      </c>
      <c r="G850" s="216" t="s">
        <v>1878</v>
      </c>
      <c r="H850" s="216" t="s">
        <v>1878</v>
      </c>
      <c r="I850" s="216" t="s">
        <v>1878</v>
      </c>
      <c r="J850" s="216" t="s">
        <v>1878</v>
      </c>
      <c r="K850" s="216" t="s">
        <v>1878</v>
      </c>
      <c r="L850" s="216" t="s">
        <v>1878</v>
      </c>
      <c r="M850" s="216" t="s">
        <v>1878</v>
      </c>
      <c r="N850" s="216" t="s">
        <v>1878</v>
      </c>
      <c r="O850" s="216" t="s">
        <v>1878</v>
      </c>
      <c r="S850" s="216" t="s">
        <v>1878</v>
      </c>
      <c r="T850" s="216" t="s">
        <v>1878</v>
      </c>
      <c r="U850" s="216" t="s">
        <v>1878</v>
      </c>
      <c r="V850" s="216" t="s">
        <v>1878</v>
      </c>
      <c r="W850" s="216" t="s">
        <v>1878</v>
      </c>
    </row>
    <row r="851" spans="1:36">
      <c r="A851" s="216" t="s">
        <v>1910</v>
      </c>
      <c r="B851" s="84">
        <v>4920006.3</v>
      </c>
      <c r="C851" s="86">
        <v>2719936.71</v>
      </c>
      <c r="D851" s="84">
        <v>2721001.15</v>
      </c>
      <c r="E851" s="86">
        <v>2200069.59</v>
      </c>
      <c r="F851" s="86">
        <v>520931.56</v>
      </c>
      <c r="G851" s="84">
        <v>244</v>
      </c>
      <c r="H851" s="84">
        <v>158071</v>
      </c>
      <c r="I851" s="84">
        <v>408507.9</v>
      </c>
      <c r="J851" s="84">
        <v>-27802</v>
      </c>
      <c r="K851" s="84">
        <v>125320</v>
      </c>
      <c r="L851" s="84">
        <v>196158</v>
      </c>
      <c r="M851" s="86">
        <v>3711687.05</v>
      </c>
      <c r="N851" s="86">
        <v>1381430.46</v>
      </c>
      <c r="O851" s="84">
        <v>239701.66999999923</v>
      </c>
      <c r="P851" s="215">
        <v>281229.89000000083</v>
      </c>
      <c r="R851" s="216" t="s">
        <v>1910</v>
      </c>
      <c r="S851" s="215">
        <v>1534664.25</v>
      </c>
      <c r="V851" s="215">
        <v>337490.60272197018</v>
      </c>
      <c r="W851" s="215">
        <v>-130187</v>
      </c>
      <c r="X851" s="215">
        <v>130187</v>
      </c>
      <c r="Y851" s="215">
        <v>337490.60272197018</v>
      </c>
      <c r="Z851" s="215">
        <v>-130186.99999999999</v>
      </c>
      <c r="AB851" s="216" t="s">
        <v>3700</v>
      </c>
      <c r="AC851" s="218">
        <v>11622.9</v>
      </c>
      <c r="AD851" s="218">
        <v>11336.7</v>
      </c>
      <c r="AE851" s="218">
        <v>983.45</v>
      </c>
      <c r="AF851" s="218">
        <v>593.35</v>
      </c>
      <c r="AG851" s="218"/>
      <c r="AH851" s="218"/>
    </row>
    <row r="852" spans="1:36">
      <c r="A852" s="216" t="s">
        <v>588</v>
      </c>
      <c r="B852" s="84">
        <v>4689049.8499999996</v>
      </c>
      <c r="C852" s="86">
        <v>2773685.6099999994</v>
      </c>
      <c r="D852" s="84">
        <v>2575580.75</v>
      </c>
      <c r="E852" s="86">
        <v>1915364.24</v>
      </c>
      <c r="F852" s="86">
        <v>660216.51</v>
      </c>
      <c r="G852" s="84">
        <v>598</v>
      </c>
      <c r="H852" s="84">
        <v>200613</v>
      </c>
      <c r="I852" s="84">
        <v>411094.9</v>
      </c>
      <c r="J852" s="84">
        <v>-27821</v>
      </c>
      <c r="K852" s="84">
        <v>128557</v>
      </c>
      <c r="L852" s="84">
        <v>195062</v>
      </c>
      <c r="M852" s="86">
        <v>3613871.65</v>
      </c>
      <c r="N852" s="86">
        <v>1568320.4100000001</v>
      </c>
      <c r="O852" s="84">
        <v>269881.24</v>
      </c>
      <c r="P852" s="215">
        <v>390335.27</v>
      </c>
      <c r="R852" s="216" t="s">
        <v>588</v>
      </c>
      <c r="S852" s="215">
        <v>1400427.2</v>
      </c>
      <c r="V852" s="215">
        <v>337490.60272197018</v>
      </c>
      <c r="W852" s="215">
        <v>-130187</v>
      </c>
      <c r="X852" s="215">
        <v>130187</v>
      </c>
      <c r="Y852" s="215">
        <v>337490.60272197018</v>
      </c>
      <c r="Z852" s="215">
        <v>-130186.99999999999</v>
      </c>
      <c r="AB852" s="216" t="s">
        <v>3701</v>
      </c>
      <c r="AC852" s="218">
        <v>10822.92</v>
      </c>
      <c r="AD852" s="218">
        <v>10572.9</v>
      </c>
      <c r="AE852" s="218">
        <v>4427.1899999999996</v>
      </c>
      <c r="AF852" s="218">
        <v>683.65</v>
      </c>
      <c r="AG852" s="218"/>
      <c r="AH852" s="218"/>
    </row>
    <row r="853" spans="1:36">
      <c r="A853" s="216" t="s">
        <v>598</v>
      </c>
      <c r="B853" s="84">
        <v>7014158.1799999997</v>
      </c>
      <c r="C853" s="86">
        <v>3586366.92</v>
      </c>
      <c r="D853" s="84">
        <v>4091055.46</v>
      </c>
      <c r="E853" s="86">
        <v>3427791.26</v>
      </c>
      <c r="F853" s="86">
        <v>663264.19999999995</v>
      </c>
      <c r="G853" s="84">
        <v>449</v>
      </c>
      <c r="H853" s="84">
        <v>168262</v>
      </c>
      <c r="I853" s="84">
        <v>407518.9</v>
      </c>
      <c r="J853" s="84">
        <v>-27656</v>
      </c>
      <c r="K853" s="84">
        <v>125142</v>
      </c>
      <c r="L853" s="84">
        <v>617969.52837750001</v>
      </c>
      <c r="M853" s="218">
        <v>5473871.8883774998</v>
      </c>
      <c r="N853" s="218">
        <v>1954949.6283775</v>
      </c>
      <c r="O853" s="84">
        <v>396992.43</v>
      </c>
      <c r="P853" s="215">
        <v>266271.77</v>
      </c>
      <c r="R853" s="216" t="s">
        <v>598</v>
      </c>
      <c r="S853" s="215">
        <v>2249386.8199999998</v>
      </c>
      <c r="T853" s="215">
        <v>411148.25</v>
      </c>
      <c r="U853" s="215">
        <v>1838238.57</v>
      </c>
      <c r="V853" s="215">
        <v>236243.68114063513</v>
      </c>
      <c r="W853" s="215">
        <v>617969.52837750001</v>
      </c>
      <c r="X853" s="215">
        <v>91131</v>
      </c>
      <c r="Y853" s="215">
        <v>236243.68114063513</v>
      </c>
      <c r="Z853" s="215">
        <v>617969.52837750001</v>
      </c>
      <c r="AB853" s="216" t="s">
        <v>3702</v>
      </c>
      <c r="AC853" s="218">
        <v>2396.94</v>
      </c>
      <c r="AD853" s="218">
        <v>2341.86</v>
      </c>
      <c r="AE853" s="218">
        <v>19656.41</v>
      </c>
      <c r="AF853" s="218">
        <v>17192.259999999998</v>
      </c>
      <c r="AG853" s="218">
        <v>11416.93</v>
      </c>
      <c r="AH853" s="218">
        <v>1857.6499999999999</v>
      </c>
      <c r="AI853" s="218">
        <v>-9559.2800000000007</v>
      </c>
    </row>
    <row r="854" spans="1:36">
      <c r="A854" s="216" t="s">
        <v>609</v>
      </c>
      <c r="B854" s="84">
        <v>6956630.2599999998</v>
      </c>
      <c r="C854" s="86">
        <v>3351581.5199999996</v>
      </c>
      <c r="D854" s="84">
        <v>4192473</v>
      </c>
      <c r="E854" s="86">
        <v>3605048.74</v>
      </c>
      <c r="F854" s="86">
        <v>587424.26</v>
      </c>
      <c r="G854" s="84">
        <v>92</v>
      </c>
      <c r="H854" s="84">
        <v>201595</v>
      </c>
      <c r="I854" s="84">
        <v>408039.9</v>
      </c>
      <c r="J854" s="84">
        <v>-27657</v>
      </c>
      <c r="K854" s="84">
        <v>126925</v>
      </c>
      <c r="L854" s="84">
        <v>502222.87561999995</v>
      </c>
      <c r="M854" s="218">
        <v>5533877.7756199995</v>
      </c>
      <c r="N854" s="218">
        <v>1798642.0356200002</v>
      </c>
      <c r="O854" s="84">
        <v>388805.52</v>
      </c>
      <c r="P854" s="215">
        <v>198618.74</v>
      </c>
      <c r="R854" s="216" t="s">
        <v>609</v>
      </c>
      <c r="S854" s="215">
        <v>2055162.36</v>
      </c>
      <c r="T854" s="215">
        <v>415733</v>
      </c>
      <c r="U854" s="215">
        <v>1639429.36</v>
      </c>
      <c r="V854" s="215">
        <v>337490.60272197018</v>
      </c>
      <c r="W854" s="215">
        <v>502222.87561999995</v>
      </c>
      <c r="X854" s="215">
        <v>130187</v>
      </c>
      <c r="Y854" s="215">
        <v>337490.60272197018</v>
      </c>
      <c r="Z854" s="215">
        <v>502222.87561999995</v>
      </c>
      <c r="AB854" s="216" t="s">
        <v>3703</v>
      </c>
      <c r="AC854" s="218">
        <v>0</v>
      </c>
      <c r="AD854" s="218">
        <v>0</v>
      </c>
      <c r="AE854" s="218">
        <v>31060.12</v>
      </c>
      <c r="AF854" s="218">
        <v>29867.17</v>
      </c>
      <c r="AG854" s="218"/>
      <c r="AH854" s="218"/>
    </row>
    <row r="855" spans="1:36">
      <c r="A855" s="216" t="s">
        <v>618</v>
      </c>
      <c r="B855" s="84">
        <v>7064811</v>
      </c>
      <c r="C855" s="86">
        <v>3375038.08</v>
      </c>
      <c r="D855" s="84">
        <v>4313958.8</v>
      </c>
      <c r="E855" s="86">
        <v>3689772.92</v>
      </c>
      <c r="F855" s="86">
        <v>624185.88</v>
      </c>
      <c r="G855" s="84">
        <v>92</v>
      </c>
      <c r="H855" s="84">
        <v>222648</v>
      </c>
      <c r="I855" s="84">
        <v>574981.9</v>
      </c>
      <c r="J855" s="84">
        <v>-27679</v>
      </c>
      <c r="K855" s="84">
        <v>130745</v>
      </c>
      <c r="L855" s="84">
        <v>418320.68447499996</v>
      </c>
      <c r="M855" s="218">
        <v>5763254.3844750002</v>
      </c>
      <c r="N855" s="218">
        <v>1943294.464475</v>
      </c>
      <c r="O855" s="84">
        <v>291003.38</v>
      </c>
      <c r="P855" s="215">
        <v>333182.5</v>
      </c>
      <c r="R855" s="216" t="s">
        <v>618</v>
      </c>
      <c r="S855" s="215">
        <v>1850064.3</v>
      </c>
      <c r="T855" s="215">
        <v>428139</v>
      </c>
      <c r="U855" s="215">
        <v>1421925.3</v>
      </c>
      <c r="V855" s="215">
        <v>337490.60272197018</v>
      </c>
      <c r="W855" s="215">
        <v>418320.68447499996</v>
      </c>
      <c r="X855" s="215">
        <v>130187</v>
      </c>
      <c r="Y855" s="215">
        <v>337490.60272197018</v>
      </c>
      <c r="Z855" s="215">
        <v>418320.68447499996</v>
      </c>
      <c r="AB855" s="216" t="s">
        <v>3704</v>
      </c>
      <c r="AC855" s="218">
        <v>0</v>
      </c>
      <c r="AD855" s="218">
        <v>0</v>
      </c>
      <c r="AE855" s="218">
        <v>22462.67</v>
      </c>
      <c r="AF855" s="218">
        <v>22290.35</v>
      </c>
      <c r="AG855" s="218"/>
      <c r="AH855" s="218"/>
    </row>
    <row r="856" spans="1:36">
      <c r="A856" s="216" t="s">
        <v>629</v>
      </c>
      <c r="B856" s="84">
        <v>5380139.5700000003</v>
      </c>
      <c r="C856" s="86">
        <v>3350412.7600000002</v>
      </c>
      <c r="D856" s="84">
        <v>2550584.5699999998</v>
      </c>
      <c r="E856" s="86">
        <v>2029726.81</v>
      </c>
      <c r="F856" s="86">
        <v>520857.76</v>
      </c>
      <c r="G856" s="84">
        <v>37460</v>
      </c>
      <c r="H856" s="84">
        <v>273958</v>
      </c>
      <c r="I856" s="84">
        <v>434297.9</v>
      </c>
      <c r="J856" s="84">
        <v>-27700</v>
      </c>
      <c r="K856" s="84">
        <v>130096</v>
      </c>
      <c r="L856" s="84">
        <v>503483.15522083326</v>
      </c>
      <c r="M856" s="86">
        <v>3991812.6252208333</v>
      </c>
      <c r="N856" s="86">
        <v>1872452.8152208333</v>
      </c>
      <c r="O856" s="84">
        <v>212146.76</v>
      </c>
      <c r="P856" s="215">
        <v>308711</v>
      </c>
      <c r="R856" s="216" t="s">
        <v>629</v>
      </c>
      <c r="S856" s="215">
        <v>1981443.1</v>
      </c>
      <c r="T856" s="215">
        <v>443876.91666666669</v>
      </c>
      <c r="U856" s="215">
        <v>1537566.1833333333</v>
      </c>
      <c r="V856" s="215">
        <v>232360.33700583281</v>
      </c>
      <c r="W856" s="215">
        <v>503483.15522083326</v>
      </c>
      <c r="X856" s="215">
        <v>89633</v>
      </c>
      <c r="Y856" s="215">
        <v>232360.33700583281</v>
      </c>
      <c r="Z856" s="215">
        <v>503483.15522083326</v>
      </c>
      <c r="AB856" s="216" t="s">
        <v>3705</v>
      </c>
      <c r="AC856" s="218">
        <v>11566.34</v>
      </c>
      <c r="AD856" s="218">
        <v>11293.1</v>
      </c>
      <c r="AE856" s="218">
        <v>6528.79</v>
      </c>
      <c r="AF856" s="218">
        <v>6534.43</v>
      </c>
      <c r="AG856" s="218">
        <v>35958.310000000005</v>
      </c>
      <c r="AH856" s="218">
        <v>34955.96</v>
      </c>
      <c r="AI856" s="218">
        <v>-1002.3500000000058</v>
      </c>
    </row>
    <row r="857" spans="1:36">
      <c r="A857" s="216" t="s">
        <v>639</v>
      </c>
      <c r="B857" s="84">
        <v>3140117.11</v>
      </c>
      <c r="C857" s="86">
        <v>3167430.98</v>
      </c>
      <c r="D857" s="84">
        <v>341499.11</v>
      </c>
      <c r="E857" s="86">
        <v>-27313.87</v>
      </c>
      <c r="F857" s="86">
        <v>368812.98</v>
      </c>
      <c r="G857" s="84">
        <v>20109</v>
      </c>
      <c r="H857" s="84">
        <v>293787</v>
      </c>
      <c r="I857" s="84">
        <v>446011.9</v>
      </c>
      <c r="J857" s="84">
        <v>-27780</v>
      </c>
      <c r="K857" s="84">
        <v>-316073</v>
      </c>
      <c r="L857" s="84">
        <v>606002.51224166667</v>
      </c>
      <c r="M857" s="86">
        <v>1493743.5222416664</v>
      </c>
      <c r="N857" s="86">
        <v>1390870.3922416666</v>
      </c>
      <c r="O857" s="84">
        <v>407.98000000001048</v>
      </c>
      <c r="P857" s="215">
        <v>368405</v>
      </c>
      <c r="R857" s="216" t="s">
        <v>639</v>
      </c>
      <c r="S857" s="215">
        <v>2382563.1</v>
      </c>
      <c r="T857" s="215">
        <v>474100.33333333331</v>
      </c>
      <c r="U857" s="215">
        <v>1908462.7666666668</v>
      </c>
      <c r="V857" s="215">
        <v>337490.60272197018</v>
      </c>
      <c r="W857" s="215">
        <v>606002.51224166667</v>
      </c>
      <c r="X857" s="215">
        <v>130187</v>
      </c>
      <c r="Y857" s="215">
        <v>337490.60272197018</v>
      </c>
      <c r="Z857" s="215">
        <v>606002.51224166667</v>
      </c>
      <c r="AB857" s="216" t="s">
        <v>3706</v>
      </c>
      <c r="AC857" s="218">
        <v>9317.32</v>
      </c>
      <c r="AD857" s="218">
        <v>9097</v>
      </c>
      <c r="AE857" s="218">
        <v>3803.36</v>
      </c>
      <c r="AF857" s="218">
        <v>3660.9</v>
      </c>
      <c r="AG857" s="218"/>
      <c r="AH857" s="218"/>
    </row>
    <row r="858" spans="1:36">
      <c r="A858" s="216" t="s">
        <v>649</v>
      </c>
      <c r="B858" s="84">
        <v>3012279.2</v>
      </c>
      <c r="C858" s="86">
        <v>2993154.18</v>
      </c>
      <c r="D858" s="84">
        <v>218382.34</v>
      </c>
      <c r="E858" s="86">
        <v>19125.02</v>
      </c>
      <c r="F858" s="86">
        <v>199257.32</v>
      </c>
      <c r="G858" s="84">
        <v>5749</v>
      </c>
      <c r="H858" s="84">
        <v>272065</v>
      </c>
      <c r="I858" s="84">
        <v>437742.9</v>
      </c>
      <c r="J858" s="84">
        <v>-27722</v>
      </c>
      <c r="K858" s="84">
        <v>143121</v>
      </c>
      <c r="L858" s="84">
        <v>447307.6406325</v>
      </c>
      <c r="M858" s="86">
        <v>1626832.8806325002</v>
      </c>
      <c r="N858" s="86">
        <v>1477520.8606324999</v>
      </c>
      <c r="O858" s="84">
        <v>-91436.01</v>
      </c>
      <c r="P858" s="215">
        <v>290693.33</v>
      </c>
      <c r="R858" s="216" t="s">
        <v>649</v>
      </c>
      <c r="S858" s="215">
        <v>1962940.96</v>
      </c>
      <c r="T858" s="215">
        <v>465871.25</v>
      </c>
      <c r="U858" s="215">
        <v>1497069.71</v>
      </c>
      <c r="V858" s="215">
        <v>337490.60272197018</v>
      </c>
      <c r="W858" s="215">
        <v>447307.6406325</v>
      </c>
      <c r="X858" s="215">
        <v>130187</v>
      </c>
      <c r="Y858" s="215">
        <v>337490.60272197018</v>
      </c>
      <c r="Z858" s="215">
        <v>447307.6406325</v>
      </c>
      <c r="AB858" s="216" t="s">
        <v>3707</v>
      </c>
      <c r="AC858" s="218">
        <v>4329.38</v>
      </c>
      <c r="AD858" s="218">
        <v>4225.16</v>
      </c>
      <c r="AE858" s="218">
        <v>12970.97</v>
      </c>
      <c r="AF858" s="218">
        <v>11864.53</v>
      </c>
      <c r="AG858" s="218"/>
      <c r="AH858" s="218"/>
    </row>
    <row r="859" spans="1:36">
      <c r="A859" s="216" t="s">
        <v>658</v>
      </c>
      <c r="B859" s="84">
        <v>6913649.2599999998</v>
      </c>
      <c r="C859" s="86">
        <v>4647598.3</v>
      </c>
      <c r="D859" s="84">
        <v>4112112.46</v>
      </c>
      <c r="E859" s="86">
        <v>2266050.96</v>
      </c>
      <c r="F859" s="86">
        <v>1846061.5</v>
      </c>
      <c r="G859" s="84">
        <v>2803</v>
      </c>
      <c r="H859" s="84">
        <v>258337</v>
      </c>
      <c r="I859" s="84">
        <v>433162.9</v>
      </c>
      <c r="J859" s="84">
        <v>-27700</v>
      </c>
      <c r="K859" s="84">
        <v>94181</v>
      </c>
      <c r="L859" s="84">
        <v>516580.99013333308</v>
      </c>
      <c r="M859" s="86">
        <v>5480608.3501333334</v>
      </c>
      <c r="N859" s="86">
        <v>3123426.3901333329</v>
      </c>
      <c r="O859" s="84">
        <v>1563448.3</v>
      </c>
      <c r="P859" s="215">
        <v>282613.2</v>
      </c>
      <c r="R859" s="216" t="s">
        <v>658</v>
      </c>
      <c r="S859" s="215">
        <v>2040752.9</v>
      </c>
      <c r="T859" s="215">
        <v>465349.16666666669</v>
      </c>
      <c r="U859" s="215">
        <v>1575403.7333333327</v>
      </c>
      <c r="V859" s="215">
        <v>236243.68114063513</v>
      </c>
      <c r="W859" s="215">
        <v>516580.99013333308</v>
      </c>
      <c r="X859" s="215">
        <v>91131</v>
      </c>
      <c r="Y859" s="215">
        <v>236243.68114063513</v>
      </c>
      <c r="Z859" s="215">
        <v>516580.99013333308</v>
      </c>
      <c r="AB859" s="216" t="s">
        <v>3708</v>
      </c>
      <c r="AC859" s="218">
        <v>14047.32</v>
      </c>
      <c r="AD859" s="218">
        <v>13712.52</v>
      </c>
      <c r="AE859" s="218">
        <v>17767.64</v>
      </c>
      <c r="AF859" s="218">
        <v>17407.21</v>
      </c>
      <c r="AG859" s="218">
        <v>19093.05</v>
      </c>
      <c r="AH859" s="218">
        <v>18358.120000000003</v>
      </c>
      <c r="AI859" s="218">
        <v>-734.92999999999665</v>
      </c>
    </row>
    <row r="860" spans="1:36">
      <c r="A860" s="216" t="s">
        <v>669</v>
      </c>
      <c r="B860" s="84">
        <v>7632981</v>
      </c>
      <c r="C860" s="86">
        <v>4142587.82</v>
      </c>
      <c r="D860" s="84">
        <v>4138128</v>
      </c>
      <c r="E860" s="86">
        <v>3490393.18</v>
      </c>
      <c r="F860" s="86">
        <v>647734.81999999995</v>
      </c>
      <c r="G860" s="84">
        <v>714</v>
      </c>
      <c r="H860" s="84">
        <v>200636</v>
      </c>
      <c r="I860" s="84">
        <v>504870.9</v>
      </c>
      <c r="J860" s="84">
        <v>-27681</v>
      </c>
      <c r="K860" s="84">
        <v>134119</v>
      </c>
      <c r="L860" s="84">
        <v>826307.78895000007</v>
      </c>
      <c r="M860" s="86">
        <v>5806523.3589500003</v>
      </c>
      <c r="N860" s="86">
        <v>2286701.5089500002</v>
      </c>
      <c r="O860" s="84">
        <v>455640.96</v>
      </c>
      <c r="P860" s="215">
        <v>192093.86</v>
      </c>
      <c r="R860" s="216" t="s">
        <v>669</v>
      </c>
      <c r="S860" s="215">
        <v>2682194.1</v>
      </c>
      <c r="T860" s="215">
        <v>463823.5</v>
      </c>
      <c r="U860" s="215">
        <v>2218370.6</v>
      </c>
      <c r="V860" s="215">
        <v>76289.488010369416</v>
      </c>
      <c r="W860" s="215">
        <v>826307.78895000007</v>
      </c>
      <c r="X860" s="215">
        <v>29428.67</v>
      </c>
      <c r="Y860" s="215">
        <v>76289.488010369416</v>
      </c>
      <c r="Z860" s="215">
        <v>826307.78895000007</v>
      </c>
      <c r="AB860" s="216" t="s">
        <v>3709</v>
      </c>
      <c r="AC860" s="218">
        <v>7808.91</v>
      </c>
      <c r="AD860" s="218">
        <v>7596.69</v>
      </c>
      <c r="AE860" s="218">
        <v>4531.5</v>
      </c>
      <c r="AF860" s="218">
        <v>3743.76</v>
      </c>
      <c r="AG860" s="218"/>
      <c r="AH860" s="218"/>
    </row>
    <row r="861" spans="1:36">
      <c r="A861" s="216" t="s">
        <v>679</v>
      </c>
      <c r="B861" s="84">
        <v>6992871.6099999994</v>
      </c>
      <c r="C861" s="218">
        <v>3909219.0099999993</v>
      </c>
      <c r="D861" s="84">
        <v>3404609.61</v>
      </c>
      <c r="E861" s="218">
        <v>3083652.6</v>
      </c>
      <c r="F861" s="218">
        <v>320957.01</v>
      </c>
      <c r="G861" s="84">
        <v>6412</v>
      </c>
      <c r="H861" s="84">
        <v>183122</v>
      </c>
      <c r="I861" s="84">
        <v>507431.9</v>
      </c>
      <c r="J861" s="84">
        <v>-27638</v>
      </c>
      <c r="K861" s="84">
        <v>126014</v>
      </c>
      <c r="L861" s="84">
        <v>867675.04032499972</v>
      </c>
      <c r="M861" s="218">
        <v>5067626.5503249997</v>
      </c>
      <c r="N861" s="218">
        <v>1983973.9503249999</v>
      </c>
      <c r="O861" s="84">
        <v>241126.01</v>
      </c>
      <c r="P861" s="215">
        <v>79830.999999999767</v>
      </c>
      <c r="R861" s="216" t="s">
        <v>679</v>
      </c>
      <c r="S861" s="215">
        <v>2792920.1</v>
      </c>
      <c r="T861" s="215">
        <v>467311</v>
      </c>
      <c r="U861" s="215">
        <v>2325609.1</v>
      </c>
      <c r="V861" s="215">
        <v>76289.488010369416</v>
      </c>
      <c r="W861" s="215">
        <v>867675.04032499972</v>
      </c>
      <c r="Y861" s="215">
        <v>0</v>
      </c>
      <c r="Z861" s="215">
        <v>867675.04032500007</v>
      </c>
      <c r="AB861" s="216" t="s">
        <v>3710</v>
      </c>
      <c r="AC861" s="218">
        <v>9169.81</v>
      </c>
      <c r="AD861" s="218">
        <v>9046.61</v>
      </c>
      <c r="AE861" s="218">
        <v>-25888.25</v>
      </c>
      <c r="AF861" s="218">
        <v>-20536.98</v>
      </c>
      <c r="AG861" s="218"/>
      <c r="AH861" s="218"/>
    </row>
    <row r="862" spans="1:36">
      <c r="A862" s="216" t="s">
        <v>1557</v>
      </c>
      <c r="B862" s="84">
        <v>7319668.8599999994</v>
      </c>
      <c r="C862" s="218">
        <v>3939452.4099999992</v>
      </c>
      <c r="D862" s="84">
        <v>3898649.86</v>
      </c>
      <c r="E862" s="218">
        <v>3380216.45</v>
      </c>
      <c r="F862" s="218">
        <v>518433.40999999968</v>
      </c>
      <c r="G862" s="84">
        <v>207</v>
      </c>
      <c r="H862" s="84">
        <v>262433</v>
      </c>
      <c r="I862" s="84">
        <v>510617.9</v>
      </c>
      <c r="J862" s="84">
        <v>-27647</v>
      </c>
      <c r="K862" s="84">
        <v>132731</v>
      </c>
      <c r="L862" s="84">
        <v>626183.18388749962</v>
      </c>
      <c r="M862" s="218">
        <v>5403174.9438875001</v>
      </c>
      <c r="N862" s="218">
        <v>2022958.4938874992</v>
      </c>
      <c r="O862" s="84">
        <v>278127.40999999997</v>
      </c>
      <c r="P862" s="215">
        <v>240305.99999999971</v>
      </c>
      <c r="R862" s="216" t="s">
        <v>1557</v>
      </c>
      <c r="S862" s="215">
        <v>2542677.0999999992</v>
      </c>
      <c r="T862" s="215">
        <v>458988.25</v>
      </c>
      <c r="U862" s="215">
        <v>2083688.8499999992</v>
      </c>
      <c r="V862" s="215">
        <v>460401.27025275445</v>
      </c>
      <c r="W862" s="218">
        <v>626183.18388749962</v>
      </c>
      <c r="Z862" s="215">
        <v>626183.18388749962</v>
      </c>
      <c r="AB862" s="216" t="s">
        <v>3711</v>
      </c>
      <c r="AC862" s="218">
        <v>11555.87</v>
      </c>
      <c r="AD862" s="218">
        <v>11405.23</v>
      </c>
      <c r="AE862" s="218">
        <v>-4766.1099999999997</v>
      </c>
      <c r="AF862" s="218">
        <v>-312.51</v>
      </c>
      <c r="AG862" s="218">
        <v>42124.86</v>
      </c>
      <c r="AH862" s="218">
        <v>38422.400000000001</v>
      </c>
      <c r="AI862" s="218">
        <v>-3702.4599999999991</v>
      </c>
    </row>
    <row r="863" spans="1:36">
      <c r="A863" s="216"/>
      <c r="B863" s="216" t="s">
        <v>1878</v>
      </c>
      <c r="C863" s="216" t="s">
        <v>1878</v>
      </c>
      <c r="D863" s="219" t="s">
        <v>1583</v>
      </c>
      <c r="E863" s="216" t="s">
        <v>1878</v>
      </c>
      <c r="F863" s="216" t="s">
        <v>1878</v>
      </c>
      <c r="G863" s="216" t="s">
        <v>1878</v>
      </c>
      <c r="H863" s="216" t="s">
        <v>1878</v>
      </c>
      <c r="I863" s="216" t="s">
        <v>1878</v>
      </c>
      <c r="J863" s="216" t="s">
        <v>1878</v>
      </c>
      <c r="K863" s="216" t="s">
        <v>1878</v>
      </c>
      <c r="L863" s="216" t="s">
        <v>1878</v>
      </c>
      <c r="M863" s="216" t="s">
        <v>1878</v>
      </c>
      <c r="N863" s="216" t="s">
        <v>1878</v>
      </c>
      <c r="O863" s="216" t="s">
        <v>1878</v>
      </c>
      <c r="R863" s="216"/>
      <c r="S863" s="216" t="s">
        <v>1878</v>
      </c>
      <c r="T863" s="216" t="s">
        <v>1878</v>
      </c>
      <c r="U863" s="216" t="s">
        <v>1878</v>
      </c>
      <c r="V863" s="216" t="s">
        <v>1878</v>
      </c>
      <c r="W863" s="216" t="s">
        <v>1878</v>
      </c>
      <c r="AC863" s="271"/>
      <c r="AD863" s="271"/>
      <c r="AE863" s="271"/>
      <c r="AF863" s="271"/>
      <c r="AG863" s="271"/>
      <c r="AH863" s="271"/>
    </row>
    <row r="864" spans="1:36">
      <c r="A864" s="216" t="s">
        <v>3712</v>
      </c>
      <c r="B864" s="218">
        <v>71036362.199999988</v>
      </c>
      <c r="C864" s="218">
        <v>41956464.29999999</v>
      </c>
      <c r="D864" s="218">
        <v>36558035.109999999</v>
      </c>
      <c r="E864" s="218">
        <v>29079897.899999999</v>
      </c>
      <c r="F864" s="218">
        <v>7478137.209999999</v>
      </c>
      <c r="G864" s="218">
        <v>74929</v>
      </c>
      <c r="H864" s="218">
        <v>2695527</v>
      </c>
      <c r="I864" s="218">
        <v>5484279.8000000007</v>
      </c>
      <c r="J864" s="218">
        <v>-332483</v>
      </c>
      <c r="K864" s="218">
        <v>1080878</v>
      </c>
      <c r="L864" s="218">
        <v>6323273.3998633325</v>
      </c>
      <c r="M864" s="218">
        <v>52966884.979863338</v>
      </c>
      <c r="N864" s="218">
        <v>22804541.40986333</v>
      </c>
      <c r="O864" s="218">
        <v>4245845.6499999994</v>
      </c>
      <c r="R864" s="216" t="s">
        <v>3712</v>
      </c>
      <c r="S864" s="218">
        <v>25475196.289999999</v>
      </c>
      <c r="T864" s="218">
        <v>5779443.6744068395</v>
      </c>
      <c r="U864" s="218">
        <v>19695752.615593158</v>
      </c>
      <c r="V864" s="218">
        <v>3342771.5618924168</v>
      </c>
      <c r="W864" s="218">
        <v>6308162.4414650602</v>
      </c>
      <c r="AB864" s="216" t="s">
        <v>3712</v>
      </c>
      <c r="AC864" s="271">
        <v>92637.709999999992</v>
      </c>
      <c r="AD864" s="271">
        <v>90627.77</v>
      </c>
      <c r="AE864" s="271">
        <v>93537.739999999991</v>
      </c>
      <c r="AF864" s="271">
        <v>92988.119999999981</v>
      </c>
      <c r="AG864" s="271">
        <v>108593.15000000001</v>
      </c>
      <c r="AH864" s="271">
        <v>93594.13</v>
      </c>
      <c r="AI864" s="271">
        <v>-14999.020000000002</v>
      </c>
      <c r="AJ864" s="218">
        <v>55662411.979863338</v>
      </c>
    </row>
    <row r="865" spans="1:32">
      <c r="B865" s="216" t="s">
        <v>736</v>
      </c>
      <c r="C865" s="216" t="s">
        <v>736</v>
      </c>
      <c r="D865" s="219" t="s">
        <v>510</v>
      </c>
      <c r="E865" s="216" t="s">
        <v>736</v>
      </c>
      <c r="F865" s="216" t="s">
        <v>736</v>
      </c>
      <c r="G865" s="216" t="s">
        <v>736</v>
      </c>
      <c r="H865" s="216" t="s">
        <v>736</v>
      </c>
      <c r="I865" s="216" t="s">
        <v>736</v>
      </c>
      <c r="J865" s="216" t="s">
        <v>736</v>
      </c>
      <c r="K865" s="216" t="s">
        <v>736</v>
      </c>
      <c r="L865" s="216" t="s">
        <v>736</v>
      </c>
      <c r="M865" s="216" t="s">
        <v>736</v>
      </c>
      <c r="N865" s="216" t="s">
        <v>736</v>
      </c>
      <c r="O865" s="216" t="s">
        <v>736</v>
      </c>
      <c r="S865" s="216" t="s">
        <v>736</v>
      </c>
      <c r="T865" s="216" t="s">
        <v>736</v>
      </c>
      <c r="U865" s="216" t="s">
        <v>736</v>
      </c>
      <c r="V865" s="216" t="s">
        <v>736</v>
      </c>
      <c r="W865" s="216" t="s">
        <v>736</v>
      </c>
      <c r="AC865" s="271"/>
      <c r="AD865" s="271"/>
      <c r="AE865" s="271"/>
      <c r="AF865" s="271"/>
    </row>
    <row r="866" spans="1:32"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</row>
    <row r="867" spans="1:32">
      <c r="B867" s="224"/>
      <c r="C867" s="224" t="s">
        <v>3713</v>
      </c>
      <c r="N867" s="224" t="s">
        <v>781</v>
      </c>
      <c r="O867" s="224" t="s">
        <v>2657</v>
      </c>
      <c r="P867" s="224" t="s">
        <v>3714</v>
      </c>
      <c r="AC867" s="216" t="s">
        <v>3715</v>
      </c>
    </row>
    <row r="868" spans="1:32">
      <c r="B868" s="224" t="s">
        <v>3716</v>
      </c>
      <c r="C868" s="224" t="s">
        <v>3717</v>
      </c>
      <c r="D868" s="224" t="s">
        <v>116</v>
      </c>
      <c r="E868" s="224" t="s">
        <v>3718</v>
      </c>
      <c r="M868" s="224" t="s">
        <v>116</v>
      </c>
      <c r="N868" s="224" t="s">
        <v>3719</v>
      </c>
      <c r="O868" s="224" t="s">
        <v>2658</v>
      </c>
      <c r="P868" s="224" t="s">
        <v>3720</v>
      </c>
    </row>
    <row r="869" spans="1:32">
      <c r="B869" s="224" t="s">
        <v>3721</v>
      </c>
      <c r="C869" s="224" t="s">
        <v>3722</v>
      </c>
      <c r="D869" s="224" t="s">
        <v>3723</v>
      </c>
      <c r="E869" s="224" t="s">
        <v>3724</v>
      </c>
      <c r="F869" s="151" t="s">
        <v>3725</v>
      </c>
      <c r="M869" s="224" t="s">
        <v>3719</v>
      </c>
      <c r="N869" s="224" t="s">
        <v>3726</v>
      </c>
      <c r="O869" s="224" t="s">
        <v>2675</v>
      </c>
      <c r="P869" s="224" t="s">
        <v>3727</v>
      </c>
      <c r="AC869" s="216" t="s">
        <v>3728</v>
      </c>
      <c r="AF869" s="291">
        <v>2009.9399999999878</v>
      </c>
    </row>
    <row r="870" spans="1:32">
      <c r="F870" s="151" t="s">
        <v>3729</v>
      </c>
      <c r="M870" s="219" t="s">
        <v>1583</v>
      </c>
      <c r="N870" s="219" t="s">
        <v>1583</v>
      </c>
      <c r="O870" s="224" t="s">
        <v>970</v>
      </c>
      <c r="P870" s="219" t="s">
        <v>1583</v>
      </c>
      <c r="AC870" s="216" t="s">
        <v>3730</v>
      </c>
      <c r="AF870" s="291">
        <v>549.6200000000099</v>
      </c>
    </row>
    <row r="871" spans="1:32">
      <c r="A871" s="216" t="s">
        <v>1910</v>
      </c>
      <c r="B871" s="84"/>
      <c r="C871" s="84">
        <v>831.04000000050291</v>
      </c>
      <c r="D871" s="218">
        <v>2440602.2999999998</v>
      </c>
      <c r="E871" s="215">
        <v>91131</v>
      </c>
      <c r="F871" s="151" t="s">
        <v>3731</v>
      </c>
      <c r="L871" s="218" t="s">
        <v>1910</v>
      </c>
      <c r="M871" s="218">
        <v>2479404</v>
      </c>
      <c r="N871" s="218">
        <v>0</v>
      </c>
      <c r="O871" s="218">
        <v>1208319.25</v>
      </c>
      <c r="P871" s="218">
        <v>0</v>
      </c>
      <c r="S871" s="216"/>
      <c r="AC871" s="216" t="s">
        <v>3690</v>
      </c>
      <c r="AF871" s="218">
        <v>-14999.020000000004</v>
      </c>
    </row>
    <row r="872" spans="1:32">
      <c r="A872" s="216" t="s">
        <v>588</v>
      </c>
      <c r="B872" s="84"/>
      <c r="C872" s="84">
        <v>-5479.6299999998882</v>
      </c>
      <c r="D872" s="218">
        <v>2179765.85</v>
      </c>
      <c r="E872" s="215">
        <v>130187</v>
      </c>
      <c r="F872" s="151" t="s">
        <v>3732</v>
      </c>
      <c r="L872" s="218" t="s">
        <v>588</v>
      </c>
      <c r="M872" s="218">
        <v>2509284</v>
      </c>
      <c r="N872" s="218">
        <v>0</v>
      </c>
      <c r="O872" s="218">
        <v>1075178.1999999997</v>
      </c>
      <c r="P872" s="218">
        <v>0</v>
      </c>
      <c r="S872" s="216"/>
    </row>
    <row r="873" spans="1:32">
      <c r="A873" s="216" t="s">
        <v>598</v>
      </c>
      <c r="B873" s="84">
        <v>0</v>
      </c>
      <c r="C873" s="84">
        <v>0</v>
      </c>
      <c r="D873" s="218">
        <v>3824783.68</v>
      </c>
      <c r="E873" s="215">
        <v>130187</v>
      </c>
      <c r="F873" s="151" t="s">
        <v>3733</v>
      </c>
      <c r="L873" s="218" t="s">
        <v>598</v>
      </c>
      <c r="M873" s="218">
        <v>3189374.5</v>
      </c>
      <c r="N873" s="218">
        <v>0</v>
      </c>
      <c r="O873" s="218">
        <v>1540286.2916224999</v>
      </c>
      <c r="P873" s="218">
        <v>-1.0000000242143869E-2</v>
      </c>
      <c r="S873" s="216"/>
      <c r="AC873" s="224" t="s">
        <v>3734</v>
      </c>
    </row>
    <row r="874" spans="1:32">
      <c r="A874" s="216" t="s">
        <v>609</v>
      </c>
      <c r="B874" s="84">
        <v>563363.46</v>
      </c>
      <c r="C874" s="84">
        <v>0</v>
      </c>
      <c r="D874" s="218">
        <v>3993854.64</v>
      </c>
      <c r="E874" s="215">
        <v>91131</v>
      </c>
      <c r="F874" s="151" t="s">
        <v>3735</v>
      </c>
      <c r="L874" s="218" t="s">
        <v>609</v>
      </c>
      <c r="M874" s="218">
        <v>2962775.62</v>
      </c>
      <c r="N874" s="218">
        <v>0</v>
      </c>
      <c r="O874" s="218">
        <v>1422752.4843800003</v>
      </c>
      <c r="P874" s="218">
        <v>0.37999999942258</v>
      </c>
      <c r="S874" s="216"/>
    </row>
    <row r="875" spans="1:32">
      <c r="A875" s="216" t="s">
        <v>618</v>
      </c>
      <c r="B875" s="84">
        <v>96476.799999999814</v>
      </c>
      <c r="C875" s="84">
        <v>0</v>
      </c>
      <c r="D875" s="218">
        <v>3980775.88</v>
      </c>
      <c r="E875" s="215">
        <v>130187</v>
      </c>
      <c r="F875" s="151" t="s">
        <v>3736</v>
      </c>
      <c r="L875" s="218" t="s">
        <v>618</v>
      </c>
      <c r="M875" s="218">
        <v>3084035.12</v>
      </c>
      <c r="N875" s="218">
        <v>0</v>
      </c>
      <c r="O875" s="218">
        <v>1301556.6155249998</v>
      </c>
      <c r="P875" s="218">
        <v>-0.41999999992549419</v>
      </c>
      <c r="S875" s="216"/>
      <c r="AC875" s="84" t="s">
        <v>1910</v>
      </c>
      <c r="AD875" s="218">
        <v>2479404</v>
      </c>
    </row>
    <row r="876" spans="1:32">
      <c r="A876" s="216" t="s">
        <v>629</v>
      </c>
      <c r="B876" s="84">
        <v>-216677.86</v>
      </c>
      <c r="C876" s="84">
        <v>0</v>
      </c>
      <c r="D876" s="218">
        <v>2241863.58</v>
      </c>
      <c r="E876" s="215">
        <v>130187</v>
      </c>
      <c r="F876" s="151" t="s">
        <v>3737</v>
      </c>
      <c r="L876" s="218" t="s">
        <v>629</v>
      </c>
      <c r="M876" s="218">
        <v>3138275.99</v>
      </c>
      <c r="N876" s="218">
        <v>0</v>
      </c>
      <c r="O876" s="218">
        <v>1388326.944779167</v>
      </c>
      <c r="P876" s="218">
        <v>-9.9899999999906868</v>
      </c>
      <c r="S876" s="216"/>
      <c r="AC876" s="84" t="s">
        <v>588</v>
      </c>
      <c r="AD876" s="218">
        <v>2509284</v>
      </c>
    </row>
    <row r="877" spans="1:32">
      <c r="A877" s="216" t="s">
        <v>639</v>
      </c>
      <c r="B877" s="84">
        <v>277812.68</v>
      </c>
      <c r="C877" s="84">
        <v>0</v>
      </c>
      <c r="D877" s="218">
        <v>-26905.89000000013</v>
      </c>
      <c r="E877" s="215">
        <v>89633</v>
      </c>
      <c r="F877" s="151" t="s">
        <v>3738</v>
      </c>
      <c r="L877" s="218" t="s">
        <v>639</v>
      </c>
      <c r="M877" s="218">
        <v>3167023</v>
      </c>
      <c r="N877" s="218">
        <v>0</v>
      </c>
      <c r="O877" s="218">
        <v>1646373.5877583334</v>
      </c>
      <c r="P877" s="218">
        <v>-1.4188117347657681E-10</v>
      </c>
      <c r="S877" s="216"/>
      <c r="AC877" s="84" t="s">
        <v>598</v>
      </c>
      <c r="AD877" s="218">
        <v>3189374.5</v>
      </c>
    </row>
    <row r="878" spans="1:32">
      <c r="A878" s="216" t="s">
        <v>649</v>
      </c>
      <c r="B878" s="84">
        <v>-60196.54</v>
      </c>
      <c r="C878" s="84">
        <v>0</v>
      </c>
      <c r="D878" s="218">
        <v>-72311.10999999987</v>
      </c>
      <c r="E878" s="215">
        <v>130187</v>
      </c>
      <c r="F878" s="151" t="s">
        <v>3739</v>
      </c>
      <c r="L878" s="218" t="s">
        <v>649</v>
      </c>
      <c r="M878" s="218">
        <v>3084590.31</v>
      </c>
      <c r="N878" s="218">
        <v>0</v>
      </c>
      <c r="O878" s="218">
        <v>1385446.3193675</v>
      </c>
      <c r="P878" s="218">
        <v>-0.11999999987529009</v>
      </c>
      <c r="S878" s="216"/>
      <c r="AC878" s="84" t="s">
        <v>609</v>
      </c>
      <c r="AD878" s="218">
        <v>2962775.62</v>
      </c>
    </row>
    <row r="879" spans="1:32">
      <c r="A879" s="216" t="s">
        <v>658</v>
      </c>
      <c r="B879" s="84">
        <v>220298.88</v>
      </c>
      <c r="C879" s="84">
        <v>0</v>
      </c>
      <c r="D879" s="218">
        <v>3829499.41</v>
      </c>
      <c r="E879" s="215">
        <v>130187</v>
      </c>
      <c r="F879" s="151" t="s">
        <v>3740</v>
      </c>
      <c r="L879" s="218" t="s">
        <v>658</v>
      </c>
      <c r="M879" s="218">
        <v>3084149.85</v>
      </c>
      <c r="N879" s="218">
        <v>0</v>
      </c>
      <c r="O879" s="218">
        <v>1433040.9098666664</v>
      </c>
      <c r="P879" s="218">
        <v>0.14999999944120646</v>
      </c>
      <c r="S879" s="216"/>
      <c r="AC879" s="84" t="s">
        <v>618</v>
      </c>
      <c r="AD879" s="218">
        <v>3084035.12</v>
      </c>
      <c r="AE879" s="216" t="s">
        <v>3741</v>
      </c>
    </row>
    <row r="880" spans="1:32">
      <c r="A880" s="216" t="s">
        <v>669</v>
      </c>
      <c r="B880" s="84">
        <v>250223.15</v>
      </c>
      <c r="C880" s="84">
        <v>0</v>
      </c>
      <c r="D880" s="218">
        <v>3946033.53</v>
      </c>
      <c r="E880" s="215">
        <v>91131</v>
      </c>
      <c r="F880" s="151" t="s">
        <v>3742</v>
      </c>
      <c r="L880" s="218" t="s">
        <v>669</v>
      </c>
      <c r="M880" s="218">
        <v>3686947.47</v>
      </c>
      <c r="N880" s="218">
        <v>0</v>
      </c>
      <c r="O880" s="218">
        <v>1826457.6410499997</v>
      </c>
      <c r="P880" s="218">
        <v>-0.61000000033527613</v>
      </c>
      <c r="S880" s="216"/>
      <c r="AC880" s="84" t="s">
        <v>629</v>
      </c>
      <c r="AD880" s="218">
        <v>3138275.99</v>
      </c>
    </row>
    <row r="881" spans="1:30">
      <c r="A881" s="216" t="s">
        <v>679</v>
      </c>
      <c r="B881" s="84">
        <v>101317.74</v>
      </c>
      <c r="C881" s="84">
        <v>0</v>
      </c>
      <c r="D881" s="218">
        <v>3324778.42</v>
      </c>
      <c r="E881" s="215">
        <v>29428.67</v>
      </c>
      <c r="F881" s="151" t="s">
        <v>1302</v>
      </c>
      <c r="L881" s="218" t="s">
        <v>679</v>
      </c>
      <c r="M881" s="218">
        <v>3668093.19</v>
      </c>
      <c r="N881" s="218">
        <v>0</v>
      </c>
      <c r="O881" s="218">
        <v>1925245.0596749997</v>
      </c>
      <c r="P881" s="218">
        <v>-0.19000000087544322</v>
      </c>
      <c r="S881" s="216"/>
      <c r="AC881" s="84" t="s">
        <v>639</v>
      </c>
      <c r="AD881" s="218">
        <v>3167023</v>
      </c>
    </row>
    <row r="882" spans="1:30">
      <c r="A882" s="216" t="s">
        <v>1557</v>
      </c>
      <c r="B882" s="84">
        <v>27281.950000000186</v>
      </c>
      <c r="C882" s="84">
        <v>0</v>
      </c>
      <c r="D882" s="218">
        <v>3658344.0299999993</v>
      </c>
      <c r="E882" s="215">
        <v>177599.79</v>
      </c>
      <c r="F882" s="216" t="s">
        <v>1303</v>
      </c>
      <c r="L882" s="218" t="s">
        <v>1557</v>
      </c>
      <c r="M882" s="218">
        <v>3661324.83</v>
      </c>
      <c r="N882" s="218">
        <v>0</v>
      </c>
      <c r="O882" s="218">
        <v>1916493.9161124993</v>
      </c>
      <c r="P882" s="218">
        <v>0.16999999899417162</v>
      </c>
      <c r="Q882" s="88" t="s">
        <v>3501</v>
      </c>
      <c r="S882" s="216"/>
      <c r="AC882" s="84" t="s">
        <v>649</v>
      </c>
      <c r="AD882" s="218">
        <v>3084590.31</v>
      </c>
    </row>
    <row r="883" spans="1:30">
      <c r="B883" s="216" t="s">
        <v>1878</v>
      </c>
      <c r="C883" s="216" t="s">
        <v>1878</v>
      </c>
      <c r="D883" s="219" t="s">
        <v>1583</v>
      </c>
      <c r="E883" s="216" t="s">
        <v>1878</v>
      </c>
      <c r="F883" s="151" t="s">
        <v>1304</v>
      </c>
      <c r="M883" s="219" t="s">
        <v>1583</v>
      </c>
      <c r="N883" s="216" t="s">
        <v>1878</v>
      </c>
      <c r="O883" s="216" t="s">
        <v>1878</v>
      </c>
      <c r="P883" s="219" t="s">
        <v>1583</v>
      </c>
      <c r="S883" s="216"/>
      <c r="T883" s="216"/>
      <c r="U883" s="216"/>
      <c r="V883" s="216"/>
      <c r="AC883" s="84" t="s">
        <v>658</v>
      </c>
      <c r="AD883" s="218">
        <v>3084149.85</v>
      </c>
    </row>
    <row r="884" spans="1:30">
      <c r="A884" s="216" t="s">
        <v>3712</v>
      </c>
      <c r="B884" s="218">
        <v>1259900</v>
      </c>
      <c r="C884" s="218">
        <v>-4649</v>
      </c>
      <c r="D884" s="218">
        <v>33321084</v>
      </c>
      <c r="E884" s="218">
        <v>1351176</v>
      </c>
      <c r="F884" s="216" t="s">
        <v>1305</v>
      </c>
      <c r="L884" s="216" t="s">
        <v>3712</v>
      </c>
      <c r="M884" s="218">
        <v>37715277.880000003</v>
      </c>
      <c r="N884" s="218">
        <v>0</v>
      </c>
      <c r="O884" s="218">
        <v>18069477.220136665</v>
      </c>
      <c r="P884" s="218">
        <v>-10.640000003528257</v>
      </c>
      <c r="S884" s="216"/>
      <c r="AC884" s="84" t="s">
        <v>669</v>
      </c>
      <c r="AD884" s="218">
        <v>3686947.47</v>
      </c>
    </row>
    <row r="885" spans="1:30">
      <c r="A885" s="84"/>
      <c r="B885" s="84"/>
      <c r="C885" s="216" t="s">
        <v>736</v>
      </c>
      <c r="D885" s="219" t="s">
        <v>510</v>
      </c>
      <c r="E885" s="216" t="s">
        <v>736</v>
      </c>
      <c r="M885" s="219" t="s">
        <v>510</v>
      </c>
      <c r="N885" s="216" t="s">
        <v>736</v>
      </c>
      <c r="O885" s="216" t="s">
        <v>736</v>
      </c>
      <c r="P885" s="219" t="s">
        <v>510</v>
      </c>
      <c r="T885" s="219"/>
      <c r="U885" s="219"/>
      <c r="V885" s="219"/>
      <c r="AC885" s="84" t="s">
        <v>679</v>
      </c>
      <c r="AD885" s="218">
        <v>3668093.19</v>
      </c>
    </row>
    <row r="886" spans="1:30">
      <c r="A886" s="84"/>
      <c r="B886" s="84"/>
      <c r="L886" s="84"/>
      <c r="R886" s="216"/>
      <c r="AB886" s="84" t="s">
        <v>1557</v>
      </c>
      <c r="AC886" s="218">
        <v>3661324.83</v>
      </c>
      <c r="AD886" s="84"/>
    </row>
    <row r="887" spans="1:30">
      <c r="B887" s="84"/>
      <c r="L887" s="84"/>
    </row>
    <row r="888" spans="1:30">
      <c r="B888" s="84"/>
      <c r="AB888" s="216" t="s">
        <v>3712</v>
      </c>
      <c r="AC888" s="218">
        <v>3661324.83</v>
      </c>
    </row>
    <row r="889" spans="1:30">
      <c r="B889" s="84"/>
    </row>
    <row r="890" spans="1:30">
      <c r="B890" s="84"/>
      <c r="L890" s="84"/>
    </row>
    <row r="891" spans="1:30">
      <c r="A891" s="84"/>
      <c r="B891" s="84"/>
      <c r="L891" s="84"/>
    </row>
    <row r="892" spans="1:30">
      <c r="A892" s="84"/>
      <c r="B892" s="84"/>
      <c r="R892" s="224" t="s">
        <v>1306</v>
      </c>
    </row>
    <row r="893" spans="1:30">
      <c r="A893" s="84"/>
      <c r="B893" s="84"/>
    </row>
    <row r="894" spans="1:30">
      <c r="A894" s="84"/>
      <c r="B894" s="84"/>
    </row>
    <row r="895" spans="1:30">
      <c r="A895" s="84"/>
      <c r="B895" s="84"/>
    </row>
    <row r="896" spans="1:30">
      <c r="R896" s="216" t="s">
        <v>1307</v>
      </c>
      <c r="T896" s="218">
        <v>3939452.4099999992</v>
      </c>
    </row>
    <row r="897" spans="1:43">
      <c r="R897" s="216" t="s">
        <v>3734</v>
      </c>
      <c r="T897" s="218">
        <v>3661324.83</v>
      </c>
    </row>
    <row r="899" spans="1:43">
      <c r="L899" s="88" t="s">
        <v>3501</v>
      </c>
      <c r="R899" s="216" t="s">
        <v>1308</v>
      </c>
      <c r="U899" s="218">
        <v>278127.57999999914</v>
      </c>
    </row>
    <row r="901" spans="1:43">
      <c r="A901" s="216" t="s">
        <v>3573</v>
      </c>
      <c r="G901" s="216" t="s">
        <v>1309</v>
      </c>
      <c r="Q901" s="292" t="s">
        <v>1310</v>
      </c>
    </row>
    <row r="902" spans="1:43">
      <c r="A902" s="216" t="s">
        <v>2652</v>
      </c>
      <c r="G902" s="216" t="s">
        <v>1311</v>
      </c>
      <c r="M902" s="216" t="s">
        <v>58</v>
      </c>
      <c r="R902" s="216" t="s">
        <v>1312</v>
      </c>
      <c r="T902" s="218">
        <v>278127.40999999997</v>
      </c>
    </row>
    <row r="903" spans="1:43">
      <c r="A903" s="216" t="s">
        <v>1313</v>
      </c>
      <c r="G903" s="216" t="s">
        <v>1314</v>
      </c>
      <c r="H903" s="216"/>
      <c r="M903" s="216" t="s">
        <v>2652</v>
      </c>
      <c r="R903" s="216" t="s">
        <v>1315</v>
      </c>
      <c r="T903" s="218">
        <v>0</v>
      </c>
      <c r="AQ903" s="216"/>
    </row>
    <row r="904" spans="1:43">
      <c r="A904" s="216" t="s">
        <v>1316</v>
      </c>
      <c r="H904" s="216" t="s">
        <v>1557</v>
      </c>
      <c r="R904" s="216" t="s">
        <v>1317</v>
      </c>
      <c r="T904" s="218">
        <v>3658344.0299999993</v>
      </c>
    </row>
    <row r="905" spans="1:43">
      <c r="A905" s="216" t="s">
        <v>1318</v>
      </c>
      <c r="R905" s="216" t="s">
        <v>1319</v>
      </c>
      <c r="T905" s="218">
        <v>3661324.83</v>
      </c>
    </row>
    <row r="907" spans="1:43">
      <c r="D907" s="224" t="s">
        <v>2654</v>
      </c>
      <c r="I907" s="224" t="s">
        <v>2655</v>
      </c>
      <c r="J907" s="224" t="s">
        <v>2656</v>
      </c>
      <c r="L907" s="224" t="s">
        <v>2581</v>
      </c>
      <c r="M907" s="224" t="s">
        <v>2657</v>
      </c>
    </row>
    <row r="908" spans="1:43">
      <c r="C908" s="224" t="s">
        <v>2658</v>
      </c>
      <c r="D908" s="224" t="s">
        <v>2659</v>
      </c>
      <c r="E908" s="224" t="s">
        <v>2660</v>
      </c>
      <c r="F908" s="224" t="s">
        <v>2661</v>
      </c>
      <c r="G908" s="224" t="s">
        <v>2662</v>
      </c>
      <c r="H908" s="224" t="s">
        <v>2663</v>
      </c>
      <c r="I908" s="224" t="s">
        <v>2663</v>
      </c>
      <c r="J908" s="224" t="s">
        <v>2664</v>
      </c>
      <c r="K908" s="224" t="s">
        <v>2665</v>
      </c>
      <c r="L908" s="224" t="s">
        <v>2658</v>
      </c>
      <c r="M908" s="224" t="s">
        <v>2658</v>
      </c>
      <c r="U908" s="218">
        <v>275146.6099999994</v>
      </c>
    </row>
    <row r="909" spans="1:43">
      <c r="C909" s="293" t="s">
        <v>2666</v>
      </c>
      <c r="D909" s="293" t="s">
        <v>2667</v>
      </c>
      <c r="E909" s="293" t="s">
        <v>2668</v>
      </c>
      <c r="F909" s="293" t="s">
        <v>2669</v>
      </c>
      <c r="G909" s="293" t="s">
        <v>2670</v>
      </c>
      <c r="H909" s="293" t="s">
        <v>2671</v>
      </c>
      <c r="I909" s="293" t="s">
        <v>2672</v>
      </c>
      <c r="J909" s="293" t="s">
        <v>2672</v>
      </c>
      <c r="K909" s="293" t="s">
        <v>2673</v>
      </c>
      <c r="L909" s="293" t="s">
        <v>2674</v>
      </c>
      <c r="M909" s="293" t="s">
        <v>2675</v>
      </c>
    </row>
    <row r="910" spans="1:43"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R910" s="216" t="s">
        <v>1320</v>
      </c>
      <c r="U910" s="218">
        <v>2980.9699999997392</v>
      </c>
    </row>
    <row r="911" spans="1:43" ht="13.5" thickBot="1">
      <c r="A911" s="216" t="s">
        <v>2676</v>
      </c>
      <c r="C911" s="294">
        <v>1558262293.28</v>
      </c>
      <c r="D911" s="294">
        <v>802165948.21662939</v>
      </c>
      <c r="E911" s="294">
        <v>303058345.58337057</v>
      </c>
      <c r="F911" s="294">
        <v>126678334.32999998</v>
      </c>
      <c r="G911" s="294">
        <v>101440404.51000001</v>
      </c>
      <c r="H911" s="295">
        <v>-28069457.469999999</v>
      </c>
      <c r="I911" s="295">
        <v>92584543.570000008</v>
      </c>
      <c r="J911" s="295">
        <v>-1494982</v>
      </c>
      <c r="K911" s="294">
        <v>0</v>
      </c>
      <c r="L911" s="294">
        <v>1396363136.7399998</v>
      </c>
      <c r="M911" s="294">
        <v>161899156.5400002</v>
      </c>
      <c r="N911" s="216" t="s">
        <v>2171</v>
      </c>
      <c r="O911" s="215">
        <v>0</v>
      </c>
    </row>
    <row r="912" spans="1:43" ht="13.5" thickTop="1"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Q912" s="292" t="s">
        <v>1310</v>
      </c>
    </row>
    <row r="913" spans="1:43">
      <c r="A913" s="216" t="s">
        <v>2677</v>
      </c>
      <c r="C913" s="296">
        <v>1345260741.6500001</v>
      </c>
      <c r="D913" s="296">
        <v>645776002.20090508</v>
      </c>
      <c r="E913" s="296">
        <v>287370072.98000002</v>
      </c>
      <c r="F913" s="296">
        <v>117924507.1366654</v>
      </c>
      <c r="G913" s="296">
        <v>99698784.729750007</v>
      </c>
      <c r="H913" s="296">
        <v>-9700308</v>
      </c>
      <c r="I913" s="296">
        <v>66329231</v>
      </c>
      <c r="J913" s="296">
        <v>-1133805</v>
      </c>
      <c r="K913" s="296">
        <v>0</v>
      </c>
      <c r="L913" s="296">
        <v>1206264485.0473204</v>
      </c>
      <c r="M913" s="296">
        <v>138996256.60267973</v>
      </c>
      <c r="N913" s="216" t="s">
        <v>2171</v>
      </c>
      <c r="R913" s="216" t="s">
        <v>1321</v>
      </c>
    </row>
    <row r="914" spans="1:43">
      <c r="A914" s="216" t="s">
        <v>2678</v>
      </c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AG914" s="242" t="s">
        <v>1650</v>
      </c>
      <c r="AP914" s="216" t="s">
        <v>1651</v>
      </c>
      <c r="AQ914" s="218">
        <v>-152128464.67000002</v>
      </c>
    </row>
    <row r="915" spans="1:43">
      <c r="A915" s="216" t="s">
        <v>2603</v>
      </c>
      <c r="C915" s="218">
        <v>-154301956.56</v>
      </c>
      <c r="E915" s="84">
        <v>-29024832</v>
      </c>
      <c r="F915" s="84">
        <v>-34504819</v>
      </c>
      <c r="G915" s="86">
        <v>-599980</v>
      </c>
      <c r="H915" s="218">
        <v>-34783975</v>
      </c>
      <c r="L915" s="84">
        <v>-98913606</v>
      </c>
      <c r="M915" s="84">
        <v>-55388350.560000002</v>
      </c>
      <c r="AG915" s="242" t="s">
        <v>1652</v>
      </c>
      <c r="AP915" s="216" t="s">
        <v>1653</v>
      </c>
      <c r="AQ915" s="218">
        <v>-2145315.1100000003</v>
      </c>
    </row>
    <row r="916" spans="1:43">
      <c r="A916" s="216" t="s">
        <v>2679</v>
      </c>
      <c r="B916" s="84"/>
      <c r="C916" s="84">
        <v>-31705134.799999997</v>
      </c>
      <c r="D916" s="84"/>
      <c r="E916" s="84">
        <v>0</v>
      </c>
      <c r="H916" s="218">
        <v>-12230256</v>
      </c>
      <c r="I916" s="84"/>
      <c r="J916" s="84"/>
      <c r="K916" s="84"/>
      <c r="L916" s="84">
        <v>-12230256</v>
      </c>
      <c r="M916" s="84">
        <v>-19474878.799999997</v>
      </c>
      <c r="AG916" s="242" t="s">
        <v>1654</v>
      </c>
      <c r="AP916" s="216" t="s">
        <v>1655</v>
      </c>
      <c r="AQ916" s="218">
        <v>-26956025.068294261</v>
      </c>
    </row>
    <row r="917" spans="1:43">
      <c r="A917" s="216" t="s">
        <v>2623</v>
      </c>
      <c r="C917" s="84"/>
      <c r="D917" s="84"/>
      <c r="E917" s="84">
        <v>-119471.8</v>
      </c>
      <c r="F917" s="84"/>
      <c r="G917" s="84"/>
      <c r="H917" s="218">
        <v>46086</v>
      </c>
      <c r="I917" s="84"/>
      <c r="J917" s="84"/>
      <c r="K917" s="84"/>
      <c r="L917" s="84">
        <v>-73385.8</v>
      </c>
      <c r="M917" s="84">
        <v>73385.8</v>
      </c>
      <c r="R917" s="242" t="s">
        <v>1656</v>
      </c>
      <c r="S917" s="84"/>
      <c r="T917" s="84"/>
      <c r="AP917" s="216" t="s">
        <v>1657</v>
      </c>
      <c r="AQ917" s="218">
        <v>245715.0397526655</v>
      </c>
    </row>
    <row r="918" spans="1:43">
      <c r="A918" s="216" t="s">
        <v>1658</v>
      </c>
      <c r="C918" s="297"/>
      <c r="D918" s="84"/>
      <c r="E918" s="84"/>
      <c r="F918" s="84"/>
      <c r="G918" s="84"/>
      <c r="H918" s="218">
        <v>0</v>
      </c>
      <c r="I918" s="84"/>
      <c r="J918" s="84"/>
      <c r="K918" s="84"/>
      <c r="L918" s="84">
        <v>0</v>
      </c>
      <c r="M918" s="84">
        <v>0</v>
      </c>
      <c r="R918" s="298" t="s">
        <v>1659</v>
      </c>
      <c r="S918" s="298" t="s">
        <v>1660</v>
      </c>
      <c r="T918" s="84"/>
      <c r="AG918" s="242" t="s">
        <v>1661</v>
      </c>
      <c r="AP918" s="216" t="s">
        <v>1662</v>
      </c>
      <c r="AQ918" s="218">
        <v>-2084190.8664786932</v>
      </c>
    </row>
    <row r="919" spans="1:43">
      <c r="A919" s="242" t="s">
        <v>2680</v>
      </c>
      <c r="B919" s="84"/>
      <c r="C919" s="84"/>
      <c r="D919" s="84"/>
      <c r="E919" s="84">
        <v>0</v>
      </c>
      <c r="F919" s="84"/>
      <c r="G919" s="84"/>
      <c r="H919" s="218">
        <v>3679</v>
      </c>
      <c r="I919" s="84"/>
      <c r="J919" s="84"/>
      <c r="K919" s="84">
        <v>-9536.8766654092797</v>
      </c>
      <c r="L919" s="84">
        <v>-5857.8766654092797</v>
      </c>
      <c r="M919" s="84">
        <v>5857.8766654092797</v>
      </c>
      <c r="R919" s="84">
        <v>0</v>
      </c>
      <c r="S919" s="84">
        <v>-9778.48</v>
      </c>
      <c r="T919" s="84"/>
      <c r="AP919" s="216" t="s">
        <v>1663</v>
      </c>
      <c r="AQ919" s="218">
        <v>-34620643.158429801</v>
      </c>
    </row>
    <row r="920" spans="1:43">
      <c r="A920" s="216" t="s">
        <v>1664</v>
      </c>
      <c r="E920" s="86">
        <v>-9056</v>
      </c>
      <c r="H920" s="218">
        <v>3493</v>
      </c>
      <c r="L920" s="218">
        <v>-5563</v>
      </c>
      <c r="M920" s="218">
        <v>5563</v>
      </c>
      <c r="R920" s="84"/>
      <c r="S920" s="84"/>
      <c r="T920" s="84"/>
      <c r="AP920" s="216" t="s">
        <v>1665</v>
      </c>
      <c r="AQ920" s="218">
        <v>115824.21828757024</v>
      </c>
    </row>
    <row r="921" spans="1:43">
      <c r="A921" s="216" t="s">
        <v>2594</v>
      </c>
      <c r="C921" s="218">
        <v>-40354804.57</v>
      </c>
      <c r="H921" s="218">
        <v>-15566866</v>
      </c>
      <c r="L921" s="218">
        <v>-15566866</v>
      </c>
      <c r="M921" s="218">
        <v>-24787938.57</v>
      </c>
      <c r="R921" s="84"/>
      <c r="S921" s="84"/>
      <c r="T921" s="84"/>
      <c r="AP921" s="216" t="s">
        <v>1666</v>
      </c>
      <c r="AQ921" s="218">
        <v>-109532.4945624</v>
      </c>
    </row>
    <row r="922" spans="1:43">
      <c r="A922" s="216" t="s">
        <v>0</v>
      </c>
      <c r="C922" s="218">
        <v>-599884447.2700001</v>
      </c>
      <c r="H922" s="218">
        <v>-231405426</v>
      </c>
      <c r="L922" s="218">
        <v>-231405426</v>
      </c>
      <c r="M922" s="218">
        <v>-368479021.2700001</v>
      </c>
      <c r="AP922" s="216" t="s">
        <v>1667</v>
      </c>
      <c r="AQ922" s="218">
        <v>-490447.67600908421</v>
      </c>
    </row>
    <row r="923" spans="1:43">
      <c r="A923" s="216" t="s">
        <v>62</v>
      </c>
      <c r="C923" s="218">
        <v>-58824519.189999998</v>
      </c>
      <c r="H923" s="218">
        <v>-22691558</v>
      </c>
      <c r="L923" s="218">
        <v>-22691558</v>
      </c>
      <c r="M923" s="218">
        <v>-36132961.189999998</v>
      </c>
      <c r="AP923" s="216" t="s">
        <v>1668</v>
      </c>
      <c r="AQ923" s="218">
        <v>0</v>
      </c>
    </row>
    <row r="924" spans="1:43">
      <c r="A924" s="216" t="s">
        <v>2</v>
      </c>
      <c r="E924" s="84">
        <v>0</v>
      </c>
      <c r="H924" s="218">
        <v>0</v>
      </c>
      <c r="L924" s="84">
        <v>0</v>
      </c>
      <c r="M924" s="84">
        <v>0</v>
      </c>
      <c r="AP924" s="216" t="s">
        <v>1654</v>
      </c>
      <c r="AQ924" s="218">
        <v>-119471.8</v>
      </c>
    </row>
    <row r="925" spans="1:43">
      <c r="A925" s="216" t="s">
        <v>1040</v>
      </c>
      <c r="C925" s="215">
        <v>0</v>
      </c>
      <c r="E925" s="84">
        <v>0</v>
      </c>
      <c r="H925" s="218">
        <v>0</v>
      </c>
      <c r="L925" s="84">
        <v>0</v>
      </c>
      <c r="M925" s="84">
        <v>0</v>
      </c>
      <c r="N925" s="299"/>
      <c r="AP925" s="216" t="s">
        <v>1669</v>
      </c>
      <c r="AQ925" s="218">
        <v>0</v>
      </c>
    </row>
    <row r="926" spans="1:43">
      <c r="A926" s="216" t="s">
        <v>5</v>
      </c>
      <c r="E926" s="84">
        <v>756924</v>
      </c>
      <c r="H926" s="218">
        <v>-291983</v>
      </c>
      <c r="L926" s="84">
        <v>464941</v>
      </c>
      <c r="M926" s="84">
        <v>-464941</v>
      </c>
      <c r="AP926" s="216" t="s">
        <v>1670</v>
      </c>
      <c r="AQ926" s="218">
        <v>0</v>
      </c>
    </row>
    <row r="927" spans="1:43">
      <c r="A927" s="216" t="s">
        <v>6</v>
      </c>
      <c r="C927" s="84"/>
      <c r="E927" s="84">
        <v>-318545</v>
      </c>
      <c r="G927" s="84">
        <v>-16226</v>
      </c>
      <c r="H927" s="218">
        <v>129138</v>
      </c>
      <c r="L927" s="84">
        <v>-205633</v>
      </c>
      <c r="M927" s="84">
        <v>205633</v>
      </c>
      <c r="AP927" s="216" t="s">
        <v>1671</v>
      </c>
      <c r="AQ927" s="218">
        <v>-9252.74</v>
      </c>
    </row>
    <row r="928" spans="1:43">
      <c r="A928" s="216" t="s">
        <v>1672</v>
      </c>
      <c r="D928" s="215">
        <v>-228757</v>
      </c>
      <c r="E928" s="84">
        <v>-19717</v>
      </c>
      <c r="H928" s="218">
        <v>95849</v>
      </c>
      <c r="L928" s="218">
        <v>-152625</v>
      </c>
      <c r="M928" s="218">
        <v>152625</v>
      </c>
      <c r="AP928" s="216" t="s">
        <v>1673</v>
      </c>
      <c r="AQ928" s="218">
        <v>-40354804.57</v>
      </c>
    </row>
    <row r="929" spans="1:43">
      <c r="A929" s="216" t="s">
        <v>2606</v>
      </c>
      <c r="E929" s="86">
        <v>-1027</v>
      </c>
      <c r="H929" s="218">
        <v>396</v>
      </c>
      <c r="L929" s="218">
        <v>-631</v>
      </c>
      <c r="M929" s="218">
        <v>631</v>
      </c>
      <c r="P929" s="215" t="s">
        <v>1674</v>
      </c>
      <c r="AP929" s="216" t="s">
        <v>1675</v>
      </c>
      <c r="AQ929" s="218">
        <v>-603173082.66999996</v>
      </c>
    </row>
    <row r="930" spans="1:43">
      <c r="A930" s="216" t="s">
        <v>8</v>
      </c>
      <c r="D930" s="218">
        <v>-599459962.74000001</v>
      </c>
      <c r="H930" s="218">
        <v>231241681</v>
      </c>
      <c r="L930" s="218">
        <v>-368218281.74000001</v>
      </c>
      <c r="M930" s="218">
        <v>368218281.74000001</v>
      </c>
      <c r="P930" s="215" t="s">
        <v>1676</v>
      </c>
      <c r="AP930" s="216" t="s">
        <v>1677</v>
      </c>
      <c r="AQ930" s="218">
        <v>-98610966.966629371</v>
      </c>
    </row>
    <row r="931" spans="1:43">
      <c r="A931" s="216" t="s">
        <v>1678</v>
      </c>
      <c r="C931" s="300">
        <v>0</v>
      </c>
      <c r="D931" s="218">
        <v>-46087282.460905068</v>
      </c>
      <c r="E931" s="218">
        <v>-8530473.1799999997</v>
      </c>
      <c r="F931" s="218">
        <v>-294255.25999999995</v>
      </c>
      <c r="G931" s="218">
        <v>-295076.26999999996</v>
      </c>
      <c r="H931" s="218">
        <v>21296134</v>
      </c>
      <c r="L931" s="218">
        <v>-33910953.170905069</v>
      </c>
      <c r="M931" s="218">
        <v>33910953.170905069</v>
      </c>
      <c r="AD931" s="301"/>
      <c r="AP931" s="216" t="s">
        <v>1679</v>
      </c>
      <c r="AQ931" s="218">
        <v>-218335201.06</v>
      </c>
    </row>
    <row r="932" spans="1:43">
      <c r="A932" s="216" t="s">
        <v>4</v>
      </c>
      <c r="E932" s="218">
        <v>-796762</v>
      </c>
      <c r="F932" s="84"/>
      <c r="H932" s="218">
        <v>307351</v>
      </c>
      <c r="L932" s="218">
        <v>-489411</v>
      </c>
      <c r="M932" s="218">
        <v>489411</v>
      </c>
      <c r="P932" s="231" t="s">
        <v>1680</v>
      </c>
      <c r="R932" s="301">
        <v>36434</v>
      </c>
      <c r="S932" s="301">
        <v>36404</v>
      </c>
      <c r="T932" s="301">
        <v>36373</v>
      </c>
      <c r="U932" s="301">
        <v>36342</v>
      </c>
      <c r="V932" s="301">
        <v>36312</v>
      </c>
      <c r="W932" s="301">
        <v>36281</v>
      </c>
      <c r="X932" s="301">
        <v>36251</v>
      </c>
      <c r="Y932" s="301">
        <v>36220</v>
      </c>
      <c r="Z932" s="301">
        <v>36192</v>
      </c>
      <c r="AA932" s="301">
        <v>36161</v>
      </c>
      <c r="AB932" s="301">
        <v>36130</v>
      </c>
      <c r="AC932" s="301">
        <v>36100</v>
      </c>
      <c r="AP932" s="216" t="s">
        <v>1681</v>
      </c>
      <c r="AQ932" s="218">
        <v>154301956.56</v>
      </c>
    </row>
    <row r="933" spans="1:43">
      <c r="A933" s="216" t="s">
        <v>10</v>
      </c>
      <c r="G933" s="218">
        <v>-39772382.774000004</v>
      </c>
      <c r="H933" s="218">
        <v>15342197</v>
      </c>
      <c r="L933" s="218">
        <v>-24430185.774000004</v>
      </c>
      <c r="M933" s="218">
        <v>24430185.774000004</v>
      </c>
      <c r="P933" s="215" t="s">
        <v>1682</v>
      </c>
      <c r="R933" s="215">
        <v>316571068</v>
      </c>
      <c r="S933" s="215">
        <v>449395441</v>
      </c>
      <c r="T933" s="215">
        <v>545258637</v>
      </c>
      <c r="U933" s="215">
        <v>513582906</v>
      </c>
      <c r="V933" s="215">
        <v>443256400</v>
      </c>
      <c r="W933" s="215">
        <v>348500227</v>
      </c>
      <c r="X933" s="215">
        <v>304861801</v>
      </c>
      <c r="Y933" s="215">
        <v>269689975</v>
      </c>
      <c r="Z933" s="215">
        <v>277118415</v>
      </c>
      <c r="AA933" s="215">
        <v>374077063</v>
      </c>
      <c r="AB933" s="215">
        <v>299977313</v>
      </c>
      <c r="AC933" s="215">
        <v>250740175</v>
      </c>
      <c r="AP933" s="216" t="s">
        <v>1683</v>
      </c>
      <c r="AQ933" s="218">
        <v>0</v>
      </c>
    </row>
    <row r="934" spans="1:43">
      <c r="A934" s="218" t="s">
        <v>1736</v>
      </c>
      <c r="G934" s="84">
        <v>-1504134</v>
      </c>
      <c r="H934" s="218">
        <v>580220</v>
      </c>
      <c r="L934" s="218">
        <v>-923914</v>
      </c>
      <c r="M934" s="218">
        <v>923914</v>
      </c>
      <c r="P934" s="215" t="s">
        <v>1684</v>
      </c>
      <c r="R934" s="215">
        <v>256091213</v>
      </c>
      <c r="S934" s="215">
        <v>306968127</v>
      </c>
      <c r="T934" s="215">
        <v>336452704</v>
      </c>
      <c r="U934" s="215">
        <v>330832498</v>
      </c>
      <c r="V934" s="215">
        <v>299094420</v>
      </c>
      <c r="W934" s="215">
        <v>287569700</v>
      </c>
      <c r="X934" s="215">
        <v>257912886</v>
      </c>
      <c r="Y934" s="215">
        <v>207266891</v>
      </c>
      <c r="Z934" s="215">
        <v>229329644</v>
      </c>
      <c r="AA934" s="215">
        <v>214572370</v>
      </c>
      <c r="AB934" s="215">
        <v>235131330</v>
      </c>
      <c r="AC934" s="215">
        <v>238836528</v>
      </c>
      <c r="AP934" s="216" t="s">
        <v>1685</v>
      </c>
      <c r="AQ934" s="218">
        <v>0</v>
      </c>
    </row>
    <row r="935" spans="1:43">
      <c r="A935" s="216" t="s">
        <v>12</v>
      </c>
      <c r="G935" s="215">
        <v>-31600125.685749996</v>
      </c>
      <c r="H935" s="218">
        <v>12189748</v>
      </c>
      <c r="L935" s="218">
        <v>-19410377.685749996</v>
      </c>
      <c r="M935" s="218">
        <v>19410377.685749996</v>
      </c>
      <c r="P935" s="215" t="s">
        <v>1686</v>
      </c>
      <c r="R935" s="215">
        <v>180425196</v>
      </c>
      <c r="S935" s="215">
        <v>158799041</v>
      </c>
      <c r="T935" s="215">
        <v>175045325</v>
      </c>
      <c r="U935" s="215">
        <v>174803801</v>
      </c>
      <c r="V935" s="215">
        <v>166726473</v>
      </c>
      <c r="W935" s="215">
        <v>158579102</v>
      </c>
      <c r="X935" s="215">
        <v>147243356</v>
      </c>
      <c r="Y935" s="215">
        <v>167237640</v>
      </c>
      <c r="Z935" s="215">
        <v>94498599</v>
      </c>
      <c r="AA935" s="215">
        <v>148868586</v>
      </c>
      <c r="AB935" s="215">
        <v>148977686</v>
      </c>
      <c r="AC935" s="215">
        <v>136429006</v>
      </c>
      <c r="AP935" s="216" t="s">
        <v>1687</v>
      </c>
      <c r="AQ935" s="218">
        <v>0</v>
      </c>
    </row>
    <row r="936" spans="1:43">
      <c r="A936" s="216" t="s">
        <v>2639</v>
      </c>
      <c r="C936" s="231"/>
      <c r="D936" s="231"/>
      <c r="E936" s="231"/>
      <c r="F936" s="231"/>
      <c r="G936" s="231"/>
      <c r="H936" s="296">
        <v>6085943</v>
      </c>
      <c r="I936" s="231"/>
      <c r="J936" s="231"/>
      <c r="K936" s="231"/>
      <c r="L936" s="296">
        <v>6085943</v>
      </c>
      <c r="M936" s="296">
        <v>-6085943</v>
      </c>
      <c r="P936" s="215" t="s">
        <v>1688</v>
      </c>
      <c r="R936" s="215">
        <v>1526961</v>
      </c>
      <c r="S936" s="215">
        <v>1621406</v>
      </c>
      <c r="T936" s="215">
        <v>1541439</v>
      </c>
      <c r="U936" s="215">
        <v>1536347</v>
      </c>
      <c r="V936" s="215">
        <v>1534559</v>
      </c>
      <c r="W936" s="215">
        <v>1548311</v>
      </c>
      <c r="X936" s="215">
        <v>1428769</v>
      </c>
      <c r="Y936" s="215">
        <v>1581335</v>
      </c>
      <c r="Z936" s="215">
        <v>1510348</v>
      </c>
      <c r="AA936" s="215">
        <v>1513050</v>
      </c>
      <c r="AB936" s="215">
        <v>1501770</v>
      </c>
      <c r="AC936" s="215">
        <v>1524437</v>
      </c>
      <c r="AP936" s="216" t="s">
        <v>1689</v>
      </c>
      <c r="AQ936" s="218">
        <v>-325474.38117101946</v>
      </c>
    </row>
    <row r="937" spans="1:43"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P937" s="215" t="s">
        <v>1690</v>
      </c>
      <c r="AP937" s="216" t="s">
        <v>1691</v>
      </c>
      <c r="AQ937" s="218">
        <v>-16628.541232215564</v>
      </c>
    </row>
    <row r="938" spans="1:43">
      <c r="A938" s="216" t="s">
        <v>13</v>
      </c>
      <c r="C938" s="296">
        <v>-885070862.3900001</v>
      </c>
      <c r="D938" s="296">
        <v>-645776002.20090508</v>
      </c>
      <c r="E938" s="296">
        <v>-38062959.980000004</v>
      </c>
      <c r="F938" s="296">
        <v>-34799074.259999998</v>
      </c>
      <c r="G938" s="296">
        <v>-73787924.729750007</v>
      </c>
      <c r="H938" s="296">
        <v>-29648149</v>
      </c>
      <c r="I938" s="296">
        <v>0</v>
      </c>
      <c r="J938" s="296">
        <v>0</v>
      </c>
      <c r="K938" s="296">
        <v>-9536.8766654092797</v>
      </c>
      <c r="L938" s="296">
        <v>-822083647.0473206</v>
      </c>
      <c r="M938" s="296">
        <v>-62987215.342679605</v>
      </c>
      <c r="P938" s="215" t="s">
        <v>1692</v>
      </c>
      <c r="R938" s="215">
        <v>2982452</v>
      </c>
      <c r="S938" s="215">
        <v>3491693</v>
      </c>
      <c r="T938" s="215">
        <v>4423353</v>
      </c>
      <c r="U938" s="215">
        <v>4047375</v>
      </c>
      <c r="V938" s="215">
        <v>3626687</v>
      </c>
      <c r="W938" s="215">
        <v>3243974</v>
      </c>
      <c r="X938" s="215">
        <v>2837390</v>
      </c>
      <c r="Y938" s="215">
        <v>2582610</v>
      </c>
      <c r="Z938" s="215">
        <v>2424584</v>
      </c>
      <c r="AA938" s="215">
        <v>2817524</v>
      </c>
      <c r="AB938" s="215">
        <v>2687081</v>
      </c>
      <c r="AC938" s="215">
        <v>2475732</v>
      </c>
      <c r="AP938" s="216" t="s">
        <v>1693</v>
      </c>
      <c r="AQ938" s="218">
        <v>-236974.55</v>
      </c>
    </row>
    <row r="939" spans="1:43"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P939" s="215" t="s">
        <v>1694</v>
      </c>
      <c r="R939" s="215">
        <v>23095123</v>
      </c>
      <c r="S939" s="215">
        <v>26770806</v>
      </c>
      <c r="T939" s="215">
        <v>33764118</v>
      </c>
      <c r="U939" s="215">
        <v>30898449</v>
      </c>
      <c r="V939" s="215">
        <v>27151755</v>
      </c>
      <c r="W939" s="215">
        <v>24431953</v>
      </c>
      <c r="X939" s="215">
        <v>22033338</v>
      </c>
      <c r="Y939" s="215">
        <v>20621289</v>
      </c>
      <c r="Z939" s="215">
        <v>19939804</v>
      </c>
      <c r="AA939" s="215">
        <v>21409295</v>
      </c>
      <c r="AB939" s="215">
        <v>22310776</v>
      </c>
      <c r="AC939" s="215">
        <v>19943080</v>
      </c>
      <c r="AP939" s="216" t="s">
        <v>1695</v>
      </c>
      <c r="AQ939" s="218">
        <v>-1049.326</v>
      </c>
    </row>
    <row r="940" spans="1:43">
      <c r="P940" s="215" t="s">
        <v>1696</v>
      </c>
      <c r="R940" s="215">
        <v>0</v>
      </c>
      <c r="S940" s="215">
        <v>0</v>
      </c>
      <c r="T940" s="215">
        <v>0</v>
      </c>
      <c r="U940" s="215">
        <v>0</v>
      </c>
      <c r="V940" s="215">
        <v>0</v>
      </c>
      <c r="W940" s="215">
        <v>0</v>
      </c>
      <c r="X940" s="215">
        <v>0</v>
      </c>
      <c r="Y940" s="215">
        <v>0</v>
      </c>
      <c r="Z940" s="215">
        <v>0</v>
      </c>
      <c r="AA940" s="215">
        <v>0</v>
      </c>
      <c r="AB940" s="215">
        <v>0</v>
      </c>
      <c r="AC940" s="215">
        <v>0</v>
      </c>
      <c r="AP940" s="216" t="s">
        <v>1697</v>
      </c>
      <c r="AQ940" s="218">
        <v>-603329320.74000001</v>
      </c>
    </row>
    <row r="941" spans="1:43">
      <c r="A941" s="216" t="s">
        <v>14</v>
      </c>
      <c r="C941" s="296">
        <v>460189879.26000005</v>
      </c>
      <c r="D941" s="296">
        <v>0</v>
      </c>
      <c r="E941" s="296">
        <v>249307113</v>
      </c>
      <c r="F941" s="302">
        <v>83125432.876665413</v>
      </c>
      <c r="G941" s="296">
        <v>25910860</v>
      </c>
      <c r="H941" s="296">
        <v>-39348457</v>
      </c>
      <c r="I941" s="296">
        <v>66329231</v>
      </c>
      <c r="J941" s="296">
        <v>-1133805</v>
      </c>
      <c r="K941" s="302">
        <v>-9536.8766654092797</v>
      </c>
      <c r="L941" s="296">
        <v>384180838</v>
      </c>
      <c r="M941" s="296">
        <v>76009041.26000005</v>
      </c>
      <c r="P941" s="231" t="s">
        <v>1698</v>
      </c>
      <c r="R941" s="215">
        <v>68338</v>
      </c>
      <c r="S941" s="215">
        <v>79617</v>
      </c>
      <c r="T941" s="215">
        <v>80965</v>
      </c>
      <c r="U941" s="215">
        <v>85552</v>
      </c>
      <c r="V941" s="215">
        <v>83333</v>
      </c>
      <c r="W941" s="215">
        <v>70095</v>
      </c>
      <c r="X941" s="215">
        <v>66731</v>
      </c>
      <c r="Y941" s="215">
        <v>63886</v>
      </c>
      <c r="Z941" s="215">
        <v>64255</v>
      </c>
      <c r="AA941" s="215">
        <v>73376</v>
      </c>
      <c r="AB941" s="215">
        <v>71651</v>
      </c>
      <c r="AC941" s="215">
        <v>65139</v>
      </c>
      <c r="AP941" s="216" t="s">
        <v>1699</v>
      </c>
      <c r="AQ941" s="218">
        <v>-98610966.966629371</v>
      </c>
    </row>
    <row r="942" spans="1:43"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AP942" s="216" t="s">
        <v>1700</v>
      </c>
      <c r="AQ942" s="218">
        <v>-7799775.2800000003</v>
      </c>
    </row>
    <row r="943" spans="1:43">
      <c r="A943" s="218" t="s">
        <v>1737</v>
      </c>
      <c r="P943" s="215" t="s">
        <v>1701</v>
      </c>
      <c r="R943" s="231">
        <v>780760351</v>
      </c>
      <c r="S943" s="231">
        <v>947126131</v>
      </c>
      <c r="T943" s="231">
        <v>1096566541</v>
      </c>
      <c r="U943" s="231">
        <v>1055786928</v>
      </c>
      <c r="V943" s="231">
        <v>941473627</v>
      </c>
      <c r="W943" s="231">
        <v>823943362</v>
      </c>
      <c r="X943" s="231">
        <v>736384271</v>
      </c>
      <c r="Y943" s="231">
        <v>669043626</v>
      </c>
      <c r="Z943" s="231">
        <v>624885649</v>
      </c>
      <c r="AA943" s="231">
        <v>763331264</v>
      </c>
      <c r="AB943" s="231">
        <v>710657607</v>
      </c>
      <c r="AC943" s="231">
        <v>650014097</v>
      </c>
      <c r="AP943" s="216" t="s">
        <v>1702</v>
      </c>
      <c r="AQ943" s="218">
        <v>-730697.9</v>
      </c>
    </row>
    <row r="944" spans="1:43">
      <c r="A944" s="218" t="s">
        <v>1738</v>
      </c>
      <c r="AP944" s="216" t="s">
        <v>1703</v>
      </c>
      <c r="AQ944" s="218">
        <v>-9778.48</v>
      </c>
    </row>
    <row r="945" spans="1:43" ht="13.5" thickBot="1">
      <c r="A945" s="216" t="s">
        <v>17</v>
      </c>
      <c r="C945" s="253">
        <v>0</v>
      </c>
      <c r="E945" s="215">
        <v>0</v>
      </c>
      <c r="F945" s="215">
        <v>0</v>
      </c>
      <c r="G945" s="215">
        <v>0</v>
      </c>
      <c r="H945" s="218">
        <v>0</v>
      </c>
      <c r="L945" s="218">
        <v>0</v>
      </c>
      <c r="M945" s="218">
        <v>0</v>
      </c>
      <c r="N945" s="299" t="s">
        <v>2172</v>
      </c>
      <c r="P945" s="215" t="s">
        <v>1704</v>
      </c>
      <c r="R945" s="303">
        <v>754682776</v>
      </c>
      <c r="S945" s="303">
        <v>916863632</v>
      </c>
      <c r="T945" s="303">
        <v>1058379070</v>
      </c>
      <c r="U945" s="303">
        <v>1020841104</v>
      </c>
      <c r="V945" s="303">
        <v>910695185</v>
      </c>
      <c r="W945" s="303">
        <v>796267435</v>
      </c>
      <c r="X945" s="303">
        <v>711513543</v>
      </c>
      <c r="Y945" s="303">
        <v>645839727</v>
      </c>
      <c r="Z945" s="303">
        <v>602521261</v>
      </c>
      <c r="AA945" s="303">
        <v>739104445</v>
      </c>
      <c r="AB945" s="303">
        <v>685659750</v>
      </c>
      <c r="AC945" s="303">
        <v>627595285</v>
      </c>
      <c r="AP945" s="216" t="s">
        <v>1705</v>
      </c>
      <c r="AQ945" s="218">
        <v>-39772382.774000004</v>
      </c>
    </row>
    <row r="946" spans="1:43" ht="13.5" thickTop="1">
      <c r="A946" s="216" t="s">
        <v>19</v>
      </c>
      <c r="E946" s="215">
        <v>0</v>
      </c>
      <c r="L946" s="218">
        <v>0</v>
      </c>
      <c r="M946" s="218">
        <v>0</v>
      </c>
    </row>
    <row r="947" spans="1:43">
      <c r="A947" s="216" t="s">
        <v>20</v>
      </c>
      <c r="E947" s="86">
        <v>0</v>
      </c>
      <c r="F947" s="85">
        <v>0</v>
      </c>
      <c r="G947" s="85">
        <v>0</v>
      </c>
      <c r="L947" s="218">
        <v>0</v>
      </c>
      <c r="M947" s="218">
        <v>0</v>
      </c>
      <c r="Q947" s="215" t="s">
        <v>1706</v>
      </c>
      <c r="R947" s="215">
        <v>9469963213</v>
      </c>
      <c r="S947" s="215">
        <v>8842367928</v>
      </c>
      <c r="T947" s="215">
        <v>8156708178</v>
      </c>
      <c r="U947" s="215">
        <v>7417603733</v>
      </c>
      <c r="V947" s="215">
        <v>6815082472</v>
      </c>
      <c r="W947" s="215">
        <v>6169242745</v>
      </c>
      <c r="X947" s="215">
        <v>5457729202</v>
      </c>
      <c r="Y947" s="215">
        <v>4661461767</v>
      </c>
      <c r="Z947" s="215">
        <v>3750766582</v>
      </c>
      <c r="AA947" s="215">
        <v>2729925478</v>
      </c>
      <c r="AB947" s="215">
        <v>1671546408</v>
      </c>
      <c r="AC947" s="215">
        <v>754682776</v>
      </c>
      <c r="AP947" s="216" t="s">
        <v>1707</v>
      </c>
      <c r="AQ947" s="218">
        <v>1037926</v>
      </c>
    </row>
    <row r="948" spans="1:43">
      <c r="A948" s="216" t="s">
        <v>21</v>
      </c>
      <c r="Q948" s="215" t="s">
        <v>1708</v>
      </c>
      <c r="R948" s="304">
        <v>1.0499999999999999E-3</v>
      </c>
      <c r="S948" s="304">
        <v>1.0499999999999999E-3</v>
      </c>
      <c r="T948" s="304">
        <v>1.0499999999999999E-3</v>
      </c>
      <c r="U948" s="304">
        <v>1.0499999999999999E-3</v>
      </c>
      <c r="V948" s="304">
        <v>1.0499999999999999E-3</v>
      </c>
      <c r="W948" s="304">
        <v>1.0499999999999999E-3</v>
      </c>
      <c r="X948" s="304">
        <v>1.0499999999999999E-3</v>
      </c>
      <c r="Y948" s="304">
        <v>1.0499999999999999E-3</v>
      </c>
      <c r="Z948" s="304">
        <v>1.0499999999999999E-3</v>
      </c>
      <c r="AA948" s="304">
        <v>1.0499999999999999E-3</v>
      </c>
      <c r="AB948" s="304">
        <v>1.0499999999999999E-3</v>
      </c>
      <c r="AC948" s="304">
        <v>1.0499999999999999E-3</v>
      </c>
      <c r="AP948" s="216" t="s">
        <v>1709</v>
      </c>
      <c r="AQ948" s="218">
        <v>34038.810115200002</v>
      </c>
    </row>
    <row r="949" spans="1:43" ht="13.5" thickBot="1">
      <c r="A949" s="216" t="s">
        <v>22</v>
      </c>
      <c r="G949" s="218">
        <v>0</v>
      </c>
      <c r="L949" s="218">
        <v>0</v>
      </c>
      <c r="M949" s="218">
        <v>0</v>
      </c>
      <c r="P949" s="234" t="s">
        <v>1710</v>
      </c>
      <c r="R949" s="305">
        <v>9943461.3736499995</v>
      </c>
      <c r="S949" s="305">
        <v>9284486.3244000003</v>
      </c>
      <c r="T949" s="305">
        <v>8564543.5868999995</v>
      </c>
      <c r="U949" s="305">
        <v>7788483.9196499996</v>
      </c>
      <c r="V949" s="305">
        <v>7155836.5955999997</v>
      </c>
      <c r="W949" s="305">
        <v>6477704.8822499998</v>
      </c>
      <c r="X949" s="305">
        <v>5730615.6620999994</v>
      </c>
      <c r="Y949" s="305">
        <v>4894534.8553499999</v>
      </c>
      <c r="Z949" s="305">
        <v>3938304.9110999997</v>
      </c>
      <c r="AA949" s="305">
        <v>2866421.7519</v>
      </c>
      <c r="AB949" s="305">
        <v>1755123.7283999999</v>
      </c>
      <c r="AC949" s="305">
        <v>792416.91479999991</v>
      </c>
      <c r="AP949" s="216" t="s">
        <v>1711</v>
      </c>
      <c r="AQ949" s="218">
        <v>424484.53</v>
      </c>
    </row>
    <row r="950" spans="1:43" ht="13.5" thickTop="1">
      <c r="A950" s="216" t="s">
        <v>23</v>
      </c>
      <c r="C950" s="273"/>
      <c r="D950" s="273"/>
      <c r="E950" s="273"/>
      <c r="F950" s="273"/>
      <c r="G950" s="273"/>
      <c r="H950" s="223">
        <v>0</v>
      </c>
      <c r="I950" s="273"/>
      <c r="J950" s="273"/>
      <c r="K950" s="273"/>
      <c r="L950" s="223">
        <v>0</v>
      </c>
      <c r="M950" s="223">
        <v>0</v>
      </c>
      <c r="AP950" s="216" t="s">
        <v>1712</v>
      </c>
      <c r="AQ950" s="218">
        <v>7684.47</v>
      </c>
    </row>
    <row r="951" spans="1:43">
      <c r="A951" s="216" t="s">
        <v>65</v>
      </c>
      <c r="C951" s="306"/>
      <c r="D951" s="306"/>
      <c r="E951" s="306"/>
      <c r="F951" s="306"/>
      <c r="G951" s="306"/>
      <c r="H951" s="307">
        <v>0</v>
      </c>
      <c r="I951" s="306"/>
      <c r="J951" s="306"/>
      <c r="K951" s="306"/>
      <c r="L951" s="223">
        <v>0</v>
      </c>
      <c r="M951" s="223">
        <v>0</v>
      </c>
      <c r="R951" s="215" t="s">
        <v>1713</v>
      </c>
      <c r="S951" s="215" t="s">
        <v>1714</v>
      </c>
      <c r="T951" s="215" t="s">
        <v>1715</v>
      </c>
      <c r="U951" s="215" t="s">
        <v>1716</v>
      </c>
      <c r="V951" s="215" t="s">
        <v>1717</v>
      </c>
      <c r="W951" s="215" t="s">
        <v>1718</v>
      </c>
      <c r="X951" s="215" t="s">
        <v>1719</v>
      </c>
      <c r="Y951" s="215" t="s">
        <v>1720</v>
      </c>
      <c r="Z951" s="215" t="s">
        <v>1721</v>
      </c>
      <c r="AA951" s="215" t="s">
        <v>1722</v>
      </c>
      <c r="AB951" s="215" t="s">
        <v>1723</v>
      </c>
      <c r="AC951" s="215" t="s">
        <v>1724</v>
      </c>
      <c r="AP951" s="216" t="s">
        <v>1725</v>
      </c>
      <c r="AQ951" s="218">
        <v>6085943</v>
      </c>
    </row>
    <row r="952" spans="1:43">
      <c r="A952" s="216" t="s">
        <v>24</v>
      </c>
      <c r="C952" s="308">
        <v>0</v>
      </c>
      <c r="D952" s="308">
        <v>0</v>
      </c>
      <c r="E952" s="308">
        <v>0</v>
      </c>
      <c r="F952" s="308">
        <v>0</v>
      </c>
      <c r="G952" s="308">
        <v>0</v>
      </c>
      <c r="H952" s="308">
        <v>0</v>
      </c>
      <c r="I952" s="308">
        <v>0</v>
      </c>
      <c r="J952" s="308">
        <v>0</v>
      </c>
      <c r="K952" s="308">
        <v>0</v>
      </c>
      <c r="L952" s="308">
        <v>0</v>
      </c>
      <c r="M952" s="308">
        <v>0</v>
      </c>
    </row>
    <row r="953" spans="1:43"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</row>
    <row r="955" spans="1:43">
      <c r="A955" s="216" t="s">
        <v>25</v>
      </c>
      <c r="C955" s="218">
        <v>460189879.26000005</v>
      </c>
      <c r="D955" s="218">
        <v>0</v>
      </c>
      <c r="E955" s="218">
        <v>249307113</v>
      </c>
      <c r="F955" s="218">
        <v>83125432.876665413</v>
      </c>
      <c r="G955" s="218">
        <v>25910860</v>
      </c>
      <c r="H955" s="218">
        <v>-39348457</v>
      </c>
      <c r="I955" s="218">
        <v>66329231</v>
      </c>
      <c r="J955" s="218">
        <v>-1133805</v>
      </c>
      <c r="K955" s="218">
        <v>-9536.8766654092797</v>
      </c>
      <c r="L955" s="218">
        <v>384180838</v>
      </c>
      <c r="M955" s="218">
        <v>76009041.26000005</v>
      </c>
    </row>
    <row r="956" spans="1:43">
      <c r="C956" s="280"/>
      <c r="D956" s="280"/>
      <c r="E956" s="280"/>
      <c r="F956" s="280"/>
      <c r="G956" s="280"/>
      <c r="H956" s="280"/>
      <c r="I956" s="280"/>
      <c r="J956" s="280"/>
      <c r="K956" s="280"/>
      <c r="L956" s="280"/>
      <c r="M956" s="280"/>
    </row>
    <row r="957" spans="1:43">
      <c r="A957" s="216" t="s">
        <v>1726</v>
      </c>
      <c r="F957" s="309">
        <v>11135800.439999999</v>
      </c>
      <c r="G957" s="216" t="s">
        <v>66</v>
      </c>
      <c r="I957" s="309">
        <v>10787998</v>
      </c>
    </row>
    <row r="958" spans="1:43">
      <c r="A958" s="310" t="s">
        <v>3751</v>
      </c>
      <c r="G958" s="85"/>
    </row>
    <row r="959" spans="1:43">
      <c r="A959" s="216" t="s">
        <v>67</v>
      </c>
      <c r="C959" s="218">
        <v>98299032.309999987</v>
      </c>
      <c r="D959" s="218">
        <v>45960604.017973743</v>
      </c>
      <c r="E959" s="218">
        <v>27652597.872026242</v>
      </c>
      <c r="F959" s="218">
        <v>10711769.77</v>
      </c>
      <c r="G959" s="218">
        <v>7330860.379999999</v>
      </c>
      <c r="H959" s="218">
        <v>-5510542.2800000003</v>
      </c>
      <c r="I959" s="218">
        <v>6235901.4800000004</v>
      </c>
      <c r="J959" s="218">
        <v>-112378</v>
      </c>
      <c r="K959" s="218">
        <v>0</v>
      </c>
      <c r="L959" s="218">
        <v>92268813.23999998</v>
      </c>
      <c r="M959" s="218">
        <v>6030219.0700000077</v>
      </c>
    </row>
    <row r="961" spans="1:14">
      <c r="A961" s="216" t="s">
        <v>68</v>
      </c>
      <c r="C961" s="218">
        <v>84281942.779999986</v>
      </c>
      <c r="D961" s="218">
        <v>37432845.539208293</v>
      </c>
      <c r="E961" s="218">
        <v>26043619</v>
      </c>
      <c r="F961" s="218">
        <v>9929148.6534251217</v>
      </c>
      <c r="G961" s="218">
        <v>7140817.6526752003</v>
      </c>
      <c r="H961" s="218">
        <v>-8191639</v>
      </c>
      <c r="I961" s="218">
        <v>8177785</v>
      </c>
      <c r="J961" s="218">
        <v>-82640</v>
      </c>
      <c r="K961" s="218">
        <v>0</v>
      </c>
      <c r="L961" s="218">
        <v>80449936.845308617</v>
      </c>
      <c r="M961" s="218">
        <v>3832005.9346913695</v>
      </c>
    </row>
    <row r="962" spans="1:14">
      <c r="A962" s="216"/>
      <c r="G962" s="216" t="s">
        <v>1727</v>
      </c>
      <c r="M962" s="216" t="s">
        <v>2585</v>
      </c>
    </row>
    <row r="963" spans="1:14">
      <c r="A963" s="216" t="s">
        <v>1728</v>
      </c>
      <c r="G963" s="216" t="s">
        <v>1729</v>
      </c>
      <c r="H963" s="216" t="s">
        <v>1730</v>
      </c>
      <c r="M963" s="216" t="s">
        <v>2652</v>
      </c>
    </row>
    <row r="964" spans="1:14">
      <c r="A964" s="216" t="s">
        <v>1731</v>
      </c>
      <c r="G964" s="224"/>
      <c r="H964" s="216" t="s">
        <v>1557</v>
      </c>
    </row>
    <row r="965" spans="1:14">
      <c r="A965" s="216" t="s">
        <v>1732</v>
      </c>
    </row>
    <row r="966" spans="1:14">
      <c r="A966" s="216" t="s">
        <v>1733</v>
      </c>
    </row>
    <row r="967" spans="1:14">
      <c r="D967" s="224" t="s">
        <v>2654</v>
      </c>
      <c r="I967" s="224" t="s">
        <v>2655</v>
      </c>
      <c r="J967" s="224" t="s">
        <v>2656</v>
      </c>
      <c r="L967" s="224" t="s">
        <v>2581</v>
      </c>
      <c r="M967" s="224" t="s">
        <v>2657</v>
      </c>
    </row>
    <row r="968" spans="1:14">
      <c r="C968" s="224" t="s">
        <v>2658</v>
      </c>
      <c r="D968" s="224" t="s">
        <v>2659</v>
      </c>
      <c r="E968" s="224" t="s">
        <v>2660</v>
      </c>
      <c r="F968" s="224" t="s">
        <v>2661</v>
      </c>
      <c r="G968" s="224" t="s">
        <v>2662</v>
      </c>
      <c r="H968" s="224" t="s">
        <v>2663</v>
      </c>
      <c r="I968" s="224" t="s">
        <v>2663</v>
      </c>
      <c r="J968" s="224" t="s">
        <v>2664</v>
      </c>
      <c r="K968" s="224" t="s">
        <v>2665</v>
      </c>
      <c r="L968" s="224" t="s">
        <v>2658</v>
      </c>
      <c r="M968" s="224" t="s">
        <v>2658</v>
      </c>
    </row>
    <row r="969" spans="1:14">
      <c r="C969" s="293" t="s">
        <v>2666</v>
      </c>
      <c r="D969" s="293" t="s">
        <v>2667</v>
      </c>
      <c r="E969" s="293" t="s">
        <v>2668</v>
      </c>
      <c r="F969" s="293" t="s">
        <v>2669</v>
      </c>
      <c r="G969" s="293" t="s">
        <v>2670</v>
      </c>
      <c r="H969" s="293" t="s">
        <v>2671</v>
      </c>
      <c r="I969" s="293" t="s">
        <v>2672</v>
      </c>
      <c r="J969" s="293" t="s">
        <v>2672</v>
      </c>
      <c r="K969" s="293" t="s">
        <v>2673</v>
      </c>
      <c r="L969" s="293" t="s">
        <v>2674</v>
      </c>
      <c r="M969" s="293" t="s">
        <v>2675</v>
      </c>
    </row>
    <row r="970" spans="1:14" ht="13.5" thickBot="1">
      <c r="A970" s="216" t="s">
        <v>2676</v>
      </c>
      <c r="C970" s="311">
        <v>1558262293.28</v>
      </c>
      <c r="D970" s="311">
        <v>802165948.21662939</v>
      </c>
      <c r="E970" s="311">
        <v>303058345.58337057</v>
      </c>
      <c r="F970" s="311">
        <v>126678334.32999998</v>
      </c>
      <c r="G970" s="311">
        <v>101440404.51000001</v>
      </c>
      <c r="H970" s="311">
        <v>-28069457.469999999</v>
      </c>
      <c r="I970" s="311">
        <v>92584543.570000008</v>
      </c>
      <c r="J970" s="311">
        <v>-1494982</v>
      </c>
      <c r="K970" s="311">
        <v>0</v>
      </c>
      <c r="L970" s="311">
        <v>1396363136.7399998</v>
      </c>
      <c r="M970" s="311">
        <v>161899156.5400002</v>
      </c>
      <c r="N970" s="216" t="s">
        <v>2171</v>
      </c>
    </row>
    <row r="971" spans="1:14" ht="13.5" thickTop="1"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</row>
    <row r="972" spans="1:14">
      <c r="A972" s="216" t="s">
        <v>2677</v>
      </c>
      <c r="C972" s="296">
        <v>1345260741.6500001</v>
      </c>
      <c r="D972" s="296">
        <v>645776002.20090508</v>
      </c>
      <c r="E972" s="296">
        <v>287370072.98000002</v>
      </c>
      <c r="F972" s="296">
        <v>117924507.1366654</v>
      </c>
      <c r="G972" s="296">
        <v>99698784.729750007</v>
      </c>
      <c r="H972" s="296">
        <v>-9725768</v>
      </c>
      <c r="I972" s="296">
        <v>66366400</v>
      </c>
      <c r="J972" s="296">
        <v>-1133805</v>
      </c>
      <c r="K972" s="296">
        <v>0</v>
      </c>
      <c r="L972" s="296">
        <v>1206276194.0473204</v>
      </c>
      <c r="M972" s="296">
        <v>138984547.60267973</v>
      </c>
      <c r="N972" s="216" t="s">
        <v>2171</v>
      </c>
    </row>
    <row r="973" spans="1:14">
      <c r="A973" s="216" t="s">
        <v>2678</v>
      </c>
      <c r="B973" s="84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</row>
    <row r="974" spans="1:14">
      <c r="A974" s="216" t="s">
        <v>2603</v>
      </c>
      <c r="C974" s="218">
        <v>-154301956.56</v>
      </c>
      <c r="E974" s="218">
        <v>-29024832</v>
      </c>
      <c r="F974" s="218">
        <v>-34504819</v>
      </c>
      <c r="G974" s="218">
        <v>-599980</v>
      </c>
      <c r="H974" s="218">
        <v>-34783975</v>
      </c>
      <c r="J974" s="218">
        <v>0</v>
      </c>
      <c r="L974" s="218">
        <v>-98913606</v>
      </c>
      <c r="M974" s="218">
        <v>-55388350.560000002</v>
      </c>
    </row>
    <row r="975" spans="1:14">
      <c r="A975" s="216" t="s">
        <v>2679</v>
      </c>
      <c r="B975" s="84"/>
      <c r="C975" s="84">
        <v>-31705134.799999997</v>
      </c>
      <c r="D975" s="84"/>
      <c r="E975" s="218">
        <v>0</v>
      </c>
      <c r="F975" s="84"/>
      <c r="H975" s="218">
        <v>-12230256</v>
      </c>
      <c r="I975" s="84"/>
      <c r="J975" s="84"/>
      <c r="K975" s="84"/>
      <c r="L975" s="218">
        <v>-12230256</v>
      </c>
      <c r="M975" s="218">
        <v>-19474878.799999997</v>
      </c>
    </row>
    <row r="976" spans="1:14">
      <c r="A976" s="216" t="s">
        <v>2623</v>
      </c>
      <c r="B976" s="84"/>
      <c r="C976" s="84"/>
      <c r="D976" s="84"/>
      <c r="E976" s="218">
        <v>-119471.8</v>
      </c>
      <c r="F976" s="84"/>
      <c r="G976" s="84"/>
      <c r="H976" s="218">
        <v>46086</v>
      </c>
      <c r="I976" s="84"/>
      <c r="J976" s="84"/>
      <c r="K976" s="84"/>
      <c r="L976" s="218">
        <v>-73385.8</v>
      </c>
      <c r="M976" s="218">
        <v>73385.8</v>
      </c>
    </row>
    <row r="977" spans="1:13">
      <c r="A977" s="216" t="s">
        <v>3398</v>
      </c>
      <c r="B977" s="84"/>
      <c r="C977" s="84"/>
      <c r="D977" s="84"/>
      <c r="F977" s="218">
        <v>0</v>
      </c>
      <c r="G977" s="84"/>
      <c r="H977" s="218">
        <v>0</v>
      </c>
      <c r="I977" s="84"/>
      <c r="J977" s="84"/>
      <c r="K977" s="84"/>
      <c r="L977" s="218">
        <v>0</v>
      </c>
      <c r="M977" s="218">
        <v>0</v>
      </c>
    </row>
    <row r="978" spans="1:13">
      <c r="A978" s="218" t="s">
        <v>2680</v>
      </c>
      <c r="D978" s="84"/>
      <c r="E978" s="218">
        <v>0</v>
      </c>
      <c r="F978" s="84"/>
      <c r="H978" s="218">
        <v>3679</v>
      </c>
      <c r="I978" s="84"/>
      <c r="J978" s="84"/>
      <c r="K978" s="84">
        <v>-9536.8766654092797</v>
      </c>
      <c r="L978" s="84">
        <v>-5857.8766654092797</v>
      </c>
      <c r="M978" s="84">
        <v>5857.8766654092797</v>
      </c>
    </row>
    <row r="979" spans="1:13">
      <c r="A979" s="216" t="s">
        <v>1664</v>
      </c>
      <c r="E979" s="218">
        <v>-9056</v>
      </c>
      <c r="H979" s="218">
        <v>3493</v>
      </c>
      <c r="L979" s="218">
        <v>-5563</v>
      </c>
      <c r="M979" s="218">
        <v>5563</v>
      </c>
    </row>
    <row r="980" spans="1:13">
      <c r="A980" s="216" t="s">
        <v>2594</v>
      </c>
      <c r="C980" s="218">
        <v>-40354804.57</v>
      </c>
      <c r="H980" s="218">
        <v>-15566866</v>
      </c>
      <c r="L980" s="218">
        <v>-15566866</v>
      </c>
      <c r="M980" s="218">
        <v>-24787938.57</v>
      </c>
    </row>
    <row r="981" spans="1:13">
      <c r="A981" s="216" t="s">
        <v>0</v>
      </c>
      <c r="C981" s="218">
        <v>-599884447.2700001</v>
      </c>
      <c r="H981" s="218">
        <v>-231405426</v>
      </c>
      <c r="L981" s="218">
        <v>-231405426</v>
      </c>
      <c r="M981" s="218">
        <v>-368479021.2700001</v>
      </c>
    </row>
    <row r="982" spans="1:13">
      <c r="A982" s="216" t="s">
        <v>1734</v>
      </c>
      <c r="C982" s="218">
        <v>-58824519.189999998</v>
      </c>
      <c r="H982" s="218">
        <v>-22691558</v>
      </c>
      <c r="L982" s="218">
        <v>-22691558</v>
      </c>
      <c r="M982" s="218">
        <v>-36132961.189999998</v>
      </c>
    </row>
    <row r="983" spans="1:13">
      <c r="A983" s="218" t="s">
        <v>2</v>
      </c>
      <c r="E983" s="218">
        <v>0</v>
      </c>
      <c r="H983" s="218">
        <v>0</v>
      </c>
      <c r="L983" s="218">
        <v>0</v>
      </c>
      <c r="M983" s="218">
        <v>0</v>
      </c>
    </row>
    <row r="984" spans="1:13">
      <c r="A984" s="218" t="s">
        <v>2681</v>
      </c>
      <c r="C984" s="218">
        <v>0</v>
      </c>
      <c r="E984" s="218">
        <v>0</v>
      </c>
      <c r="H984" s="218">
        <v>0</v>
      </c>
      <c r="L984" s="218">
        <v>0</v>
      </c>
      <c r="M984" s="218">
        <v>0</v>
      </c>
    </row>
    <row r="985" spans="1:13">
      <c r="A985" s="216" t="s">
        <v>5</v>
      </c>
      <c r="E985" s="218">
        <v>756924</v>
      </c>
      <c r="H985" s="218">
        <v>-291983</v>
      </c>
      <c r="L985" s="218">
        <v>464941</v>
      </c>
      <c r="M985" s="218">
        <v>-464941</v>
      </c>
    </row>
    <row r="986" spans="1:13">
      <c r="A986" s="216" t="s">
        <v>6</v>
      </c>
      <c r="C986" s="84"/>
      <c r="E986" s="218">
        <v>-318545</v>
      </c>
      <c r="G986" s="218">
        <v>-16226</v>
      </c>
      <c r="H986" s="218">
        <v>129138</v>
      </c>
      <c r="L986" s="218">
        <v>-205633</v>
      </c>
      <c r="M986" s="218">
        <v>205633</v>
      </c>
    </row>
    <row r="987" spans="1:13">
      <c r="A987" s="216" t="s">
        <v>1735</v>
      </c>
      <c r="D987" s="218">
        <v>-228757</v>
      </c>
      <c r="E987" s="218">
        <v>-19717</v>
      </c>
      <c r="H987" s="218">
        <v>95849</v>
      </c>
      <c r="L987" s="218">
        <v>-152625</v>
      </c>
      <c r="M987" s="218">
        <v>152625</v>
      </c>
    </row>
    <row r="988" spans="1:13">
      <c r="A988" s="216" t="s">
        <v>2606</v>
      </c>
      <c r="E988" s="218">
        <v>-1027</v>
      </c>
      <c r="H988" s="218">
        <v>396</v>
      </c>
      <c r="L988" s="218">
        <v>-631</v>
      </c>
      <c r="M988" s="218">
        <v>631</v>
      </c>
    </row>
    <row r="989" spans="1:13">
      <c r="A989" s="216" t="s">
        <v>8</v>
      </c>
      <c r="D989" s="218">
        <v>-599459962.74000001</v>
      </c>
      <c r="F989" s="216" t="s">
        <v>2583</v>
      </c>
      <c r="H989" s="218">
        <v>231241681</v>
      </c>
      <c r="L989" s="218">
        <v>-368218281.74000001</v>
      </c>
      <c r="M989" s="218">
        <v>368218281.74000001</v>
      </c>
    </row>
    <row r="990" spans="1:13">
      <c r="A990" s="216" t="s">
        <v>1678</v>
      </c>
      <c r="C990" s="215">
        <v>0</v>
      </c>
      <c r="D990" s="218">
        <v>-46087282.460905068</v>
      </c>
      <c r="E990" s="218">
        <v>-8530473.1799999997</v>
      </c>
      <c r="F990" s="218">
        <v>-294255.25999999995</v>
      </c>
      <c r="G990" s="218">
        <v>-295076.26999999996</v>
      </c>
      <c r="H990" s="218">
        <v>21296134</v>
      </c>
      <c r="L990" s="218">
        <v>-33910953.170905069</v>
      </c>
      <c r="M990" s="218">
        <v>33910953.170905069</v>
      </c>
    </row>
    <row r="991" spans="1:13">
      <c r="A991" s="216" t="s">
        <v>4</v>
      </c>
      <c r="E991" s="218">
        <v>-796762</v>
      </c>
      <c r="F991" s="218">
        <v>0</v>
      </c>
      <c r="H991" s="218">
        <v>307351</v>
      </c>
      <c r="L991" s="218">
        <v>-489411</v>
      </c>
      <c r="M991" s="218">
        <v>489411</v>
      </c>
    </row>
    <row r="992" spans="1:13">
      <c r="A992" s="216" t="s">
        <v>10</v>
      </c>
      <c r="G992" s="218">
        <v>-39772382.774000004</v>
      </c>
      <c r="H992" s="218">
        <v>15342197</v>
      </c>
      <c r="L992" s="218">
        <v>-24430185.774000004</v>
      </c>
      <c r="M992" s="218">
        <v>24430185.774000004</v>
      </c>
    </row>
    <row r="993" spans="1:14">
      <c r="A993" s="216" t="s">
        <v>1736</v>
      </c>
      <c r="G993" s="218">
        <v>-1504134</v>
      </c>
      <c r="H993" s="218">
        <v>580220</v>
      </c>
      <c r="L993" s="218">
        <v>-923914</v>
      </c>
      <c r="M993" s="218">
        <v>923914</v>
      </c>
    </row>
    <row r="994" spans="1:14">
      <c r="A994" s="216" t="s">
        <v>23</v>
      </c>
      <c r="G994" s="215">
        <v>-31600125.685749996</v>
      </c>
      <c r="H994" s="218">
        <v>12189748</v>
      </c>
      <c r="L994" s="218">
        <v>-19410377.685749996</v>
      </c>
      <c r="M994" s="218">
        <v>19410377.685749996</v>
      </c>
    </row>
    <row r="995" spans="1:14">
      <c r="A995" s="216" t="s">
        <v>2639</v>
      </c>
      <c r="C995" s="231"/>
      <c r="D995" s="231"/>
      <c r="E995" s="231"/>
      <c r="F995" s="231"/>
      <c r="G995" s="231"/>
      <c r="H995" s="296">
        <v>6000062</v>
      </c>
      <c r="I995" s="231"/>
      <c r="J995" s="231"/>
      <c r="K995" s="231"/>
      <c r="L995" s="296">
        <v>6000062</v>
      </c>
      <c r="M995" s="296">
        <v>-6000062</v>
      </c>
    </row>
    <row r="996" spans="1:14"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</row>
    <row r="997" spans="1:14">
      <c r="A997" s="216" t="s">
        <v>13</v>
      </c>
      <c r="C997" s="296">
        <v>-885070862.3900001</v>
      </c>
      <c r="D997" s="296">
        <v>-645776002.20090508</v>
      </c>
      <c r="E997" s="296">
        <v>-38062959.980000004</v>
      </c>
      <c r="F997" s="296">
        <v>-34799074.259999998</v>
      </c>
      <c r="G997" s="296">
        <v>-73787924.729750007</v>
      </c>
      <c r="H997" s="296">
        <v>-29734030</v>
      </c>
      <c r="I997" s="296">
        <v>0</v>
      </c>
      <c r="J997" s="296">
        <v>0</v>
      </c>
      <c r="K997" s="296">
        <v>-9536.8766654092797</v>
      </c>
      <c r="L997" s="296">
        <v>-822169528.0473206</v>
      </c>
      <c r="M997" s="296">
        <v>-62901334.342679605</v>
      </c>
    </row>
    <row r="998" spans="1:14"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</row>
    <row r="1000" spans="1:14">
      <c r="A1000" s="216" t="s">
        <v>14</v>
      </c>
      <c r="C1000" s="296">
        <v>460189879.26000005</v>
      </c>
      <c r="D1000" s="296">
        <v>0</v>
      </c>
      <c r="E1000" s="296">
        <v>249307113</v>
      </c>
      <c r="F1000" s="296">
        <v>83125432.876665413</v>
      </c>
      <c r="G1000" s="296">
        <v>25910860</v>
      </c>
      <c r="H1000" s="296">
        <v>-39459798</v>
      </c>
      <c r="I1000" s="296">
        <v>66366400</v>
      </c>
      <c r="J1000" s="296">
        <v>-1133805</v>
      </c>
      <c r="K1000" s="302">
        <v>-9536.8766654092797</v>
      </c>
      <c r="L1000" s="296">
        <v>384106666</v>
      </c>
      <c r="M1000" s="296">
        <v>76083213.26000005</v>
      </c>
    </row>
    <row r="1001" spans="1:14">
      <c r="C1001" s="216"/>
      <c r="D1001" s="216"/>
      <c r="E1001" s="216"/>
      <c r="F1001" s="216"/>
      <c r="G1001" s="216"/>
      <c r="H1001" s="216"/>
      <c r="I1001" s="216"/>
      <c r="J1001" s="216"/>
      <c r="K1001" s="216"/>
      <c r="L1001" s="216"/>
      <c r="M1001" s="216"/>
    </row>
    <row r="1002" spans="1:14">
      <c r="A1002" s="216" t="s">
        <v>1737</v>
      </c>
    </row>
    <row r="1003" spans="1:14">
      <c r="A1003" s="216" t="s">
        <v>1738</v>
      </c>
    </row>
    <row r="1004" spans="1:14">
      <c r="A1004" s="216" t="s">
        <v>17</v>
      </c>
      <c r="C1004" s="218">
        <v>0</v>
      </c>
      <c r="E1004" s="215">
        <v>0</v>
      </c>
      <c r="F1004" s="215">
        <v>0</v>
      </c>
      <c r="G1004" s="215">
        <v>0</v>
      </c>
      <c r="L1004" s="218">
        <v>0</v>
      </c>
      <c r="M1004" s="218">
        <v>0</v>
      </c>
      <c r="N1004" s="299" t="s">
        <v>2172</v>
      </c>
    </row>
    <row r="1005" spans="1:14">
      <c r="A1005" s="216" t="s">
        <v>19</v>
      </c>
      <c r="E1005" s="215">
        <v>0</v>
      </c>
      <c r="L1005" s="218">
        <v>0</v>
      </c>
      <c r="M1005" s="218">
        <v>0</v>
      </c>
    </row>
    <row r="1006" spans="1:14">
      <c r="A1006" s="216" t="s">
        <v>20</v>
      </c>
      <c r="E1006" s="218">
        <v>0</v>
      </c>
      <c r="F1006" s="215">
        <v>0</v>
      </c>
      <c r="G1006" s="215">
        <v>0</v>
      </c>
      <c r="L1006" s="218">
        <v>0</v>
      </c>
      <c r="M1006" s="218">
        <v>0</v>
      </c>
    </row>
    <row r="1007" spans="1:14">
      <c r="A1007" s="216" t="s">
        <v>21</v>
      </c>
    </row>
    <row r="1008" spans="1:14">
      <c r="A1008" s="216" t="s">
        <v>22</v>
      </c>
      <c r="G1008" s="218">
        <v>0</v>
      </c>
      <c r="L1008" s="218">
        <v>0</v>
      </c>
      <c r="M1008" s="218">
        <v>0</v>
      </c>
    </row>
    <row r="1009" spans="1:26">
      <c r="A1009" s="216" t="s">
        <v>23</v>
      </c>
      <c r="C1009" s="231"/>
      <c r="D1009" s="231"/>
      <c r="E1009" s="231"/>
      <c r="F1009" s="231"/>
      <c r="G1009" s="231"/>
      <c r="H1009" s="296">
        <v>0</v>
      </c>
      <c r="I1009" s="231"/>
      <c r="J1009" s="231"/>
      <c r="K1009" s="231"/>
      <c r="L1009" s="296">
        <v>0</v>
      </c>
      <c r="M1009" s="296">
        <v>0</v>
      </c>
    </row>
    <row r="1010" spans="1:26">
      <c r="C1010" s="216"/>
      <c r="D1010" s="216"/>
      <c r="E1010" s="216"/>
      <c r="F1010" s="216"/>
      <c r="G1010" s="216"/>
      <c r="H1010" s="216"/>
      <c r="I1010" s="216"/>
      <c r="J1010" s="216"/>
      <c r="K1010" s="216"/>
      <c r="L1010" s="216"/>
      <c r="M1010" s="216"/>
    </row>
    <row r="1011" spans="1:26">
      <c r="A1011" s="216" t="s">
        <v>24</v>
      </c>
      <c r="C1011" s="296">
        <v>0</v>
      </c>
      <c r="D1011" s="296">
        <v>0</v>
      </c>
      <c r="E1011" s="296">
        <v>0</v>
      </c>
      <c r="F1011" s="296">
        <v>0</v>
      </c>
      <c r="G1011" s="296">
        <v>0</v>
      </c>
      <c r="H1011" s="296">
        <v>0</v>
      </c>
      <c r="I1011" s="296">
        <v>0</v>
      </c>
      <c r="J1011" s="296">
        <v>0</v>
      </c>
      <c r="K1011" s="296">
        <v>0</v>
      </c>
      <c r="L1011" s="296">
        <v>0</v>
      </c>
      <c r="M1011" s="296">
        <v>0</v>
      </c>
    </row>
    <row r="1012" spans="1:26">
      <c r="C1012" s="216"/>
      <c r="D1012" s="216"/>
      <c r="E1012" s="216"/>
      <c r="F1012" s="216"/>
      <c r="G1012" s="216"/>
      <c r="H1012" s="216"/>
      <c r="I1012" s="216"/>
      <c r="J1012" s="216"/>
      <c r="K1012" s="216"/>
      <c r="L1012" s="216"/>
      <c r="M1012" s="216"/>
    </row>
    <row r="1014" spans="1:26" ht="13.5" thickBot="1">
      <c r="A1014" s="216" t="s">
        <v>25</v>
      </c>
      <c r="C1014" s="294">
        <v>460189879.26000005</v>
      </c>
      <c r="D1014" s="294">
        <v>0</v>
      </c>
      <c r="E1014" s="294">
        <v>249307113</v>
      </c>
      <c r="F1014" s="294">
        <v>83125432.876665413</v>
      </c>
      <c r="G1014" s="294">
        <v>25910860</v>
      </c>
      <c r="H1014" s="294">
        <v>-39459798</v>
      </c>
      <c r="I1014" s="294">
        <v>66366400</v>
      </c>
      <c r="J1014" s="294">
        <v>-1133805</v>
      </c>
      <c r="K1014" s="294">
        <v>-9536.8766654092797</v>
      </c>
      <c r="L1014" s="294">
        <v>384106666</v>
      </c>
      <c r="M1014" s="294">
        <v>76083213.26000005</v>
      </c>
    </row>
    <row r="1015" spans="1:26" ht="13.5" thickTop="1">
      <c r="C1015" s="216"/>
      <c r="D1015" s="216"/>
      <c r="E1015" s="216"/>
      <c r="F1015" s="216"/>
      <c r="G1015" s="216"/>
      <c r="H1015" s="216"/>
      <c r="I1015" s="216"/>
      <c r="J1015" s="216"/>
      <c r="K1015" s="216"/>
      <c r="L1015" s="216"/>
      <c r="M1015" s="216"/>
    </row>
    <row r="1016" spans="1:26">
      <c r="A1016" s="236" t="s">
        <v>1739</v>
      </c>
      <c r="F1016" s="226">
        <v>11135800.439999999</v>
      </c>
      <c r="G1016" s="216" t="s">
        <v>27</v>
      </c>
      <c r="I1016" s="226">
        <v>10787998</v>
      </c>
    </row>
    <row r="1017" spans="1:26">
      <c r="A1017" s="234" t="s">
        <v>247</v>
      </c>
      <c r="B1017" s="312"/>
      <c r="C1017" s="216"/>
      <c r="E1017" s="312"/>
      <c r="N1017" s="234" t="s">
        <v>1740</v>
      </c>
      <c r="P1017" s="216" t="s">
        <v>1741</v>
      </c>
    </row>
    <row r="1018" spans="1:26">
      <c r="B1018" s="312"/>
      <c r="C1018" s="216"/>
      <c r="E1018" s="312"/>
      <c r="K1018" s="313" t="s">
        <v>1742</v>
      </c>
      <c r="L1018" s="273"/>
      <c r="M1018" s="154">
        <v>0</v>
      </c>
      <c r="V1018" s="226" t="s">
        <v>1743</v>
      </c>
    </row>
    <row r="1019" spans="1:26" ht="13.5" thickBot="1">
      <c r="D1019" s="215">
        <v>19178038.949999999</v>
      </c>
      <c r="K1019" s="313" t="s">
        <v>1744</v>
      </c>
      <c r="L1019" s="273"/>
      <c r="M1019" s="314">
        <v>0</v>
      </c>
      <c r="N1019" s="315">
        <v>0</v>
      </c>
      <c r="R1019" s="224" t="s">
        <v>1745</v>
      </c>
      <c r="V1019" s="226" t="s">
        <v>1746</v>
      </c>
      <c r="W1019" s="225" t="s">
        <v>1747</v>
      </c>
    </row>
    <row r="1020" spans="1:26">
      <c r="D1020" s="215">
        <v>267597.84000000003</v>
      </c>
      <c r="R1020" s="224" t="s">
        <v>1748</v>
      </c>
      <c r="S1020" s="224" t="s">
        <v>3248</v>
      </c>
      <c r="T1020" s="224" t="s">
        <v>179</v>
      </c>
      <c r="V1020" s="226" t="s">
        <v>1749</v>
      </c>
      <c r="W1020" s="226" t="s">
        <v>1750</v>
      </c>
    </row>
    <row r="1021" spans="1:26">
      <c r="A1021" s="216" t="s">
        <v>1751</v>
      </c>
      <c r="D1021" s="215">
        <v>18910441.109999999</v>
      </c>
      <c r="J1021" s="216" t="s">
        <v>1752</v>
      </c>
      <c r="K1021" s="216" t="s">
        <v>1753</v>
      </c>
      <c r="M1021" s="218">
        <v>-653886230</v>
      </c>
      <c r="R1021" s="224" t="s">
        <v>1754</v>
      </c>
      <c r="S1021" s="224" t="s">
        <v>1755</v>
      </c>
      <c r="T1021" s="224" t="s">
        <v>2674</v>
      </c>
      <c r="V1021" s="226" t="s">
        <v>1756</v>
      </c>
      <c r="W1021" s="226" t="s">
        <v>1757</v>
      </c>
    </row>
    <row r="1022" spans="1:26">
      <c r="A1022" s="216" t="s">
        <v>1758</v>
      </c>
      <c r="K1022" s="216" t="s">
        <v>1759</v>
      </c>
      <c r="M1022" s="218">
        <v>-27869479.696910936</v>
      </c>
    </row>
    <row r="1023" spans="1:26">
      <c r="A1023" s="216" t="s">
        <v>1760</v>
      </c>
      <c r="K1023" s="216" t="s">
        <v>1914</v>
      </c>
      <c r="L1023" s="84"/>
      <c r="M1023" s="84">
        <v>-98610966.966629371</v>
      </c>
      <c r="N1023" s="216" t="s">
        <v>1915</v>
      </c>
      <c r="P1023" s="150"/>
      <c r="Q1023" s="152" t="s">
        <v>1910</v>
      </c>
      <c r="R1023" s="86">
        <v>0</v>
      </c>
      <c r="S1023" s="84"/>
      <c r="T1023" s="86">
        <v>261434.02</v>
      </c>
      <c r="U1023" s="297"/>
      <c r="V1023" s="215">
        <v>0</v>
      </c>
      <c r="W1023" s="215">
        <v>-2749</v>
      </c>
      <c r="Y1023" s="215">
        <v>-261434.02</v>
      </c>
      <c r="Z1023" s="215">
        <v>0</v>
      </c>
    </row>
    <row r="1024" spans="1:26">
      <c r="A1024" s="216" t="s">
        <v>1557</v>
      </c>
      <c r="D1024" s="215">
        <v>-89980938.549999982</v>
      </c>
      <c r="E1024" s="215">
        <v>123145537.20000002</v>
      </c>
      <c r="K1024" s="216" t="s">
        <v>1916</v>
      </c>
      <c r="M1024" s="84">
        <v>-47796383.419999994</v>
      </c>
      <c r="N1024" s="310"/>
      <c r="P1024" s="150"/>
      <c r="Q1024" s="152" t="s">
        <v>588</v>
      </c>
      <c r="R1024" s="86">
        <v>0</v>
      </c>
      <c r="S1024" s="84"/>
      <c r="T1024" s="86">
        <v>649237.88</v>
      </c>
      <c r="U1024" s="297"/>
      <c r="V1024" s="215">
        <v>0</v>
      </c>
      <c r="W1024" s="215">
        <v>-6767</v>
      </c>
      <c r="Y1024" s="215">
        <v>-4169458</v>
      </c>
      <c r="Z1024" s="215">
        <v>0</v>
      </c>
    </row>
    <row r="1025" spans="1:30">
      <c r="C1025" s="216" t="s">
        <v>1917</v>
      </c>
      <c r="K1025" s="216" t="s">
        <v>1918</v>
      </c>
      <c r="L1025" s="84"/>
      <c r="M1025" s="296">
        <v>0</v>
      </c>
      <c r="N1025" s="310">
        <v>0</v>
      </c>
      <c r="P1025" s="150"/>
      <c r="Q1025" s="152" t="s">
        <v>598</v>
      </c>
      <c r="R1025" s="86">
        <v>0</v>
      </c>
      <c r="S1025" s="153"/>
      <c r="T1025" s="86">
        <v>4205087.2973039998</v>
      </c>
      <c r="U1025" s="242"/>
      <c r="V1025" s="215">
        <v>0</v>
      </c>
      <c r="W1025" s="215">
        <v>-8495.23</v>
      </c>
      <c r="Y1025" s="215">
        <v>-4205087.2973039998</v>
      </c>
      <c r="Z1025" s="215">
        <v>0</v>
      </c>
    </row>
    <row r="1026" spans="1:30">
      <c r="C1026" s="216" t="s">
        <v>1919</v>
      </c>
      <c r="D1026" s="216" t="s">
        <v>1920</v>
      </c>
      <c r="E1026" s="216" t="s">
        <v>1920</v>
      </c>
      <c r="G1026" s="216" t="s">
        <v>1921</v>
      </c>
      <c r="H1026" s="216" t="s">
        <v>1922</v>
      </c>
      <c r="I1026" s="216" t="s">
        <v>1922</v>
      </c>
      <c r="J1026" s="216" t="s">
        <v>1923</v>
      </c>
      <c r="M1026" s="218">
        <v>-828163060.08354032</v>
      </c>
      <c r="N1026" s="310"/>
      <c r="P1026" s="150"/>
      <c r="Q1026" s="152" t="s">
        <v>609</v>
      </c>
      <c r="R1026" s="86">
        <v>0</v>
      </c>
      <c r="S1026" s="85"/>
      <c r="T1026" s="86">
        <v>6317511.8399999999</v>
      </c>
      <c r="U1026" s="242"/>
      <c r="V1026" s="215">
        <v>0</v>
      </c>
      <c r="W1026" s="215">
        <v>-11964</v>
      </c>
      <c r="Y1026" s="215">
        <v>-6317511.8399999999</v>
      </c>
      <c r="Z1026" s="215">
        <v>536438.02</v>
      </c>
    </row>
    <row r="1027" spans="1:30">
      <c r="C1027" s="216" t="s">
        <v>1924</v>
      </c>
      <c r="D1027" s="216" t="s">
        <v>1925</v>
      </c>
      <c r="E1027" s="216" t="s">
        <v>16</v>
      </c>
      <c r="G1027" s="216" t="s">
        <v>1926</v>
      </c>
      <c r="H1027" s="216" t="s">
        <v>1927</v>
      </c>
      <c r="I1027" s="216" t="s">
        <v>1919</v>
      </c>
      <c r="J1027" s="216" t="s">
        <v>1919</v>
      </c>
      <c r="K1027" s="236" t="s">
        <v>1928</v>
      </c>
      <c r="L1027" s="84"/>
      <c r="M1027" s="84">
        <v>1186.3900000000001</v>
      </c>
      <c r="N1027" s="310" t="s">
        <v>1915</v>
      </c>
      <c r="P1027" s="150"/>
      <c r="Q1027" s="152" t="s">
        <v>618</v>
      </c>
      <c r="R1027" s="86">
        <v>0</v>
      </c>
      <c r="S1027" s="85"/>
      <c r="T1027" s="84">
        <v>4305946.09</v>
      </c>
      <c r="U1027" s="84"/>
      <c r="V1027" s="215">
        <v>0</v>
      </c>
      <c r="W1027" s="215">
        <v>-13558</v>
      </c>
      <c r="Y1027" s="215">
        <v>-4305946.09</v>
      </c>
      <c r="Z1027" s="215">
        <v>0</v>
      </c>
    </row>
    <row r="1028" spans="1:30">
      <c r="K1028" s="313"/>
      <c r="L1028" s="273"/>
      <c r="M1028" s="154"/>
      <c r="N1028" s="310"/>
      <c r="P1028" s="150"/>
      <c r="Q1028" s="152" t="s">
        <v>629</v>
      </c>
      <c r="R1028" s="87">
        <v>0</v>
      </c>
      <c r="S1028" s="154"/>
      <c r="T1028" s="87">
        <v>3146157.8295999998</v>
      </c>
      <c r="U1028" s="297"/>
      <c r="V1028" s="215">
        <v>0</v>
      </c>
      <c r="W1028" s="215">
        <v>-5464</v>
      </c>
      <c r="Y1028" s="215">
        <v>-3146157.8295999998</v>
      </c>
      <c r="Z1028" s="215">
        <v>0</v>
      </c>
    </row>
    <row r="1029" spans="1:30">
      <c r="A1029" s="216" t="s">
        <v>1929</v>
      </c>
      <c r="C1029" s="84"/>
      <c r="D1029" s="216" t="s">
        <v>1930</v>
      </c>
      <c r="K1029" s="216" t="s">
        <v>1931</v>
      </c>
      <c r="M1029" s="218">
        <v>-7799775.2800000003</v>
      </c>
      <c r="N1029" s="216" t="s">
        <v>1932</v>
      </c>
      <c r="O1029" s="84"/>
      <c r="P1029" s="150"/>
      <c r="Q1029" s="316" t="s">
        <v>639</v>
      </c>
      <c r="R1029" s="86">
        <v>0</v>
      </c>
      <c r="S1029" s="85"/>
      <c r="T1029" s="87">
        <v>477513.06</v>
      </c>
      <c r="U1029" s="242"/>
      <c r="V1029" s="215">
        <v>0</v>
      </c>
      <c r="W1029" s="215">
        <v>-13558</v>
      </c>
      <c r="Y1029" s="215">
        <v>-477513.06</v>
      </c>
      <c r="Z1029" s="215">
        <v>0</v>
      </c>
    </row>
    <row r="1030" spans="1:30">
      <c r="A1030" s="216" t="s">
        <v>1933</v>
      </c>
      <c r="B1030" s="84"/>
      <c r="C1030" s="86">
        <v>465719680.06000006</v>
      </c>
      <c r="E1030" s="86">
        <v>-31705134.799999997</v>
      </c>
      <c r="G1030" s="218">
        <v>434014545.26000005</v>
      </c>
      <c r="I1030" s="218">
        <v>434014545.26000005</v>
      </c>
      <c r="J1030" s="218">
        <v>0</v>
      </c>
      <c r="K1030" s="216" t="s">
        <v>1934</v>
      </c>
      <c r="M1030" s="84"/>
      <c r="N1030" s="310"/>
      <c r="P1030" s="150"/>
      <c r="Q1030" s="155" t="s">
        <v>649</v>
      </c>
      <c r="R1030" s="86">
        <v>0</v>
      </c>
      <c r="S1030" s="85"/>
      <c r="T1030" s="86">
        <v>38711.67</v>
      </c>
      <c r="U1030" s="84"/>
      <c r="V1030" s="215">
        <v>0</v>
      </c>
      <c r="W1030" s="215">
        <v>-5464</v>
      </c>
      <c r="Y1030" s="215">
        <v>-38711.67</v>
      </c>
      <c r="Z1030" s="215">
        <v>-3520220.12</v>
      </c>
    </row>
    <row r="1031" spans="1:30">
      <c r="A1031" s="216" t="s">
        <v>1935</v>
      </c>
      <c r="C1031" s="86">
        <v>218335201.06</v>
      </c>
      <c r="E1031" s="218">
        <v>-218335201.06</v>
      </c>
      <c r="G1031" s="218">
        <v>0</v>
      </c>
      <c r="I1031" s="218">
        <v>0</v>
      </c>
      <c r="J1031" s="218">
        <v>0</v>
      </c>
      <c r="K1031" s="242" t="s">
        <v>1936</v>
      </c>
      <c r="M1031" s="218">
        <v>-236974.55</v>
      </c>
      <c r="N1031" s="310"/>
      <c r="P1031" s="150"/>
      <c r="Q1031" s="155" t="s">
        <v>658</v>
      </c>
      <c r="R1031" s="86">
        <v>0</v>
      </c>
      <c r="S1031" s="85"/>
      <c r="T1031" s="86">
        <v>174057.99099200001</v>
      </c>
      <c r="U1031" s="84"/>
      <c r="V1031" s="215">
        <v>0</v>
      </c>
      <c r="W1031" s="215">
        <v>-31600</v>
      </c>
      <c r="Y1031" s="215">
        <v>-174057.99099200001</v>
      </c>
      <c r="Z1031" s="215">
        <v>0</v>
      </c>
    </row>
    <row r="1032" spans="1:30">
      <c r="A1032" s="216" t="s">
        <v>1937</v>
      </c>
      <c r="C1032" s="86">
        <v>603173082.66999996</v>
      </c>
      <c r="E1032" s="218">
        <v>-603173082.66999996</v>
      </c>
      <c r="G1032" s="218">
        <v>0</v>
      </c>
      <c r="I1032" s="218">
        <v>0</v>
      </c>
      <c r="J1032" s="218">
        <v>0</v>
      </c>
      <c r="K1032" s="216" t="s">
        <v>1938</v>
      </c>
      <c r="M1032" s="218">
        <v>-119471.8</v>
      </c>
      <c r="N1032" s="310"/>
      <c r="P1032" s="150"/>
      <c r="Q1032" s="316" t="s">
        <v>669</v>
      </c>
      <c r="R1032" s="86">
        <v>0</v>
      </c>
      <c r="S1032" s="85"/>
      <c r="T1032" s="86">
        <v>1001472.02</v>
      </c>
      <c r="U1032" s="84"/>
      <c r="V1032" s="215">
        <v>0</v>
      </c>
      <c r="W1032" s="215">
        <v>-10134</v>
      </c>
      <c r="Y1032" s="215">
        <v>-465034</v>
      </c>
      <c r="Z1032" s="215">
        <v>0</v>
      </c>
    </row>
    <row r="1033" spans="1:30">
      <c r="B1033" s="216" t="s">
        <v>1939</v>
      </c>
      <c r="C1033" s="218">
        <v>21179162.07</v>
      </c>
      <c r="E1033" s="218">
        <v>-21179162.07</v>
      </c>
      <c r="G1033" s="218">
        <v>0</v>
      </c>
      <c r="I1033" s="218">
        <v>0</v>
      </c>
      <c r="J1033" s="218">
        <v>0</v>
      </c>
      <c r="K1033" s="216" t="s">
        <v>1940</v>
      </c>
      <c r="M1033" s="218">
        <v>-796761.73999999987</v>
      </c>
      <c r="N1033" s="310"/>
      <c r="P1033" s="150"/>
      <c r="Q1033" s="152" t="s">
        <v>679</v>
      </c>
      <c r="R1033" s="86">
        <v>0</v>
      </c>
      <c r="S1033" s="85"/>
      <c r="T1033" s="86">
        <v>565732.34</v>
      </c>
      <c r="U1033" s="84"/>
      <c r="V1033" s="215">
        <v>0</v>
      </c>
      <c r="W1033" s="215">
        <v>-4262</v>
      </c>
      <c r="Y1033" s="215">
        <v>-565732.34</v>
      </c>
      <c r="Z1033" s="215">
        <v>0</v>
      </c>
    </row>
    <row r="1034" spans="1:30">
      <c r="B1034" s="216" t="s">
        <v>1941</v>
      </c>
      <c r="C1034" s="86">
        <v>29079897.899999999</v>
      </c>
      <c r="E1034" s="218">
        <v>-29079897.899999999</v>
      </c>
      <c r="G1034" s="218">
        <v>0</v>
      </c>
      <c r="I1034" s="218">
        <v>0</v>
      </c>
      <c r="J1034" s="218">
        <v>0</v>
      </c>
      <c r="K1034" s="216" t="s">
        <v>1942</v>
      </c>
      <c r="M1034" s="218">
        <v>756923.65299999993</v>
      </c>
      <c r="N1034" s="216" t="s">
        <v>1932</v>
      </c>
      <c r="P1034" s="156"/>
      <c r="Q1034" s="157" t="s">
        <v>1557</v>
      </c>
      <c r="R1034" s="158">
        <v>0</v>
      </c>
      <c r="S1034" s="159"/>
      <c r="T1034" s="158">
        <v>224146.37</v>
      </c>
      <c r="U1034" s="84"/>
      <c r="V1034" s="215">
        <v>0</v>
      </c>
      <c r="W1034" s="215">
        <v>-5650</v>
      </c>
      <c r="Y1034" s="215">
        <v>-224146.37</v>
      </c>
      <c r="Z1034" s="215">
        <v>0</v>
      </c>
    </row>
    <row r="1035" spans="1:30">
      <c r="A1035" s="216" t="s">
        <v>1943</v>
      </c>
      <c r="C1035" s="86">
        <v>0</v>
      </c>
      <c r="E1035" s="218">
        <v>0</v>
      </c>
      <c r="G1035" s="218">
        <v>0</v>
      </c>
      <c r="I1035" s="218">
        <v>0</v>
      </c>
      <c r="J1035" s="218">
        <v>0</v>
      </c>
      <c r="K1035" s="216" t="s">
        <v>1944</v>
      </c>
      <c r="L1035" s="84"/>
      <c r="M1035" s="218">
        <v>-9252.74</v>
      </c>
      <c r="U1035" s="215">
        <v>3146157.8295999998</v>
      </c>
    </row>
    <row r="1036" spans="1:30" ht="13.5" thickBot="1">
      <c r="A1036" s="216" t="s">
        <v>1945</v>
      </c>
      <c r="C1036" s="86">
        <v>19176327.499999996</v>
      </c>
      <c r="E1036" s="218">
        <v>40292.54</v>
      </c>
      <c r="F1036" s="215">
        <v>973450.54</v>
      </c>
      <c r="G1036" s="218">
        <v>19216620.039999995</v>
      </c>
      <c r="H1036" s="89">
        <v>0.98090166844160454</v>
      </c>
      <c r="I1036" s="218">
        <v>18849615</v>
      </c>
      <c r="J1036" s="218">
        <v>367005.03999999538</v>
      </c>
      <c r="K1036" s="216" t="s">
        <v>1946</v>
      </c>
      <c r="L1036" s="84"/>
      <c r="M1036" s="218">
        <v>-730697.9</v>
      </c>
      <c r="P1036" s="216" t="s">
        <v>1947</v>
      </c>
      <c r="R1036" s="294">
        <v>0</v>
      </c>
      <c r="S1036" s="294">
        <v>0</v>
      </c>
      <c r="T1036" s="294">
        <v>21367008.407895997</v>
      </c>
    </row>
    <row r="1037" spans="1:30" ht="13.5" thickTop="1">
      <c r="A1037" s="216" t="s">
        <v>1948</v>
      </c>
      <c r="B1037" s="299" t="s">
        <v>1939</v>
      </c>
      <c r="C1037" s="86">
        <v>2943398.9800000004</v>
      </c>
      <c r="E1037" s="218"/>
      <c r="G1037" s="218">
        <v>2943398.9800000004</v>
      </c>
      <c r="H1037" s="89">
        <v>0</v>
      </c>
      <c r="I1037" s="218">
        <v>0</v>
      </c>
      <c r="J1037" s="218">
        <v>2943398.9800000004</v>
      </c>
      <c r="K1037" s="216" t="s">
        <v>1949</v>
      </c>
      <c r="L1037" s="84"/>
      <c r="M1037" s="218">
        <v>-20142</v>
      </c>
      <c r="U1037" s="317"/>
    </row>
    <row r="1038" spans="1:30">
      <c r="A1038" s="216" t="s">
        <v>1950</v>
      </c>
      <c r="C1038" s="218">
        <v>40354804.57</v>
      </c>
      <c r="E1038" s="218">
        <v>-40354804.57</v>
      </c>
      <c r="G1038" s="218">
        <v>0</v>
      </c>
      <c r="H1038" s="85"/>
      <c r="I1038" s="218">
        <v>0</v>
      </c>
      <c r="J1038" s="218">
        <v>0</v>
      </c>
      <c r="K1038" s="216" t="s">
        <v>1951</v>
      </c>
      <c r="L1038" s="84"/>
      <c r="M1038" s="218">
        <v>-1049.326</v>
      </c>
      <c r="Q1038" s="292" t="s">
        <v>1952</v>
      </c>
      <c r="R1038" s="224" t="s">
        <v>1953</v>
      </c>
      <c r="T1038" s="224" t="s">
        <v>1954</v>
      </c>
      <c r="Z1038" s="226" t="s">
        <v>2581</v>
      </c>
    </row>
    <row r="1039" spans="1:30">
      <c r="A1039" s="216" t="s">
        <v>1955</v>
      </c>
      <c r="C1039" s="218">
        <v>729974.23210400017</v>
      </c>
      <c r="D1039" s="84"/>
      <c r="E1039" s="218">
        <v>-441837.63210400002</v>
      </c>
      <c r="F1039" s="216" t="s">
        <v>1956</v>
      </c>
      <c r="G1039" s="218">
        <v>288136.60000000015</v>
      </c>
      <c r="H1039" s="89">
        <v>0.96690940000000003</v>
      </c>
      <c r="I1039" s="218">
        <v>278602</v>
      </c>
      <c r="J1039" s="218">
        <v>9534.6000000001513</v>
      </c>
      <c r="K1039" s="216" t="s">
        <v>1957</v>
      </c>
      <c r="M1039" s="218">
        <v>-238879.10251505903</v>
      </c>
      <c r="X1039" s="225" t="s">
        <v>1958</v>
      </c>
      <c r="Y1039" s="225" t="s">
        <v>1959</v>
      </c>
    </row>
    <row r="1040" spans="1:30">
      <c r="A1040" s="216" t="s">
        <v>1960</v>
      </c>
      <c r="C1040" s="84">
        <v>146600471.49399999</v>
      </c>
      <c r="D1040" s="218">
        <v>-40701213.29999999</v>
      </c>
      <c r="E1040" s="218">
        <v>-98610966.966629371</v>
      </c>
      <c r="G1040" s="218">
        <v>7288291.2273706347</v>
      </c>
      <c r="H1040" s="89">
        <v>0.96690940000000003</v>
      </c>
      <c r="I1040" s="218">
        <v>7047117</v>
      </c>
      <c r="J1040" s="218">
        <v>241174.22737063468</v>
      </c>
      <c r="K1040" s="216" t="s">
        <v>1961</v>
      </c>
      <c r="L1040" s="84"/>
      <c r="M1040" s="218">
        <v>-325474.38117101946</v>
      </c>
      <c r="R1040" s="224" t="s">
        <v>100</v>
      </c>
      <c r="S1040" s="224" t="s">
        <v>101</v>
      </c>
      <c r="T1040" s="224" t="s">
        <v>102</v>
      </c>
      <c r="U1040" s="224" t="s">
        <v>103</v>
      </c>
      <c r="V1040" s="224" t="s">
        <v>104</v>
      </c>
      <c r="W1040" s="224" t="s">
        <v>105</v>
      </c>
      <c r="X1040" s="224" t="s">
        <v>106</v>
      </c>
      <c r="Y1040" s="224" t="s">
        <v>107</v>
      </c>
      <c r="Z1040" s="224" t="s">
        <v>1962</v>
      </c>
      <c r="AA1040" s="224" t="s">
        <v>1963</v>
      </c>
      <c r="AB1040" s="224" t="s">
        <v>1964</v>
      </c>
      <c r="AC1040" s="254" t="s">
        <v>1965</v>
      </c>
      <c r="AD1040" s="226"/>
    </row>
    <row r="1041" spans="1:32">
      <c r="A1041" s="216" t="s">
        <v>1966</v>
      </c>
      <c r="B1041" s="88"/>
      <c r="C1041" s="218">
        <v>10970292.743896008</v>
      </c>
      <c r="D1041" s="84"/>
      <c r="F1041" s="318">
        <v>10963837.349999998</v>
      </c>
      <c r="G1041" s="218">
        <v>10970292.743896008</v>
      </c>
      <c r="I1041" s="218">
        <v>0</v>
      </c>
      <c r="J1041" s="218">
        <v>10970292.743896008</v>
      </c>
      <c r="K1041" s="216" t="s">
        <v>1967</v>
      </c>
      <c r="M1041" s="218">
        <v>0</v>
      </c>
      <c r="W1041" s="224" t="s">
        <v>1968</v>
      </c>
      <c r="X1041" s="224" t="s">
        <v>1969</v>
      </c>
      <c r="Y1041" s="224" t="s">
        <v>1970</v>
      </c>
      <c r="Z1041" s="225" t="s">
        <v>1971</v>
      </c>
      <c r="AB1041" s="224" t="s">
        <v>3719</v>
      </c>
      <c r="AC1041" s="254" t="s">
        <v>3176</v>
      </c>
      <c r="AD1041" s="224" t="s">
        <v>1972</v>
      </c>
      <c r="AE1041" s="226" t="s">
        <v>1973</v>
      </c>
    </row>
    <row r="1042" spans="1:32">
      <c r="B1042" s="84" t="s">
        <v>2528</v>
      </c>
      <c r="K1042" s="216" t="s">
        <v>1974</v>
      </c>
      <c r="M1042" s="296">
        <v>0</v>
      </c>
      <c r="Q1042" s="215">
        <v>196379</v>
      </c>
      <c r="R1042" s="224" t="s">
        <v>3719</v>
      </c>
      <c r="T1042" s="224" t="s">
        <v>1968</v>
      </c>
      <c r="U1042" s="224" t="s">
        <v>1968</v>
      </c>
      <c r="V1042" s="224" t="s">
        <v>1975</v>
      </c>
      <c r="W1042" s="224" t="s">
        <v>1976</v>
      </c>
      <c r="X1042" s="224" t="s">
        <v>1977</v>
      </c>
      <c r="Y1042" s="224" t="s">
        <v>1978</v>
      </c>
      <c r="Z1042" s="225" t="s">
        <v>1979</v>
      </c>
      <c r="AB1042" s="224" t="s">
        <v>2674</v>
      </c>
      <c r="AC1042" s="226" t="s">
        <v>1980</v>
      </c>
      <c r="AD1042" s="226" t="s">
        <v>1981</v>
      </c>
      <c r="AE1042" s="226" t="s">
        <v>1982</v>
      </c>
      <c r="AF1042" s="148"/>
    </row>
    <row r="1043" spans="1:32">
      <c r="A1043" s="216" t="s">
        <v>1983</v>
      </c>
      <c r="C1043" s="319">
        <v>1558262293.28</v>
      </c>
      <c r="D1043" s="308">
        <v>-40701213.29999999</v>
      </c>
      <c r="E1043" s="308">
        <v>-1042839795.1287335</v>
      </c>
      <c r="G1043" s="308">
        <v>474721284.85126674</v>
      </c>
      <c r="I1043" s="308">
        <v>460189879.26000005</v>
      </c>
      <c r="J1043" s="308">
        <v>14531405.591266638</v>
      </c>
      <c r="K1043" s="84"/>
      <c r="L1043" s="84"/>
      <c r="M1043" s="218">
        <v>-1325495.4496860786</v>
      </c>
      <c r="R1043" s="224" t="s">
        <v>1984</v>
      </c>
      <c r="S1043" s="224" t="s">
        <v>1985</v>
      </c>
      <c r="T1043" s="224" t="s">
        <v>1976</v>
      </c>
      <c r="U1043" s="224" t="s">
        <v>1976</v>
      </c>
      <c r="V1043" s="224" t="s">
        <v>516</v>
      </c>
      <c r="W1043" s="224" t="s">
        <v>2674</v>
      </c>
      <c r="X1043" s="224" t="s">
        <v>1986</v>
      </c>
      <c r="Y1043" s="224" t="s">
        <v>1986</v>
      </c>
      <c r="AA1043" s="224" t="s">
        <v>1987</v>
      </c>
      <c r="AB1043" s="224" t="s">
        <v>1988</v>
      </c>
      <c r="AC1043" s="224" t="s">
        <v>1989</v>
      </c>
      <c r="AD1043" s="224" t="s">
        <v>1990</v>
      </c>
      <c r="AE1043" s="226" t="s">
        <v>1991</v>
      </c>
    </row>
    <row r="1044" spans="1:32">
      <c r="K1044" s="242" t="s">
        <v>1992</v>
      </c>
      <c r="L1044" s="84"/>
      <c r="M1044" s="84">
        <v>-9778.48</v>
      </c>
      <c r="R1044" s="293" t="s">
        <v>2666</v>
      </c>
      <c r="S1044" s="293" t="s">
        <v>1098</v>
      </c>
      <c r="T1044" s="293" t="s">
        <v>2674</v>
      </c>
      <c r="U1044" s="293" t="s">
        <v>2666</v>
      </c>
      <c r="V1044" s="293" t="s">
        <v>2666</v>
      </c>
      <c r="W1044" s="293" t="s">
        <v>1993</v>
      </c>
      <c r="X1044" s="293" t="s">
        <v>1994</v>
      </c>
      <c r="Y1044" s="293" t="s">
        <v>1995</v>
      </c>
      <c r="Z1044" s="231"/>
      <c r="AA1044" s="293" t="s">
        <v>1996</v>
      </c>
      <c r="AB1044" s="293" t="s">
        <v>2666</v>
      </c>
      <c r="AC1044" s="320" t="s">
        <v>1997</v>
      </c>
      <c r="AD1044" s="293" t="s">
        <v>1998</v>
      </c>
      <c r="AE1044" s="293" t="s">
        <v>1999</v>
      </c>
    </row>
    <row r="1045" spans="1:32">
      <c r="A1045" s="216" t="s">
        <v>2000</v>
      </c>
      <c r="K1045" s="216" t="s">
        <v>2001</v>
      </c>
      <c r="L1045" s="84"/>
      <c r="M1045" s="218">
        <v>0</v>
      </c>
    </row>
    <row r="1046" spans="1:32">
      <c r="A1046" s="216" t="s">
        <v>2002</v>
      </c>
      <c r="K1046" s="216" t="s">
        <v>2003</v>
      </c>
      <c r="M1046" s="218">
        <v>-36082464.121315382</v>
      </c>
      <c r="Q1046" s="218" t="s">
        <v>1910</v>
      </c>
      <c r="R1046" s="218">
        <v>3037028.05</v>
      </c>
      <c r="S1046" s="218">
        <v>2186.6601959999998</v>
      </c>
      <c r="T1046" s="321">
        <v>816817.87</v>
      </c>
      <c r="U1046" s="322">
        <v>-12997</v>
      </c>
      <c r="V1046" s="322">
        <v>-7837.85</v>
      </c>
      <c r="W1046" s="322">
        <v>0</v>
      </c>
      <c r="X1046" s="322">
        <v>0</v>
      </c>
      <c r="Y1046" s="322">
        <v>-49.37</v>
      </c>
      <c r="Z1046" s="223">
        <v>798120.31019600003</v>
      </c>
      <c r="AA1046" s="223">
        <v>-2076388</v>
      </c>
      <c r="AB1046" s="223">
        <v>-162519.73980399966</v>
      </c>
      <c r="AC1046" s="322">
        <v>0</v>
      </c>
      <c r="AD1046" s="84">
        <v>795933.65</v>
      </c>
      <c r="AE1046" s="322">
        <v>196379</v>
      </c>
    </row>
    <row r="1047" spans="1:32">
      <c r="A1047" s="216" t="s">
        <v>2004</v>
      </c>
      <c r="C1047" s="84">
        <v>939203370.49000001</v>
      </c>
      <c r="D1047" s="218">
        <v>-6218237.209999999</v>
      </c>
      <c r="E1047" s="218">
        <v>-827759836.02354038</v>
      </c>
      <c r="F1047" s="236" t="s">
        <v>2005</v>
      </c>
      <c r="G1047" s="218">
        <v>105225297.25645959</v>
      </c>
      <c r="H1047" s="89">
        <v>0.96532383419689116</v>
      </c>
      <c r="I1047" s="218">
        <v>101576487</v>
      </c>
      <c r="J1047" s="218">
        <v>3648810.2564595938</v>
      </c>
      <c r="K1047" s="216" t="s">
        <v>2006</v>
      </c>
      <c r="L1047" s="84"/>
      <c r="M1047" s="296">
        <v>119708.45000000001</v>
      </c>
      <c r="N1047" s="241" t="s">
        <v>2007</v>
      </c>
      <c r="Q1047" s="218" t="s">
        <v>588</v>
      </c>
      <c r="R1047" s="218">
        <v>4177164.19</v>
      </c>
      <c r="S1047" s="218">
        <v>3007.5582168000005</v>
      </c>
      <c r="T1047" s="321">
        <v>2049203.68</v>
      </c>
      <c r="U1047" s="322">
        <v>0</v>
      </c>
      <c r="V1047" s="322">
        <v>-12426.8</v>
      </c>
      <c r="W1047" s="322">
        <v>0</v>
      </c>
      <c r="X1047" s="322">
        <v>0</v>
      </c>
      <c r="Y1047" s="322">
        <v>-43.89</v>
      </c>
      <c r="Z1047" s="223">
        <v>2039740.5482168</v>
      </c>
      <c r="AA1047" s="223">
        <v>-2019310.63</v>
      </c>
      <c r="AB1047" s="223">
        <v>-118113.01178320032</v>
      </c>
      <c r="AC1047" s="322">
        <v>0</v>
      </c>
      <c r="AD1047" s="84">
        <v>2036732.99</v>
      </c>
      <c r="AE1047" s="322">
        <v>196379</v>
      </c>
    </row>
    <row r="1048" spans="1:32">
      <c r="A1048" s="216" t="s">
        <v>2008</v>
      </c>
      <c r="C1048" s="84">
        <v>12141344.620000001</v>
      </c>
      <c r="D1048" s="218">
        <v>-74929</v>
      </c>
      <c r="E1048" s="218">
        <v>-2217455.9897429999</v>
      </c>
      <c r="F1048" s="216" t="s">
        <v>2009</v>
      </c>
      <c r="G1048" s="218">
        <v>9848959.6302570011</v>
      </c>
      <c r="H1048" s="89">
        <v>0.96492082825822167</v>
      </c>
      <c r="I1048" s="218">
        <v>9503466</v>
      </c>
      <c r="J1048" s="218">
        <v>345493.63025700115</v>
      </c>
      <c r="K1048" s="84"/>
      <c r="L1048" s="84"/>
      <c r="M1048" s="218">
        <v>-35972534.151315376</v>
      </c>
      <c r="Q1048" s="218" t="s">
        <v>598</v>
      </c>
      <c r="R1048" s="218">
        <v>4831256.12</v>
      </c>
      <c r="S1048" s="218">
        <v>3478.5044064000003</v>
      </c>
      <c r="T1048" s="321">
        <v>7385331.3200000003</v>
      </c>
      <c r="U1048" s="322">
        <v>0</v>
      </c>
      <c r="V1048" s="322">
        <v>-14155.022696</v>
      </c>
      <c r="W1048" s="322">
        <v>0</v>
      </c>
      <c r="X1048" s="322">
        <v>0</v>
      </c>
      <c r="Y1048" s="322">
        <v>-254.52</v>
      </c>
      <c r="Z1048" s="223">
        <v>7374400.2817104012</v>
      </c>
      <c r="AA1048" s="223">
        <v>2470581</v>
      </c>
      <c r="AB1048" s="223">
        <v>72563.161710401066</v>
      </c>
      <c r="AC1048" s="322">
        <v>0</v>
      </c>
      <c r="AD1048" s="84">
        <v>7370921.7773040012</v>
      </c>
      <c r="AE1048" s="322">
        <v>196379</v>
      </c>
    </row>
    <row r="1049" spans="1:32">
      <c r="A1049" s="216" t="s">
        <v>2010</v>
      </c>
      <c r="C1049" s="84">
        <v>39017951.969999999</v>
      </c>
      <c r="E1049" s="218">
        <v>-2161434.1433850001</v>
      </c>
      <c r="F1049" s="216" t="s">
        <v>2011</v>
      </c>
      <c r="G1049" s="218">
        <v>36856517.826614998</v>
      </c>
      <c r="H1049" s="89">
        <v>0.99776083272815297</v>
      </c>
      <c r="I1049" s="218">
        <v>36773990</v>
      </c>
      <c r="J1049" s="218">
        <v>82527.826614998281</v>
      </c>
      <c r="Q1049" s="218" t="s">
        <v>609</v>
      </c>
      <c r="R1049" s="218">
        <v>5221731.63</v>
      </c>
      <c r="S1049" s="218">
        <v>3759.6467736</v>
      </c>
      <c r="T1049" s="321">
        <v>12848142.280000001</v>
      </c>
      <c r="U1049" s="322">
        <v>0</v>
      </c>
      <c r="V1049" s="322">
        <v>-19517.48</v>
      </c>
      <c r="W1049" s="322">
        <v>0</v>
      </c>
      <c r="X1049" s="322">
        <v>0</v>
      </c>
      <c r="Y1049" s="322">
        <v>-62.54</v>
      </c>
      <c r="Z1049" s="223">
        <v>12832321.906773601</v>
      </c>
      <c r="AA1049" s="223">
        <v>7342540</v>
      </c>
      <c r="AB1049" s="223">
        <v>268050.27677360084</v>
      </c>
      <c r="AC1049" s="322">
        <v>0</v>
      </c>
      <c r="AD1049" s="84">
        <v>12828562.260000002</v>
      </c>
      <c r="AE1049" s="322">
        <v>196379</v>
      </c>
    </row>
    <row r="1050" spans="1:32">
      <c r="A1050" s="216" t="s">
        <v>2012</v>
      </c>
      <c r="C1050" s="84">
        <v>21355404.049999997</v>
      </c>
      <c r="E1050" s="84"/>
      <c r="G1050" s="218">
        <v>21355404.049999997</v>
      </c>
      <c r="H1050" s="89">
        <v>0.99980156105304929</v>
      </c>
      <c r="I1050" s="218">
        <v>21351166</v>
      </c>
      <c r="J1050" s="218">
        <v>4238.0499999970198</v>
      </c>
      <c r="Q1050" s="218" t="s">
        <v>618</v>
      </c>
      <c r="R1050" s="218">
        <v>4963352.2300000004</v>
      </c>
      <c r="S1050" s="218">
        <v>3573.6136056000005</v>
      </c>
      <c r="T1050" s="321">
        <v>8563228.9900000002</v>
      </c>
      <c r="U1050" s="322">
        <v>0</v>
      </c>
      <c r="V1050" s="322">
        <v>-17995.23</v>
      </c>
      <c r="W1050" s="322">
        <v>0</v>
      </c>
      <c r="X1050" s="322">
        <v>0</v>
      </c>
      <c r="Y1050" s="322">
        <v>-41.93</v>
      </c>
      <c r="Z1050" s="223">
        <v>8548765.4436055999</v>
      </c>
      <c r="AA1050" s="223">
        <v>3467423</v>
      </c>
      <c r="AB1050" s="223">
        <v>117990.21360559948</v>
      </c>
      <c r="AC1050" s="322">
        <v>0</v>
      </c>
      <c r="AD1050" s="84">
        <v>8545191.8300000001</v>
      </c>
      <c r="AE1050" s="322">
        <v>196379</v>
      </c>
    </row>
    <row r="1051" spans="1:32">
      <c r="A1051" s="216" t="s">
        <v>2013</v>
      </c>
      <c r="C1051" s="84">
        <v>0</v>
      </c>
      <c r="D1051" s="218">
        <v>0</v>
      </c>
      <c r="G1051" s="218">
        <v>0</v>
      </c>
      <c r="H1051" s="89">
        <v>0.20186519999999999</v>
      </c>
      <c r="I1051" s="218">
        <v>0</v>
      </c>
      <c r="J1051" s="218">
        <v>0</v>
      </c>
      <c r="K1051" s="216" t="s">
        <v>2014</v>
      </c>
      <c r="M1051" s="218">
        <v>-7684.47</v>
      </c>
      <c r="Q1051" s="218" t="s">
        <v>629</v>
      </c>
      <c r="R1051" s="218">
        <v>4576462.8499999996</v>
      </c>
      <c r="S1051" s="218">
        <v>3295.0532520000002</v>
      </c>
      <c r="T1051" s="321">
        <v>6462318.5600000005</v>
      </c>
      <c r="U1051" s="322">
        <v>0</v>
      </c>
      <c r="V1051" s="322">
        <v>-19890.490400000002</v>
      </c>
      <c r="W1051" s="322">
        <v>0</v>
      </c>
      <c r="X1051" s="322">
        <v>0</v>
      </c>
      <c r="Y1051" s="322">
        <v>-7.44</v>
      </c>
      <c r="Z1051" s="223">
        <v>6445715.6828520009</v>
      </c>
      <c r="AA1051" s="223">
        <v>1831279</v>
      </c>
      <c r="AB1051" s="223">
        <v>37973.832852001302</v>
      </c>
      <c r="AC1051" s="322">
        <v>0</v>
      </c>
      <c r="AD1051" s="84">
        <v>6442420.6296000006</v>
      </c>
      <c r="AE1051" s="322">
        <v>196379</v>
      </c>
    </row>
    <row r="1052" spans="1:32">
      <c r="A1052" s="216" t="s">
        <v>2015</v>
      </c>
      <c r="C1052" s="84">
        <v>21682118.57</v>
      </c>
      <c r="E1052" s="218">
        <v>-7799775.2800000003</v>
      </c>
      <c r="F1052" s="216" t="s">
        <v>2016</v>
      </c>
      <c r="G1052" s="218">
        <v>13882343.289999999</v>
      </c>
      <c r="H1052" s="89">
        <v>1</v>
      </c>
      <c r="I1052" s="218">
        <v>13882343</v>
      </c>
      <c r="J1052" s="218">
        <v>0.28999999910593033</v>
      </c>
      <c r="K1052" s="216" t="s">
        <v>2017</v>
      </c>
      <c r="M1052" s="218">
        <v>-424484.53</v>
      </c>
      <c r="Q1052" s="218" t="s">
        <v>639</v>
      </c>
      <c r="R1052" s="218">
        <v>3380435.36</v>
      </c>
      <c r="S1052" s="218">
        <v>2433.9134592</v>
      </c>
      <c r="T1052" s="321">
        <v>1866838.87</v>
      </c>
      <c r="U1052" s="322">
        <v>0</v>
      </c>
      <c r="V1052" s="322">
        <v>-18890.810000000001</v>
      </c>
      <c r="W1052" s="322">
        <v>0</v>
      </c>
      <c r="X1052" s="322">
        <v>0</v>
      </c>
      <c r="Y1052" s="322">
        <v>-4.38</v>
      </c>
      <c r="Z1052" s="223">
        <v>1850377.5934592001</v>
      </c>
      <c r="AA1052" s="223">
        <v>-1422623.45</v>
      </c>
      <c r="AB1052" s="223">
        <v>-107434.3165407998</v>
      </c>
      <c r="AC1052" s="322">
        <v>0</v>
      </c>
      <c r="AD1052" s="84">
        <v>1847943.6800000002</v>
      </c>
      <c r="AE1052" s="322">
        <v>196379</v>
      </c>
    </row>
    <row r="1053" spans="1:32">
      <c r="A1053" s="216" t="s">
        <v>2018</v>
      </c>
      <c r="C1053" s="84">
        <v>916233.54</v>
      </c>
      <c r="E1053" s="86">
        <v>-159309.88699999999</v>
      </c>
      <c r="F1053" s="216" t="s">
        <v>2019</v>
      </c>
      <c r="G1053" s="218">
        <v>756923.65300000005</v>
      </c>
      <c r="H1053" s="89">
        <v>1</v>
      </c>
      <c r="I1053" s="218">
        <v>756924</v>
      </c>
      <c r="J1053" s="218">
        <v>-0.3469999999506399</v>
      </c>
      <c r="K1053" s="216" t="s">
        <v>2020</v>
      </c>
      <c r="M1053" s="218">
        <v>-16628.541232215564</v>
      </c>
      <c r="Q1053" s="218" t="s">
        <v>649</v>
      </c>
      <c r="R1053" s="218">
        <v>2966462.04</v>
      </c>
      <c r="S1053" s="218">
        <v>2135.8526688000002</v>
      </c>
      <c r="T1053" s="321">
        <v>1452518.9</v>
      </c>
      <c r="U1053" s="322">
        <v>0</v>
      </c>
      <c r="V1053" s="322">
        <v>-10550.2</v>
      </c>
      <c r="W1053" s="322">
        <v>0</v>
      </c>
      <c r="X1053" s="322">
        <v>0</v>
      </c>
      <c r="Y1053" s="322">
        <v>0</v>
      </c>
      <c r="Z1053" s="223">
        <v>1444104.5526687999</v>
      </c>
      <c r="AA1053" s="223">
        <v>-1384864</v>
      </c>
      <c r="AB1053" s="223">
        <v>-137493.48733120016</v>
      </c>
      <c r="AC1053" s="322">
        <v>0</v>
      </c>
      <c r="AD1053" s="84">
        <v>1441968.7</v>
      </c>
      <c r="AE1053" s="322">
        <v>196379</v>
      </c>
    </row>
    <row r="1054" spans="1:32">
      <c r="A1054" s="216" t="s">
        <v>2021</v>
      </c>
      <c r="C1054" s="84">
        <v>70907870.560000002</v>
      </c>
      <c r="D1054" s="218">
        <v>-2695527</v>
      </c>
      <c r="E1054" s="86">
        <v>-1325495.4496860786</v>
      </c>
      <c r="F1054" s="216" t="s">
        <v>2022</v>
      </c>
      <c r="G1054" s="218">
        <v>66886848.110313922</v>
      </c>
      <c r="H1054" s="89">
        <v>0.97870865991206268</v>
      </c>
      <c r="I1054" s="218">
        <v>65462737</v>
      </c>
      <c r="J1054" s="218">
        <v>1424111.1103139222</v>
      </c>
      <c r="K1054" s="216" t="s">
        <v>2023</v>
      </c>
      <c r="M1054" s="218">
        <v>-39772382.774000004</v>
      </c>
      <c r="N1054" s="218">
        <v>-8712452.0999999996</v>
      </c>
      <c r="Q1054" s="218" t="s">
        <v>658</v>
      </c>
      <c r="R1054" s="218">
        <v>4099888.74</v>
      </c>
      <c r="S1054" s="218">
        <v>2951.9198928000005</v>
      </c>
      <c r="T1054" s="321">
        <v>1213148.93</v>
      </c>
      <c r="U1054" s="322">
        <v>-5365</v>
      </c>
      <c r="V1054" s="322">
        <v>-38165.879008000004</v>
      </c>
      <c r="W1054" s="322">
        <v>0</v>
      </c>
      <c r="X1054" s="322">
        <v>0</v>
      </c>
      <c r="Y1054" s="322">
        <v>-360.07</v>
      </c>
      <c r="Z1054" s="223">
        <v>1172209.9008847999</v>
      </c>
      <c r="AA1054" s="223">
        <v>-2758993</v>
      </c>
      <c r="AB1054" s="223">
        <v>-168685.83911520056</v>
      </c>
      <c r="AC1054" s="322">
        <v>0</v>
      </c>
      <c r="AD1054" s="84">
        <v>1169257.9809919999</v>
      </c>
      <c r="AE1054" s="322">
        <v>196379</v>
      </c>
    </row>
    <row r="1055" spans="1:32">
      <c r="C1055" s="302"/>
      <c r="D1055" s="231"/>
      <c r="E1055" s="231"/>
      <c r="G1055" s="231"/>
      <c r="H1055" s="85"/>
      <c r="I1055" s="231"/>
      <c r="J1055" s="231"/>
      <c r="K1055" s="216" t="s">
        <v>2024</v>
      </c>
      <c r="M1055" s="218">
        <v>-181978.91999999998</v>
      </c>
      <c r="N1055" s="292" t="s">
        <v>1932</v>
      </c>
      <c r="Q1055" s="218" t="s">
        <v>669</v>
      </c>
      <c r="R1055" s="218">
        <v>3795542.01</v>
      </c>
      <c r="S1055" s="218">
        <v>2732.7902472000001</v>
      </c>
      <c r="T1055" s="321">
        <v>2157204.04</v>
      </c>
      <c r="U1055" s="322">
        <v>-5527</v>
      </c>
      <c r="V1055" s="322">
        <v>-14827.82</v>
      </c>
      <c r="W1055" s="322">
        <v>0</v>
      </c>
      <c r="X1055" s="322">
        <v>0</v>
      </c>
      <c r="Y1055" s="322">
        <v>-27.49</v>
      </c>
      <c r="Z1055" s="223">
        <v>2139554.5202472</v>
      </c>
      <c r="AA1055" s="223">
        <v>-1542507.92</v>
      </c>
      <c r="AB1055" s="223">
        <v>-113479.56975279981</v>
      </c>
      <c r="AC1055" s="322">
        <v>0</v>
      </c>
      <c r="AD1055" s="84">
        <v>2136821.73</v>
      </c>
      <c r="AE1055" s="322">
        <v>196379</v>
      </c>
    </row>
    <row r="1056" spans="1:32">
      <c r="A1056" s="216" t="s">
        <v>2025</v>
      </c>
      <c r="B1056" s="88"/>
      <c r="C1056" s="218">
        <v>1105224293.8</v>
      </c>
      <c r="D1056" s="218">
        <v>-8988693.209999999</v>
      </c>
      <c r="E1056" s="218">
        <v>-841423306.77335441</v>
      </c>
      <c r="G1056" s="218">
        <v>254812293.8166455</v>
      </c>
      <c r="H1056" s="85"/>
      <c r="I1056" s="218">
        <v>249307113</v>
      </c>
      <c r="J1056" s="218">
        <v>5505180.8166455114</v>
      </c>
      <c r="K1056" s="216" t="s">
        <v>2026</v>
      </c>
      <c r="M1056" s="86">
        <v>-1037926</v>
      </c>
      <c r="Q1056" s="218" t="s">
        <v>679</v>
      </c>
      <c r="R1056" s="218">
        <v>3279472.63</v>
      </c>
      <c r="S1056" s="218">
        <v>2361.2202935999999</v>
      </c>
      <c r="T1056" s="321">
        <v>1638687.44</v>
      </c>
      <c r="U1056" s="322">
        <v>0</v>
      </c>
      <c r="V1056" s="322">
        <v>-7433.5</v>
      </c>
      <c r="W1056" s="322">
        <v>0</v>
      </c>
      <c r="X1056" s="322">
        <v>0</v>
      </c>
      <c r="Y1056" s="322">
        <v>-6.11</v>
      </c>
      <c r="Z1056" s="223">
        <v>1633609.0502936</v>
      </c>
      <c r="AA1056" s="223">
        <v>-1514435</v>
      </c>
      <c r="AB1056" s="223">
        <v>-131428.57970639993</v>
      </c>
      <c r="AC1056" s="322">
        <v>0</v>
      </c>
      <c r="AD1056" s="84">
        <v>1631247.8299999998</v>
      </c>
      <c r="AE1056" s="322">
        <v>196379</v>
      </c>
    </row>
    <row r="1057" spans="1:33">
      <c r="C1057" s="84"/>
      <c r="H1057" s="85"/>
      <c r="K1057" s="216" t="s">
        <v>2027</v>
      </c>
      <c r="L1057" s="84"/>
      <c r="M1057" s="218">
        <v>-109532.49456240002</v>
      </c>
      <c r="Q1057" s="218" t="s">
        <v>1557</v>
      </c>
      <c r="R1057" s="223">
        <v>2947329.31</v>
      </c>
      <c r="S1057" s="223">
        <v>2122.0771032000007</v>
      </c>
      <c r="T1057" s="321">
        <v>1343828.7200000002</v>
      </c>
      <c r="U1057" s="322">
        <v>-817</v>
      </c>
      <c r="V1057" s="322">
        <v>-8821.5</v>
      </c>
      <c r="W1057" s="322">
        <v>0</v>
      </c>
      <c r="X1057" s="322">
        <v>0</v>
      </c>
      <c r="Y1057" s="322">
        <v>-28.44</v>
      </c>
      <c r="Z1057" s="223">
        <v>1336283.8571032002</v>
      </c>
      <c r="AA1057" s="223">
        <v>-1469037.23</v>
      </c>
      <c r="AB1057" s="223">
        <v>-142008.22289679991</v>
      </c>
      <c r="AC1057" s="322">
        <v>0</v>
      </c>
      <c r="AD1057" s="302">
        <v>1334161.7800000003</v>
      </c>
      <c r="AE1057" s="302">
        <v>196379</v>
      </c>
    </row>
    <row r="1058" spans="1:33">
      <c r="A1058" s="216" t="s">
        <v>2028</v>
      </c>
      <c r="C1058" s="84">
        <v>121523024.53999999</v>
      </c>
      <c r="D1058" s="218">
        <v>-5484279.8000000007</v>
      </c>
      <c r="E1058" s="84">
        <v>-36082464.121315382</v>
      </c>
      <c r="F1058" s="216" t="s">
        <v>2029</v>
      </c>
      <c r="G1058" s="218">
        <v>79956280.61868462</v>
      </c>
      <c r="H1058" s="89">
        <v>0.97529234251225949</v>
      </c>
      <c r="I1058" s="218">
        <v>77980748</v>
      </c>
      <c r="J1058" s="218">
        <v>1975532.6186846197</v>
      </c>
      <c r="K1058" s="216" t="s">
        <v>2030</v>
      </c>
      <c r="M1058" s="218">
        <v>-34038.810115200002</v>
      </c>
      <c r="R1058" s="323"/>
      <c r="S1058" s="323"/>
      <c r="T1058" s="323"/>
      <c r="U1058" s="323"/>
      <c r="V1058" s="323"/>
      <c r="W1058" s="323"/>
      <c r="X1058" s="280"/>
      <c r="Y1058" s="280"/>
      <c r="Z1058" s="280"/>
      <c r="AA1058" s="280"/>
      <c r="AB1058" s="280"/>
      <c r="AC1058" s="280"/>
    </row>
    <row r="1059" spans="1:33" ht="13.5" thickBot="1">
      <c r="A1059" s="216" t="s">
        <v>2031</v>
      </c>
      <c r="C1059" s="84">
        <v>5155309.7899999991</v>
      </c>
      <c r="E1059" s="84">
        <v>109929.97000000002</v>
      </c>
      <c r="F1059" s="216" t="s">
        <v>2029</v>
      </c>
      <c r="G1059" s="218">
        <v>5265239.7599999988</v>
      </c>
      <c r="H1059" s="89">
        <v>0.97529234251225949</v>
      </c>
      <c r="I1059" s="84">
        <v>5135148</v>
      </c>
      <c r="J1059" s="218">
        <v>130091.75999999885</v>
      </c>
      <c r="K1059" s="216" t="s">
        <v>2032</v>
      </c>
      <c r="L1059" s="84"/>
      <c r="M1059" s="296">
        <v>-621097.84515540302</v>
      </c>
      <c r="Q1059" s="216" t="s">
        <v>1947</v>
      </c>
      <c r="R1059" s="294">
        <v>47276125.160000004</v>
      </c>
      <c r="S1059" s="294">
        <v>34038.810115200002</v>
      </c>
      <c r="T1059" s="294">
        <v>47797269.599999994</v>
      </c>
      <c r="U1059" s="294">
        <v>-24706</v>
      </c>
      <c r="V1059" s="294">
        <v>-190512.582104</v>
      </c>
      <c r="W1059" s="294">
        <v>0</v>
      </c>
      <c r="X1059" s="294">
        <v>0</v>
      </c>
      <c r="Y1059" s="294">
        <v>-886.18000000000006</v>
      </c>
      <c r="Z1059" s="294">
        <v>47615203.648011208</v>
      </c>
      <c r="AA1059" s="294">
        <v>923663.77000000188</v>
      </c>
      <c r="AB1059" s="294">
        <v>-584585.28198879748</v>
      </c>
      <c r="AC1059" s="294">
        <v>0</v>
      </c>
      <c r="AD1059" s="294"/>
      <c r="AE1059" s="294">
        <v>2356548</v>
      </c>
    </row>
    <row r="1060" spans="1:33" ht="13.5" thickTop="1">
      <c r="A1060" s="216" t="s">
        <v>2033</v>
      </c>
      <c r="C1060" s="218">
        <v>-1494982</v>
      </c>
      <c r="D1060" s="218">
        <v>332483</v>
      </c>
      <c r="G1060" s="218">
        <v>-1162499</v>
      </c>
      <c r="H1060" s="89">
        <v>0.97531687791861243</v>
      </c>
      <c r="I1060" s="218">
        <v>-1133805</v>
      </c>
      <c r="J1060" s="218">
        <v>-28694</v>
      </c>
      <c r="K1060" s="84"/>
      <c r="L1060" s="84"/>
      <c r="M1060" s="218">
        <v>-42205754.385065228</v>
      </c>
      <c r="N1060" s="217" t="s">
        <v>3531</v>
      </c>
      <c r="R1060" s="84"/>
      <c r="S1060" s="84"/>
      <c r="U1060" s="84"/>
      <c r="W1060" s="322"/>
    </row>
    <row r="1061" spans="1:33">
      <c r="A1061" s="216" t="s">
        <v>2034</v>
      </c>
      <c r="C1061" s="84">
        <v>69840278.824250013</v>
      </c>
      <c r="D1061" s="218">
        <v>-1080878</v>
      </c>
      <c r="E1061" s="86">
        <v>-42205754.385065228</v>
      </c>
      <c r="F1061" s="216" t="s">
        <v>2035</v>
      </c>
      <c r="G1061" s="218">
        <v>26553646.439184785</v>
      </c>
      <c r="H1061" s="89">
        <v>0.97579292467215617</v>
      </c>
      <c r="I1061" s="218">
        <v>25910860</v>
      </c>
      <c r="J1061" s="218">
        <v>642786.43918478489</v>
      </c>
      <c r="K1061" s="216" t="s">
        <v>2036</v>
      </c>
      <c r="M1061" s="218">
        <v>-1037631069.8187336</v>
      </c>
      <c r="N1061" s="84">
        <v>-1037631069.8187335</v>
      </c>
      <c r="O1061" s="84">
        <v>0</v>
      </c>
      <c r="Q1061" s="216" t="s">
        <v>1371</v>
      </c>
      <c r="U1061" s="84"/>
      <c r="AE1061" s="226" t="s">
        <v>2037</v>
      </c>
    </row>
    <row r="1062" spans="1:33">
      <c r="A1062" s="216" t="s">
        <v>2038</v>
      </c>
      <c r="C1062" s="84">
        <v>31600125.685749996</v>
      </c>
      <c r="E1062" s="215">
        <v>-31600125.685749996</v>
      </c>
      <c r="G1062" s="218">
        <v>0</v>
      </c>
      <c r="H1062" s="89">
        <v>1</v>
      </c>
      <c r="I1062" s="218">
        <v>0</v>
      </c>
      <c r="K1062" s="216" t="s">
        <v>2039</v>
      </c>
      <c r="M1062" s="218">
        <v>-951201720.99548495</v>
      </c>
      <c r="N1062" s="84">
        <v>-951201718.51256788</v>
      </c>
      <c r="O1062" s="84">
        <v>-2.4829170703887939</v>
      </c>
      <c r="R1062" s="231"/>
      <c r="S1062" s="231"/>
      <c r="T1062" s="231"/>
      <c r="U1062" s="231"/>
      <c r="V1062" s="231"/>
      <c r="W1062" s="231"/>
      <c r="X1062" s="231"/>
      <c r="Y1062" s="231"/>
      <c r="Z1062" s="231"/>
      <c r="AA1062" s="231"/>
      <c r="AB1062" s="231"/>
      <c r="AC1062" s="231"/>
      <c r="AD1062" s="231"/>
      <c r="AE1062" s="160" t="s">
        <v>2040</v>
      </c>
      <c r="AG1062" s="216" t="s">
        <v>2041</v>
      </c>
    </row>
    <row r="1063" spans="1:33">
      <c r="A1063" s="216" t="s">
        <v>2042</v>
      </c>
      <c r="C1063" s="84">
        <v>64515086.100000009</v>
      </c>
      <c r="D1063" s="84">
        <v>-6323273.3998633325</v>
      </c>
      <c r="E1063" s="86">
        <v>-35349387</v>
      </c>
      <c r="F1063" s="216" t="s">
        <v>2043</v>
      </c>
      <c r="G1063" s="218">
        <v>22842425.700136676</v>
      </c>
      <c r="H1063" s="86">
        <v>0</v>
      </c>
      <c r="I1063" s="218">
        <v>20894831</v>
      </c>
      <c r="J1063" s="218">
        <v>1947594.7001366764</v>
      </c>
      <c r="K1063" s="216" t="s">
        <v>2044</v>
      </c>
      <c r="M1063" s="84">
        <v>0</v>
      </c>
      <c r="N1063" s="88" t="s">
        <v>3501</v>
      </c>
      <c r="Q1063" s="218" t="s">
        <v>1910</v>
      </c>
      <c r="R1063" s="218">
        <v>3037028.05</v>
      </c>
      <c r="S1063" s="218">
        <v>2186.6601959999998</v>
      </c>
      <c r="T1063" s="218">
        <v>787588.85933991999</v>
      </c>
      <c r="U1063" s="218">
        <v>-12531.915352</v>
      </c>
      <c r="V1063" s="218">
        <v>-7557.3803755999998</v>
      </c>
      <c r="W1063" s="218">
        <v>0</v>
      </c>
      <c r="X1063" s="218">
        <v>0</v>
      </c>
      <c r="Y1063" s="218">
        <v>-47.603343919999993</v>
      </c>
      <c r="Z1063" s="218">
        <v>769638.62046440004</v>
      </c>
      <c r="AA1063" s="218">
        <v>-2076388</v>
      </c>
      <c r="AB1063" s="218">
        <v>-191001.42953559989</v>
      </c>
      <c r="AC1063" s="273">
        <v>0</v>
      </c>
      <c r="AE1063" s="90">
        <v>0.96421599999999996</v>
      </c>
    </row>
    <row r="1064" spans="1:33">
      <c r="A1064" s="216" t="s">
        <v>2045</v>
      </c>
      <c r="C1064" s="84"/>
      <c r="D1064" s="84"/>
      <c r="E1064" s="86">
        <v>6495162</v>
      </c>
      <c r="G1064" s="218">
        <v>6495162</v>
      </c>
      <c r="H1064" s="85"/>
      <c r="I1064" s="218">
        <v>6085943</v>
      </c>
      <c r="J1064" s="218">
        <v>409219</v>
      </c>
      <c r="K1064" s="84"/>
      <c r="M1064" s="84"/>
      <c r="N1064" s="84"/>
      <c r="Q1064" s="218" t="s">
        <v>588</v>
      </c>
      <c r="R1064" s="218">
        <v>4177164.19</v>
      </c>
      <c r="S1064" s="218">
        <v>3007.5582168000005</v>
      </c>
      <c r="T1064" s="218">
        <v>1975874.9755148799</v>
      </c>
      <c r="U1064" s="218">
        <v>0</v>
      </c>
      <c r="V1064" s="218">
        <v>-11982.119388799998</v>
      </c>
      <c r="W1064" s="218">
        <v>0</v>
      </c>
      <c r="X1064" s="218">
        <v>0</v>
      </c>
      <c r="Y1064" s="218">
        <v>-42.319440239999999</v>
      </c>
      <c r="Z1064" s="218">
        <v>1966858.0949026397</v>
      </c>
      <c r="AA1064" s="218">
        <v>-2019310.63</v>
      </c>
      <c r="AB1064" s="218">
        <v>-190995.46509736031</v>
      </c>
      <c r="AC1064" s="273">
        <v>0</v>
      </c>
      <c r="AE1064" s="90">
        <v>0.96421599999999996</v>
      </c>
    </row>
    <row r="1065" spans="1:33">
      <c r="H1065" s="85"/>
      <c r="K1065" s="241" t="s">
        <v>2046</v>
      </c>
      <c r="M1065" s="86">
        <v>-91638074.133248627</v>
      </c>
      <c r="N1065" s="143" t="s">
        <v>2047</v>
      </c>
      <c r="O1065" s="86">
        <v>91638076.616165578</v>
      </c>
      <c r="Q1065" s="218" t="s">
        <v>598</v>
      </c>
      <c r="R1065" s="218">
        <v>4831256.12</v>
      </c>
      <c r="S1065" s="218">
        <v>3478.5044064000003</v>
      </c>
      <c r="T1065" s="218">
        <v>7121054.6240451196</v>
      </c>
      <c r="U1065" s="218">
        <v>0</v>
      </c>
      <c r="V1065" s="218">
        <v>-13648.499363846335</v>
      </c>
      <c r="W1065" s="218">
        <v>0</v>
      </c>
      <c r="X1065" s="218">
        <v>0</v>
      </c>
      <c r="Y1065" s="218">
        <v>-245.41225632000001</v>
      </c>
      <c r="Z1065" s="218">
        <v>7110639.2168313535</v>
      </c>
      <c r="AA1065" s="218">
        <v>2470581</v>
      </c>
      <c r="AB1065" s="218">
        <v>-191197.90316864662</v>
      </c>
      <c r="AC1065" s="273">
        <v>0</v>
      </c>
      <c r="AE1065" s="90">
        <v>0.96421599999999996</v>
      </c>
    </row>
    <row r="1066" spans="1:33">
      <c r="A1066" s="216" t="s">
        <v>2048</v>
      </c>
      <c r="C1066" s="308">
        <v>1396363136.7399998</v>
      </c>
      <c r="D1066" s="308">
        <v>-21544641.40986333</v>
      </c>
      <c r="E1066" s="308">
        <v>-980055945.99548495</v>
      </c>
      <c r="G1066" s="308">
        <v>394762549.33465159</v>
      </c>
      <c r="H1066" s="85"/>
      <c r="I1066" s="308">
        <v>384180838</v>
      </c>
      <c r="J1066" s="308">
        <v>10581711.334651591</v>
      </c>
      <c r="K1066" s="216" t="s">
        <v>2049</v>
      </c>
      <c r="M1066" s="268">
        <v>0.38574999999999998</v>
      </c>
      <c r="O1066" s="85" t="s">
        <v>3752</v>
      </c>
      <c r="Q1066" s="218" t="s">
        <v>609</v>
      </c>
      <c r="R1066" s="218">
        <v>5221731.63</v>
      </c>
      <c r="S1066" s="218">
        <v>3759.6467736</v>
      </c>
      <c r="T1066" s="218">
        <v>12388384.356652481</v>
      </c>
      <c r="U1066" s="218">
        <v>0</v>
      </c>
      <c r="V1066" s="218">
        <v>-18819.066495679999</v>
      </c>
      <c r="W1066" s="218">
        <v>0</v>
      </c>
      <c r="X1066" s="218">
        <v>0</v>
      </c>
      <c r="Y1066" s="218">
        <v>-60.302068639999995</v>
      </c>
      <c r="Z1066" s="218">
        <v>12373264.634861762</v>
      </c>
      <c r="AA1066" s="218">
        <v>7342540</v>
      </c>
      <c r="AB1066" s="218">
        <v>-191006.99513823818</v>
      </c>
      <c r="AC1066" s="273">
        <v>0</v>
      </c>
      <c r="AE1066" s="90">
        <v>0.96421599999999996</v>
      </c>
    </row>
    <row r="1067" spans="1:33">
      <c r="C1067" s="88"/>
      <c r="H1067" s="86">
        <v>56907.67225577624</v>
      </c>
      <c r="M1067" s="219" t="s">
        <v>1583</v>
      </c>
      <c r="O1067" s="85">
        <v>2.4829169511795044</v>
      </c>
      <c r="Q1067" s="218" t="s">
        <v>618</v>
      </c>
      <c r="R1067" s="218">
        <v>4963352.2300000004</v>
      </c>
      <c r="S1067" s="218">
        <v>3573.6136056000005</v>
      </c>
      <c r="T1067" s="218">
        <v>8256802.40382184</v>
      </c>
      <c r="U1067" s="218">
        <v>0</v>
      </c>
      <c r="V1067" s="218">
        <v>-17351.288689679997</v>
      </c>
      <c r="W1067" s="218">
        <v>0</v>
      </c>
      <c r="X1067" s="218">
        <v>0</v>
      </c>
      <c r="Y1067" s="218">
        <v>-40.429576879999999</v>
      </c>
      <c r="Z1067" s="218">
        <v>8242984.2991608791</v>
      </c>
      <c r="AA1067" s="218">
        <v>3467423</v>
      </c>
      <c r="AB1067" s="218">
        <v>-187790.93083912134</v>
      </c>
      <c r="AC1067" s="273">
        <v>0</v>
      </c>
      <c r="AE1067" s="90">
        <v>0.96421599999999996</v>
      </c>
    </row>
    <row r="1068" spans="1:33" ht="13.5" thickBot="1">
      <c r="A1068" s="216" t="s">
        <v>1482</v>
      </c>
      <c r="C1068" s="294">
        <v>161899156.5400002</v>
      </c>
      <c r="D1068" s="294">
        <v>-19156571.890136659</v>
      </c>
      <c r="E1068" s="161">
        <v>-62783849.133248568</v>
      </c>
      <c r="F1068" s="84"/>
      <c r="G1068" s="294">
        <v>79958735.516615152</v>
      </c>
      <c r="I1068" s="294">
        <v>76009041.26000005</v>
      </c>
      <c r="J1068" s="294">
        <v>3949694.2566150464</v>
      </c>
      <c r="K1068" s="216" t="s">
        <v>2050</v>
      </c>
      <c r="M1068" s="218">
        <v>-35349387</v>
      </c>
      <c r="Q1068" s="218" t="s">
        <v>629</v>
      </c>
      <c r="R1068" s="218">
        <v>4576462.8499999996</v>
      </c>
      <c r="S1068" s="218">
        <v>3295.0532520000002</v>
      </c>
      <c r="T1068" s="218">
        <v>6231070.9526489601</v>
      </c>
      <c r="U1068" s="218">
        <v>0</v>
      </c>
      <c r="V1068" s="218">
        <v>-19178.729091526402</v>
      </c>
      <c r="W1068" s="218">
        <v>0</v>
      </c>
      <c r="X1068" s="218">
        <v>0</v>
      </c>
      <c r="Y1068" s="218">
        <v>-7.1737670400000004</v>
      </c>
      <c r="Z1068" s="218">
        <v>6215180.1030423949</v>
      </c>
      <c r="AA1068" s="218">
        <v>1831279</v>
      </c>
      <c r="AB1068" s="218">
        <v>-192561.74695760477</v>
      </c>
      <c r="AC1068" s="273">
        <v>0</v>
      </c>
      <c r="AE1068" s="90">
        <v>0.96421599999999996</v>
      </c>
    </row>
    <row r="1069" spans="1:33" ht="13.5" thickTop="1">
      <c r="Q1069" s="218" t="s">
        <v>639</v>
      </c>
      <c r="R1069" s="218">
        <v>3380435.36</v>
      </c>
      <c r="S1069" s="218">
        <v>2433.9134592</v>
      </c>
      <c r="T1069" s="218">
        <v>1800035.9078759199</v>
      </c>
      <c r="U1069" s="218">
        <v>0</v>
      </c>
      <c r="V1069" s="218">
        <v>-18214.821254959999</v>
      </c>
      <c r="W1069" s="218">
        <v>0</v>
      </c>
      <c r="X1069" s="218">
        <v>0</v>
      </c>
      <c r="Y1069" s="218">
        <v>-4.2232660800000001</v>
      </c>
      <c r="Z1069" s="218">
        <v>1784250.7768140798</v>
      </c>
      <c r="AA1069" s="218">
        <v>-1422623.45</v>
      </c>
      <c r="AB1069" s="218">
        <v>-173561.13318592007</v>
      </c>
      <c r="AC1069" s="273">
        <v>0</v>
      </c>
      <c r="AE1069" s="90">
        <v>0.96421599999999996</v>
      </c>
    </row>
    <row r="1070" spans="1:33">
      <c r="H1070" s="224" t="s">
        <v>2051</v>
      </c>
      <c r="I1070" s="224" t="s">
        <v>2052</v>
      </c>
      <c r="J1070" s="224" t="s">
        <v>2053</v>
      </c>
      <c r="K1070" s="216" t="s">
        <v>2054</v>
      </c>
      <c r="M1070" s="218">
        <v>254817.91025700004</v>
      </c>
      <c r="Q1070" s="218" t="s">
        <v>649</v>
      </c>
      <c r="R1070" s="218">
        <v>2966462.04</v>
      </c>
      <c r="S1070" s="218">
        <v>2135.8526688000002</v>
      </c>
      <c r="T1070" s="218">
        <v>1400541.9636823998</v>
      </c>
      <c r="U1070" s="218">
        <v>0</v>
      </c>
      <c r="V1070" s="218">
        <v>-10172.671643200001</v>
      </c>
      <c r="W1070" s="218">
        <v>0</v>
      </c>
      <c r="X1070" s="218">
        <v>0</v>
      </c>
      <c r="Y1070" s="218">
        <v>0</v>
      </c>
      <c r="Z1070" s="218">
        <v>1392505.1447079997</v>
      </c>
      <c r="AA1070" s="218">
        <v>-1384864</v>
      </c>
      <c r="AB1070" s="218">
        <v>-189092.89529200038</v>
      </c>
      <c r="AC1070" s="273">
        <v>0</v>
      </c>
      <c r="AE1070" s="90">
        <v>0.96421599999999996</v>
      </c>
    </row>
    <row r="1071" spans="1:33">
      <c r="A1071" s="216" t="s">
        <v>2055</v>
      </c>
      <c r="B1071" s="216" t="s">
        <v>2056</v>
      </c>
      <c r="C1071" s="218">
        <v>109296323.21675177</v>
      </c>
      <c r="D1071" s="242" t="s">
        <v>2057</v>
      </c>
      <c r="E1071" s="218">
        <v>22842425.700136676</v>
      </c>
      <c r="G1071" s="216" t="s">
        <v>2058</v>
      </c>
      <c r="H1071" s="218">
        <v>-63418844.469999999</v>
      </c>
      <c r="I1071" s="251">
        <v>0.71641797195939638</v>
      </c>
      <c r="J1071" s="218">
        <v>-45434400</v>
      </c>
      <c r="K1071" s="216" t="s">
        <v>2059</v>
      </c>
      <c r="M1071" s="218">
        <v>-2161434.1433850001</v>
      </c>
      <c r="Q1071" s="218" t="s">
        <v>658</v>
      </c>
      <c r="R1071" s="218">
        <v>4099888.74</v>
      </c>
      <c r="S1071" s="218">
        <v>2951.9198928000005</v>
      </c>
      <c r="T1071" s="218">
        <v>1169737.60868888</v>
      </c>
      <c r="U1071" s="218">
        <v>-5173.0188399999997</v>
      </c>
      <c r="V1071" s="218">
        <v>-36800.151193577731</v>
      </c>
      <c r="W1071" s="218">
        <v>0</v>
      </c>
      <c r="X1071" s="218">
        <v>0</v>
      </c>
      <c r="Y1071" s="218">
        <v>-347.18525511999997</v>
      </c>
      <c r="Z1071" s="218">
        <v>1130369.1732929822</v>
      </c>
      <c r="AA1071" s="218">
        <v>-2758993</v>
      </c>
      <c r="AB1071" s="218">
        <v>-210526.56670701783</v>
      </c>
      <c r="AC1071" s="273">
        <v>0</v>
      </c>
      <c r="AE1071" s="90">
        <v>0.96421599999999996</v>
      </c>
    </row>
    <row r="1072" spans="1:33">
      <c r="A1072" s="216" t="s">
        <v>2060</v>
      </c>
      <c r="C1072" s="216" t="s">
        <v>2061</v>
      </c>
      <c r="G1072" s="216" t="s">
        <v>2655</v>
      </c>
      <c r="H1072" s="218">
        <v>92584543.570000008</v>
      </c>
      <c r="I1072" s="251">
        <v>0.71641797195939638</v>
      </c>
      <c r="J1072" s="218">
        <v>66329231</v>
      </c>
      <c r="Q1072" s="218" t="s">
        <v>669</v>
      </c>
      <c r="R1072" s="218">
        <v>3795542.01</v>
      </c>
      <c r="S1072" s="218">
        <v>2732.7902472000001</v>
      </c>
      <c r="T1072" s="218">
        <v>2080533.1254511282</v>
      </c>
      <c r="U1072" s="218">
        <v>-5330.5604714000001</v>
      </c>
      <c r="V1072" s="218">
        <v>-14300.812587124001</v>
      </c>
      <c r="W1072" s="218">
        <v>0</v>
      </c>
      <c r="X1072" s="218">
        <v>0</v>
      </c>
      <c r="Y1072" s="218">
        <v>-26.512955917999999</v>
      </c>
      <c r="Z1072" s="218">
        <v>2063608.0296838863</v>
      </c>
      <c r="AA1072" s="218">
        <v>-1542507.92</v>
      </c>
      <c r="AB1072" s="218">
        <v>-189426.06031611352</v>
      </c>
      <c r="AC1072" s="273">
        <v>0</v>
      </c>
      <c r="AE1072" s="90">
        <v>0.96445820000000004</v>
      </c>
    </row>
    <row r="1073" spans="1:31">
      <c r="A1073" s="242" t="s">
        <v>2062</v>
      </c>
      <c r="G1073" s="216" t="s">
        <v>1090</v>
      </c>
      <c r="H1073" s="218">
        <v>0</v>
      </c>
      <c r="I1073" s="251">
        <v>0.71641797195939638</v>
      </c>
      <c r="J1073" s="218">
        <v>0</v>
      </c>
      <c r="K1073" s="297" t="s">
        <v>2063</v>
      </c>
      <c r="M1073" s="91">
        <v>24706</v>
      </c>
      <c r="O1073" s="84"/>
      <c r="Q1073" s="218" t="s">
        <v>679</v>
      </c>
      <c r="R1073" s="218">
        <v>3279472.63</v>
      </c>
      <c r="S1073" s="218">
        <v>2361.2202935999999</v>
      </c>
      <c r="T1073" s="218">
        <v>1580445.5387450079</v>
      </c>
      <c r="U1073" s="218">
        <v>0</v>
      </c>
      <c r="V1073" s="218">
        <v>-7169.3000296999999</v>
      </c>
      <c r="W1073" s="218">
        <v>0</v>
      </c>
      <c r="X1073" s="218">
        <v>0</v>
      </c>
      <c r="Y1073" s="218">
        <v>-5.8928396020000005</v>
      </c>
      <c r="Z1073" s="218">
        <v>1575631.5661693062</v>
      </c>
      <c r="AA1073" s="218">
        <v>-1514435</v>
      </c>
      <c r="AB1073" s="218">
        <v>-189406.06383069372</v>
      </c>
      <c r="AC1073" s="273">
        <v>0</v>
      </c>
      <c r="AE1073" s="90">
        <v>0.96445820000000004</v>
      </c>
    </row>
    <row r="1074" spans="1:31">
      <c r="A1074" s="216" t="s">
        <v>2064</v>
      </c>
      <c r="D1074" s="218">
        <v>1584137484.079138</v>
      </c>
      <c r="G1074" s="224" t="s">
        <v>2581</v>
      </c>
      <c r="H1074" s="218">
        <v>29165699.100000009</v>
      </c>
      <c r="J1074" s="218">
        <v>20894831</v>
      </c>
      <c r="K1074" s="297" t="s">
        <v>2065</v>
      </c>
      <c r="M1074" s="92">
        <v>104644007.19400001</v>
      </c>
      <c r="Q1074" s="218" t="s">
        <v>1557</v>
      </c>
      <c r="R1074" s="296">
        <v>2947329.31</v>
      </c>
      <c r="S1074" s="296">
        <v>2122.0771032000007</v>
      </c>
      <c r="T1074" s="296">
        <v>1296066.6283995043</v>
      </c>
      <c r="U1074" s="296">
        <v>-787.96234939999999</v>
      </c>
      <c r="V1074" s="296">
        <v>-8507.9680112999995</v>
      </c>
      <c r="W1074" s="296">
        <v>0</v>
      </c>
      <c r="X1074" s="296">
        <v>0</v>
      </c>
      <c r="Y1074" s="296">
        <v>-27.429191208000002</v>
      </c>
      <c r="Z1074" s="296">
        <v>1288865.3459507963</v>
      </c>
      <c r="AA1074" s="296">
        <v>-1469037.23</v>
      </c>
      <c r="AB1074" s="296">
        <v>-189426.73404920381</v>
      </c>
      <c r="AC1074" s="231">
        <v>0</v>
      </c>
      <c r="AD1074" s="231"/>
      <c r="AE1074" s="90">
        <v>0.96445820000000004</v>
      </c>
    </row>
    <row r="1075" spans="1:31">
      <c r="A1075" s="216" t="s">
        <v>2066</v>
      </c>
      <c r="K1075" s="84"/>
      <c r="M1075" s="84"/>
      <c r="AE1075" s="88" t="s">
        <v>3501</v>
      </c>
    </row>
    <row r="1076" spans="1:31" ht="13.5" thickBot="1">
      <c r="B1076" s="216" t="s">
        <v>2067</v>
      </c>
      <c r="C1076" s="324">
        <v>1.2195046941872772E-2</v>
      </c>
      <c r="K1076" s="84"/>
      <c r="M1076" s="218"/>
      <c r="Q1076" s="216" t="s">
        <v>1947</v>
      </c>
      <c r="R1076" s="294">
        <v>47276125.160000004</v>
      </c>
      <c r="S1076" s="294">
        <v>34038.810115200002</v>
      </c>
      <c r="T1076" s="294">
        <v>46088136.944866039</v>
      </c>
      <c r="U1076" s="294">
        <v>-23823.457012800001</v>
      </c>
      <c r="V1076" s="294">
        <v>-183702.80812499448</v>
      </c>
      <c r="W1076" s="294">
        <v>0</v>
      </c>
      <c r="X1076" s="294">
        <v>0</v>
      </c>
      <c r="Y1076" s="294">
        <v>-854.48396096799991</v>
      </c>
      <c r="Z1076" s="294">
        <v>45913795.005882487</v>
      </c>
      <c r="AA1076" s="294">
        <v>923663.77000000188</v>
      </c>
      <c r="AB1076" s="294">
        <v>-2285993.9241175205</v>
      </c>
      <c r="AC1076" s="294">
        <v>0</v>
      </c>
      <c r="AD1076" s="294"/>
    </row>
    <row r="1077" spans="1:31" ht="13.5" thickTop="1">
      <c r="N1077" s="298" t="s">
        <v>2068</v>
      </c>
      <c r="Z1077" s="84"/>
    </row>
    <row r="1078" spans="1:31">
      <c r="A1078" s="216" t="s">
        <v>2069</v>
      </c>
      <c r="C1078" s="218">
        <v>102989815.26000005</v>
      </c>
      <c r="D1078" s="242" t="s">
        <v>2057</v>
      </c>
      <c r="E1078" s="324">
        <v>1.2195046941872772E-2</v>
      </c>
      <c r="F1078" s="216" t="s">
        <v>2070</v>
      </c>
      <c r="G1078" s="218">
        <v>1544355664.2007647</v>
      </c>
    </row>
    <row r="1079" spans="1:31">
      <c r="K1079" s="218">
        <v>29165699.100000009</v>
      </c>
      <c r="M1079" s="84"/>
    </row>
    <row r="1080" spans="1:31">
      <c r="B1080" s="216" t="s">
        <v>2071</v>
      </c>
      <c r="C1080" s="218">
        <v>20894831</v>
      </c>
      <c r="H1080" s="216" t="s">
        <v>2072</v>
      </c>
      <c r="I1080" s="218">
        <v>20894831</v>
      </c>
      <c r="J1080" s="216" t="s">
        <v>2073</v>
      </c>
      <c r="M1080" s="84"/>
    </row>
    <row r="1081" spans="1:31">
      <c r="E1081" s="218">
        <v>-1103695</v>
      </c>
      <c r="K1081" s="216" t="s">
        <v>1753</v>
      </c>
      <c r="M1081" s="218">
        <v>-653886230</v>
      </c>
      <c r="P1081" s="162" t="s">
        <v>2074</v>
      </c>
      <c r="S1081" s="88" t="s">
        <v>2075</v>
      </c>
      <c r="T1081" s="88" t="s">
        <v>2075</v>
      </c>
    </row>
    <row r="1082" spans="1:31">
      <c r="A1082" s="216" t="s">
        <v>2076</v>
      </c>
      <c r="J1082" s="216" t="s">
        <v>1752</v>
      </c>
      <c r="K1082" s="218" t="s">
        <v>1759</v>
      </c>
      <c r="M1082" s="218">
        <v>-27869479.696910936</v>
      </c>
      <c r="S1082" s="226" t="s">
        <v>2077</v>
      </c>
      <c r="T1082" s="226" t="s">
        <v>2077</v>
      </c>
      <c r="U1082" s="226" t="s">
        <v>2077</v>
      </c>
      <c r="V1082" s="226" t="s">
        <v>2077</v>
      </c>
      <c r="W1082" s="226" t="s">
        <v>2077</v>
      </c>
    </row>
    <row r="1083" spans="1:31">
      <c r="A1083" s="216" t="s">
        <v>2078</v>
      </c>
      <c r="J1083" s="216" t="s">
        <v>1214</v>
      </c>
      <c r="K1083" s="216" t="s">
        <v>2079</v>
      </c>
      <c r="M1083" s="218">
        <v>-98610966.966629371</v>
      </c>
      <c r="Q1083" s="163" t="s">
        <v>2080</v>
      </c>
      <c r="R1083" s="164" t="s">
        <v>2081</v>
      </c>
      <c r="S1083" s="164" t="s">
        <v>2082</v>
      </c>
      <c r="T1083" s="165" t="s">
        <v>2083</v>
      </c>
      <c r="U1083" s="166" t="s">
        <v>2084</v>
      </c>
      <c r="V1083" s="166" t="s">
        <v>2085</v>
      </c>
      <c r="W1083" s="166" t="s">
        <v>2086</v>
      </c>
    </row>
    <row r="1084" spans="1:31">
      <c r="A1084" s="216" t="s">
        <v>1557</v>
      </c>
      <c r="K1084" s="218" t="s">
        <v>1916</v>
      </c>
      <c r="M1084" s="218">
        <v>-47796383.419999994</v>
      </c>
      <c r="Q1084" s="85" t="s">
        <v>1910</v>
      </c>
      <c r="R1084" s="85">
        <v>0</v>
      </c>
      <c r="S1084" s="85">
        <v>0</v>
      </c>
      <c r="T1084" s="85">
        <v>0</v>
      </c>
      <c r="U1084" s="85"/>
      <c r="V1084" s="85"/>
      <c r="W1084" s="85"/>
    </row>
    <row r="1085" spans="1:31">
      <c r="A1085" s="216" t="s">
        <v>669</v>
      </c>
      <c r="K1085" s="216" t="s">
        <v>2087</v>
      </c>
      <c r="L1085" s="84"/>
      <c r="M1085" s="218">
        <v>0</v>
      </c>
      <c r="Q1085" s="85" t="s">
        <v>588</v>
      </c>
      <c r="R1085" s="85">
        <v>0</v>
      </c>
      <c r="S1085" s="85">
        <v>0</v>
      </c>
      <c r="T1085" s="85">
        <v>0</v>
      </c>
      <c r="U1085" s="85"/>
      <c r="V1085" s="85"/>
      <c r="W1085" s="85"/>
    </row>
    <row r="1086" spans="1:31">
      <c r="C1086" s="216" t="s">
        <v>1917</v>
      </c>
      <c r="K1086" s="84"/>
      <c r="L1086" s="84"/>
      <c r="M1086" s="218">
        <v>-828163060.08354032</v>
      </c>
      <c r="Q1086" s="85" t="s">
        <v>598</v>
      </c>
      <c r="R1086" s="85">
        <v>0</v>
      </c>
      <c r="S1086" s="85">
        <v>0</v>
      </c>
      <c r="T1086" s="85">
        <v>0</v>
      </c>
      <c r="U1086" s="85"/>
      <c r="V1086" s="85"/>
      <c r="W1086" s="85"/>
    </row>
    <row r="1087" spans="1:31">
      <c r="C1087" s="216" t="s">
        <v>1919</v>
      </c>
      <c r="D1087" s="216" t="s">
        <v>1920</v>
      </c>
      <c r="E1087" s="216" t="s">
        <v>1920</v>
      </c>
      <c r="G1087" s="216" t="s">
        <v>1921</v>
      </c>
      <c r="H1087" s="216" t="s">
        <v>1922</v>
      </c>
      <c r="I1087" s="216" t="s">
        <v>1922</v>
      </c>
      <c r="J1087" s="216" t="s">
        <v>1923</v>
      </c>
      <c r="Q1087" s="85" t="s">
        <v>609</v>
      </c>
      <c r="R1087" s="85">
        <v>0</v>
      </c>
      <c r="S1087" s="85">
        <v>0</v>
      </c>
      <c r="T1087" s="85">
        <v>0</v>
      </c>
      <c r="U1087" s="85"/>
      <c r="V1087" s="85"/>
      <c r="W1087" s="85"/>
    </row>
    <row r="1088" spans="1:31">
      <c r="C1088" s="216" t="s">
        <v>1924</v>
      </c>
      <c r="D1088" s="216" t="s">
        <v>1925</v>
      </c>
      <c r="E1088" s="216" t="s">
        <v>16</v>
      </c>
      <c r="G1088" s="216" t="s">
        <v>1926</v>
      </c>
      <c r="H1088" s="216" t="s">
        <v>1927</v>
      </c>
      <c r="I1088" s="216" t="s">
        <v>1919</v>
      </c>
      <c r="J1088" s="216" t="s">
        <v>1919</v>
      </c>
      <c r="Q1088" s="85" t="s">
        <v>618</v>
      </c>
      <c r="R1088" s="85">
        <v>0</v>
      </c>
      <c r="S1088" s="85">
        <v>0</v>
      </c>
      <c r="T1088" s="85">
        <v>0</v>
      </c>
      <c r="U1088" s="85"/>
      <c r="V1088" s="85"/>
      <c r="W1088" s="85"/>
    </row>
    <row r="1089" spans="1:23">
      <c r="C1089" s="216" t="s">
        <v>1878</v>
      </c>
      <c r="D1089" s="216" t="s">
        <v>1878</v>
      </c>
      <c r="E1089" s="216" t="s">
        <v>1878</v>
      </c>
      <c r="G1089" s="216" t="s">
        <v>1878</v>
      </c>
      <c r="H1089" s="216" t="s">
        <v>1878</v>
      </c>
      <c r="I1089" s="216" t="s">
        <v>1878</v>
      </c>
      <c r="J1089" s="216" t="s">
        <v>1878</v>
      </c>
      <c r="K1089" s="218" t="s">
        <v>1931</v>
      </c>
      <c r="M1089" s="218">
        <v>-7799775.2800000003</v>
      </c>
      <c r="Q1089" s="85" t="s">
        <v>629</v>
      </c>
      <c r="R1089" s="85">
        <v>0</v>
      </c>
      <c r="S1089" s="85">
        <v>0</v>
      </c>
      <c r="T1089" s="85">
        <v>0</v>
      </c>
      <c r="U1089" s="85"/>
      <c r="V1089" s="85"/>
      <c r="W1089" s="85"/>
    </row>
    <row r="1090" spans="1:23">
      <c r="A1090" s="216" t="s">
        <v>1929</v>
      </c>
      <c r="D1090" s="216" t="s">
        <v>1930</v>
      </c>
      <c r="K1090" s="218" t="s">
        <v>1934</v>
      </c>
      <c r="L1090" s="84"/>
      <c r="M1090" s="218">
        <v>0</v>
      </c>
      <c r="Q1090" s="85" t="s">
        <v>639</v>
      </c>
      <c r="R1090" s="85">
        <v>0</v>
      </c>
      <c r="S1090" s="85">
        <v>0</v>
      </c>
      <c r="T1090" s="85">
        <v>0</v>
      </c>
      <c r="U1090" s="85"/>
      <c r="V1090" s="85"/>
      <c r="W1090" s="85"/>
    </row>
    <row r="1091" spans="1:23">
      <c r="A1091" s="216" t="s">
        <v>1933</v>
      </c>
      <c r="C1091" s="218">
        <v>465719680.06000006</v>
      </c>
      <c r="E1091" s="218">
        <v>-31705134.799999997</v>
      </c>
      <c r="G1091" s="218">
        <v>434014545.26000005</v>
      </c>
      <c r="I1091" s="218">
        <v>434014545.26000005</v>
      </c>
      <c r="J1091" s="218">
        <v>0</v>
      </c>
      <c r="K1091" s="216" t="s">
        <v>2088</v>
      </c>
      <c r="M1091" s="218">
        <v>-236974.55</v>
      </c>
      <c r="N1091" s="84"/>
      <c r="Q1091" s="85" t="s">
        <v>649</v>
      </c>
      <c r="R1091" s="85">
        <v>0</v>
      </c>
      <c r="S1091" s="85">
        <v>0</v>
      </c>
      <c r="T1091" s="85">
        <v>0</v>
      </c>
      <c r="U1091" s="93"/>
      <c r="V1091" s="85"/>
      <c r="W1091" s="93"/>
    </row>
    <row r="1092" spans="1:23">
      <c r="A1092" s="216" t="s">
        <v>2089</v>
      </c>
      <c r="C1092" s="218">
        <v>218335201.06</v>
      </c>
      <c r="E1092" s="218">
        <v>-218335201.06</v>
      </c>
      <c r="G1092" s="218">
        <v>0</v>
      </c>
      <c r="I1092" s="218">
        <v>0</v>
      </c>
      <c r="J1092" s="218">
        <v>0</v>
      </c>
      <c r="K1092" s="218" t="s">
        <v>1938</v>
      </c>
      <c r="M1092" s="218">
        <v>-119471.8</v>
      </c>
      <c r="Q1092" s="85" t="s">
        <v>658</v>
      </c>
      <c r="R1092" s="85">
        <v>0</v>
      </c>
      <c r="S1092" s="85">
        <v>0</v>
      </c>
      <c r="T1092" s="85">
        <v>0</v>
      </c>
      <c r="U1092" s="85"/>
      <c r="V1092" s="85"/>
      <c r="W1092" s="85"/>
    </row>
    <row r="1093" spans="1:23">
      <c r="A1093" s="216" t="s">
        <v>1937</v>
      </c>
      <c r="C1093" s="218">
        <v>603173082.66999996</v>
      </c>
      <c r="E1093" s="218">
        <v>-603173082.66999996</v>
      </c>
      <c r="G1093" s="218">
        <v>0</v>
      </c>
      <c r="I1093" s="218">
        <v>0</v>
      </c>
      <c r="J1093" s="218">
        <v>0</v>
      </c>
      <c r="K1093" s="218" t="s">
        <v>1940</v>
      </c>
      <c r="M1093" s="218">
        <v>-796761.73999999987</v>
      </c>
      <c r="Q1093" s="85" t="s">
        <v>669</v>
      </c>
      <c r="R1093" s="85">
        <v>0</v>
      </c>
      <c r="S1093" s="85">
        <v>0</v>
      </c>
      <c r="T1093" s="85">
        <v>0</v>
      </c>
      <c r="U1093" s="85"/>
      <c r="V1093" s="85"/>
      <c r="W1093" s="85"/>
    </row>
    <row r="1094" spans="1:23">
      <c r="B1094" s="216" t="s">
        <v>1939</v>
      </c>
      <c r="C1094" s="218">
        <v>21179162.07</v>
      </c>
      <c r="E1094" s="218">
        <v>-21179162.07</v>
      </c>
      <c r="G1094" s="218">
        <v>0</v>
      </c>
      <c r="I1094" s="218">
        <v>0</v>
      </c>
      <c r="J1094" s="218">
        <v>0</v>
      </c>
      <c r="K1094" s="218" t="s">
        <v>1942</v>
      </c>
      <c r="M1094" s="218">
        <v>756923.65299999993</v>
      </c>
      <c r="Q1094" s="85" t="s">
        <v>679</v>
      </c>
      <c r="R1094" s="85">
        <v>0</v>
      </c>
      <c r="S1094" s="85">
        <v>0</v>
      </c>
      <c r="T1094" s="85">
        <v>0</v>
      </c>
      <c r="U1094" s="85"/>
      <c r="V1094" s="85"/>
      <c r="W1094" s="85"/>
    </row>
    <row r="1095" spans="1:23">
      <c r="B1095" s="216" t="s">
        <v>1941</v>
      </c>
      <c r="C1095" s="218">
        <v>29079897.899999999</v>
      </c>
      <c r="E1095" s="218">
        <v>-29079897.899999999</v>
      </c>
      <c r="G1095" s="218">
        <v>0</v>
      </c>
      <c r="I1095" s="218">
        <v>0</v>
      </c>
      <c r="J1095" s="218">
        <v>0</v>
      </c>
      <c r="K1095" s="218" t="s">
        <v>2090</v>
      </c>
      <c r="L1095" s="84"/>
      <c r="M1095" s="218">
        <v>-9252.74</v>
      </c>
      <c r="Q1095" s="93" t="s">
        <v>1557</v>
      </c>
      <c r="R1095" s="93">
        <v>0</v>
      </c>
      <c r="S1095" s="93">
        <v>0</v>
      </c>
      <c r="T1095" s="93">
        <v>0</v>
      </c>
      <c r="U1095" s="85"/>
      <c r="V1095" s="85"/>
      <c r="W1095" s="85"/>
    </row>
    <row r="1096" spans="1:23">
      <c r="A1096" s="216" t="s">
        <v>1943</v>
      </c>
      <c r="C1096" s="218">
        <v>0</v>
      </c>
      <c r="E1096" s="218">
        <v>0</v>
      </c>
      <c r="G1096" s="218">
        <v>0</v>
      </c>
      <c r="I1096" s="218">
        <v>0</v>
      </c>
      <c r="J1096" s="218">
        <v>0</v>
      </c>
      <c r="K1096" s="216" t="s">
        <v>1946</v>
      </c>
      <c r="L1096" s="84"/>
      <c r="M1096" s="218">
        <v>-730697.9</v>
      </c>
      <c r="R1096" s="85"/>
      <c r="T1096" s="85"/>
      <c r="U1096" s="85"/>
      <c r="V1096" s="85"/>
      <c r="W1096" s="85"/>
    </row>
    <row r="1097" spans="1:23">
      <c r="A1097" s="216" t="s">
        <v>1945</v>
      </c>
      <c r="C1097" s="218">
        <v>19176327.499999996</v>
      </c>
      <c r="E1097" s="218">
        <v>40292.54</v>
      </c>
      <c r="G1097" s="218">
        <v>19216620.039999995</v>
      </c>
      <c r="H1097" s="89">
        <v>0.98090166844160454</v>
      </c>
      <c r="I1097" s="218">
        <v>18849615</v>
      </c>
      <c r="J1097" s="218">
        <v>367005.03999999538</v>
      </c>
      <c r="K1097" s="216" t="s">
        <v>2091</v>
      </c>
      <c r="L1097" s="84"/>
      <c r="M1097" s="218">
        <v>-20142</v>
      </c>
      <c r="Q1097" s="215" t="s">
        <v>1947</v>
      </c>
      <c r="R1097" s="325">
        <v>0</v>
      </c>
      <c r="S1097" s="325">
        <v>0</v>
      </c>
      <c r="T1097" s="325">
        <v>0</v>
      </c>
      <c r="U1097" s="325">
        <v>0</v>
      </c>
      <c r="V1097" s="325">
        <v>0</v>
      </c>
      <c r="W1097" s="325">
        <v>0</v>
      </c>
    </row>
    <row r="1098" spans="1:23">
      <c r="A1098" s="216" t="s">
        <v>1948</v>
      </c>
      <c r="B1098" s="299" t="s">
        <v>1939</v>
      </c>
      <c r="C1098" s="218">
        <v>2943398.9800000004</v>
      </c>
      <c r="E1098" s="218">
        <v>0</v>
      </c>
      <c r="G1098" s="218">
        <v>2943398.9800000004</v>
      </c>
      <c r="H1098" s="89">
        <v>0</v>
      </c>
      <c r="I1098" s="218">
        <v>0</v>
      </c>
      <c r="J1098" s="218">
        <v>2943398.9800000004</v>
      </c>
      <c r="K1098" s="216" t="s">
        <v>1951</v>
      </c>
      <c r="L1098" s="84"/>
      <c r="M1098" s="218">
        <v>-1049.326</v>
      </c>
      <c r="S1098" s="226" t="s">
        <v>2077</v>
      </c>
      <c r="T1098" s="226" t="s">
        <v>2077</v>
      </c>
      <c r="U1098" s="226" t="s">
        <v>2077</v>
      </c>
      <c r="V1098" s="226" t="s">
        <v>2077</v>
      </c>
    </row>
    <row r="1099" spans="1:23">
      <c r="A1099" s="216" t="s">
        <v>1950</v>
      </c>
      <c r="C1099" s="218">
        <v>40354804.57</v>
      </c>
      <c r="E1099" s="218">
        <v>-40354804.57</v>
      </c>
      <c r="G1099" s="218">
        <v>0</v>
      </c>
      <c r="H1099" s="85"/>
      <c r="I1099" s="218">
        <v>0</v>
      </c>
      <c r="J1099" s="218">
        <v>0</v>
      </c>
      <c r="K1099" s="218" t="s">
        <v>1957</v>
      </c>
      <c r="M1099" s="218">
        <v>-238879.10251505903</v>
      </c>
      <c r="Q1099" s="163" t="s">
        <v>2092</v>
      </c>
      <c r="R1099" s="164" t="s">
        <v>2093</v>
      </c>
      <c r="S1099" s="167" t="s">
        <v>2094</v>
      </c>
      <c r="T1099" s="167" t="s">
        <v>2095</v>
      </c>
      <c r="U1099" s="167" t="s">
        <v>2096</v>
      </c>
      <c r="V1099" s="167" t="s">
        <v>2097</v>
      </c>
    </row>
    <row r="1100" spans="1:23">
      <c r="A1100" s="216" t="s">
        <v>2098</v>
      </c>
      <c r="C1100" s="218">
        <v>729974.23210400017</v>
      </c>
      <c r="E1100" s="218">
        <v>-441837.63210400002</v>
      </c>
      <c r="F1100" s="216" t="s">
        <v>1956</v>
      </c>
      <c r="G1100" s="218">
        <v>288136.60000000015</v>
      </c>
      <c r="H1100" s="89">
        <v>0.96690940000000003</v>
      </c>
      <c r="I1100" s="218">
        <v>278602</v>
      </c>
      <c r="J1100" s="218">
        <v>9534.6000000001513</v>
      </c>
      <c r="K1100" s="216" t="s">
        <v>1961</v>
      </c>
      <c r="M1100" s="218">
        <v>-325474.38117101946</v>
      </c>
      <c r="Q1100" s="85" t="s">
        <v>1910</v>
      </c>
      <c r="R1100" s="85">
        <v>0</v>
      </c>
      <c r="S1100" s="85">
        <v>0</v>
      </c>
      <c r="T1100" s="85"/>
      <c r="U1100" s="85"/>
      <c r="V1100" s="85"/>
    </row>
    <row r="1101" spans="1:23">
      <c r="A1101" s="216" t="s">
        <v>2099</v>
      </c>
      <c r="C1101" s="218">
        <v>146600471.49399999</v>
      </c>
      <c r="D1101" s="218">
        <v>-40701213.29999999</v>
      </c>
      <c r="E1101" s="218">
        <v>-98610966.966629371</v>
      </c>
      <c r="G1101" s="218">
        <v>7288291.2273706272</v>
      </c>
      <c r="H1101" s="89">
        <v>0.96690940000000003</v>
      </c>
      <c r="I1101" s="218">
        <v>7047117</v>
      </c>
      <c r="J1101" s="218">
        <v>241174.22737062722</v>
      </c>
      <c r="K1101" s="218" t="s">
        <v>1967</v>
      </c>
      <c r="M1101" s="218">
        <v>0</v>
      </c>
      <c r="Q1101" s="85" t="s">
        <v>588</v>
      </c>
      <c r="R1101" s="85">
        <v>0</v>
      </c>
      <c r="S1101" s="85">
        <v>0</v>
      </c>
      <c r="T1101" s="85"/>
      <c r="U1101" s="85"/>
      <c r="V1101" s="85"/>
    </row>
    <row r="1102" spans="1:23">
      <c r="A1102" s="216" t="s">
        <v>1966</v>
      </c>
      <c r="C1102" s="218">
        <v>10970292.743896008</v>
      </c>
      <c r="D1102" s="84"/>
      <c r="G1102" s="218">
        <v>10970292.743896008</v>
      </c>
      <c r="I1102" s="218">
        <v>0</v>
      </c>
      <c r="J1102" s="218">
        <v>10970292.743896008</v>
      </c>
      <c r="K1102" s="218" t="s">
        <v>1974</v>
      </c>
      <c r="M1102" s="296">
        <v>0</v>
      </c>
      <c r="Q1102" s="85" t="s">
        <v>598</v>
      </c>
      <c r="R1102" s="85">
        <v>0</v>
      </c>
      <c r="S1102" s="85">
        <v>0</v>
      </c>
      <c r="T1102" s="85"/>
      <c r="U1102" s="85"/>
      <c r="V1102" s="85"/>
    </row>
    <row r="1103" spans="1:23">
      <c r="C1103" s="216" t="s">
        <v>1878</v>
      </c>
      <c r="D1103" s="216" t="s">
        <v>1878</v>
      </c>
      <c r="E1103" s="216" t="s">
        <v>1878</v>
      </c>
      <c r="G1103" s="216" t="s">
        <v>1878</v>
      </c>
      <c r="I1103" s="216" t="s">
        <v>1878</v>
      </c>
      <c r="J1103" s="216" t="s">
        <v>1878</v>
      </c>
      <c r="M1103" s="218">
        <v>-1325495.4496860786</v>
      </c>
      <c r="Q1103" s="85" t="s">
        <v>609</v>
      </c>
      <c r="R1103" s="85">
        <v>0</v>
      </c>
      <c r="S1103" s="85">
        <v>0</v>
      </c>
      <c r="T1103" s="85"/>
      <c r="U1103" s="85"/>
      <c r="V1103" s="85"/>
    </row>
    <row r="1104" spans="1:23">
      <c r="A1104" s="216" t="s">
        <v>1983</v>
      </c>
      <c r="C1104" s="218">
        <v>1558262293.28</v>
      </c>
      <c r="D1104" s="218">
        <v>-40701213.29999999</v>
      </c>
      <c r="E1104" s="218">
        <v>-1042839795.1287335</v>
      </c>
      <c r="G1104" s="218">
        <v>474721284.85126674</v>
      </c>
      <c r="I1104" s="218">
        <v>460189879.26000005</v>
      </c>
      <c r="J1104" s="218">
        <v>14531405.59126663</v>
      </c>
      <c r="K1104" s="242" t="s">
        <v>1992</v>
      </c>
      <c r="M1104" s="218">
        <v>-9778.48</v>
      </c>
      <c r="Q1104" s="85" t="s">
        <v>618</v>
      </c>
      <c r="R1104" s="85">
        <v>0</v>
      </c>
      <c r="S1104" s="85">
        <v>0</v>
      </c>
      <c r="T1104" s="85"/>
      <c r="U1104" s="85"/>
      <c r="V1104" s="85"/>
    </row>
    <row r="1105" spans="1:23">
      <c r="C1105" s="216" t="s">
        <v>1878</v>
      </c>
      <c r="D1105" s="216" t="s">
        <v>1878</v>
      </c>
      <c r="E1105" s="216" t="s">
        <v>1878</v>
      </c>
      <c r="G1105" s="216" t="s">
        <v>1878</v>
      </c>
      <c r="I1105" s="216" t="s">
        <v>1878</v>
      </c>
      <c r="J1105" s="216" t="s">
        <v>1878</v>
      </c>
      <c r="K1105" s="216" t="s">
        <v>2001</v>
      </c>
      <c r="M1105" s="218">
        <v>0</v>
      </c>
      <c r="Q1105" s="85" t="s">
        <v>629</v>
      </c>
      <c r="R1105" s="85">
        <v>0</v>
      </c>
      <c r="S1105" s="85">
        <v>0</v>
      </c>
      <c r="T1105" s="85"/>
      <c r="U1105" s="85"/>
      <c r="V1105" s="85"/>
    </row>
    <row r="1106" spans="1:23">
      <c r="A1106" s="216" t="s">
        <v>2000</v>
      </c>
      <c r="K1106" s="218" t="s">
        <v>2003</v>
      </c>
      <c r="M1106" s="218">
        <v>-36082464.121315382</v>
      </c>
      <c r="Q1106" s="85" t="s">
        <v>639</v>
      </c>
      <c r="R1106" s="85">
        <v>0</v>
      </c>
      <c r="S1106" s="85">
        <v>0</v>
      </c>
      <c r="T1106" s="85"/>
      <c r="U1106" s="85"/>
      <c r="V1106" s="85"/>
      <c r="W1106" s="85"/>
    </row>
    <row r="1107" spans="1:23">
      <c r="A1107" s="216" t="s">
        <v>2002</v>
      </c>
      <c r="K1107" s="216" t="s">
        <v>2100</v>
      </c>
      <c r="M1107" s="296">
        <v>119708.45000000001</v>
      </c>
      <c r="Q1107" s="85" t="s">
        <v>649</v>
      </c>
      <c r="R1107" s="85">
        <v>0</v>
      </c>
      <c r="S1107" s="85">
        <v>0</v>
      </c>
      <c r="T1107" s="93"/>
      <c r="U1107" s="93"/>
      <c r="V1107" s="85"/>
    </row>
    <row r="1108" spans="1:23">
      <c r="A1108" s="216" t="s">
        <v>2004</v>
      </c>
      <c r="C1108" s="218">
        <v>939203370.49000001</v>
      </c>
      <c r="D1108" s="218">
        <v>-6218237.209999999</v>
      </c>
      <c r="E1108" s="218">
        <v>-827759836.02354038</v>
      </c>
      <c r="F1108" s="216" t="s">
        <v>2101</v>
      </c>
      <c r="G1108" s="218">
        <v>105225297.25645959</v>
      </c>
      <c r="H1108" s="89">
        <v>0.96532383419689116</v>
      </c>
      <c r="I1108" s="218">
        <v>101576487</v>
      </c>
      <c r="J1108" s="218">
        <v>3648810.2564595938</v>
      </c>
      <c r="M1108" s="216"/>
      <c r="Q1108" s="85" t="s">
        <v>658</v>
      </c>
      <c r="R1108" s="85">
        <v>0</v>
      </c>
      <c r="S1108" s="85">
        <v>0</v>
      </c>
      <c r="T1108" s="85"/>
      <c r="U1108" s="85"/>
      <c r="V1108" s="85"/>
    </row>
    <row r="1109" spans="1:23">
      <c r="A1109" s="216" t="s">
        <v>2008</v>
      </c>
      <c r="C1109" s="218">
        <v>12141344.620000001</v>
      </c>
      <c r="D1109" s="218">
        <v>-74929</v>
      </c>
      <c r="E1109" s="218">
        <v>-2217455.9897429999</v>
      </c>
      <c r="F1109" s="216" t="s">
        <v>2009</v>
      </c>
      <c r="G1109" s="218">
        <v>9848959.6302570011</v>
      </c>
      <c r="H1109" s="89">
        <v>0.96492082825822167</v>
      </c>
      <c r="I1109" s="218">
        <v>9503466</v>
      </c>
      <c r="J1109" s="218">
        <v>345493.63025700115</v>
      </c>
      <c r="K1109" s="84"/>
      <c r="L1109" s="84"/>
      <c r="M1109" s="218">
        <v>-35972534.151315376</v>
      </c>
      <c r="Q1109" s="85" t="s">
        <v>669</v>
      </c>
      <c r="R1109" s="85">
        <v>0</v>
      </c>
      <c r="S1109" s="85">
        <v>0</v>
      </c>
      <c r="T1109" s="85"/>
      <c r="U1109" s="85"/>
      <c r="V1109" s="85"/>
    </row>
    <row r="1110" spans="1:23">
      <c r="A1110" s="216" t="s">
        <v>2010</v>
      </c>
      <c r="C1110" s="218">
        <v>39017951.969999999</v>
      </c>
      <c r="E1110" s="218">
        <v>-2161434.1433850001</v>
      </c>
      <c r="F1110" s="216" t="s">
        <v>2011</v>
      </c>
      <c r="G1110" s="218">
        <v>36856517.826614998</v>
      </c>
      <c r="H1110" s="89">
        <v>0.99776083272815297</v>
      </c>
      <c r="I1110" s="218">
        <v>36773990</v>
      </c>
      <c r="J1110" s="218">
        <v>82527.826614998281</v>
      </c>
      <c r="K1110" s="84"/>
      <c r="Q1110" s="85" t="s">
        <v>679</v>
      </c>
      <c r="R1110" s="85">
        <v>0</v>
      </c>
      <c r="S1110" s="85">
        <v>0</v>
      </c>
      <c r="T1110" s="85"/>
      <c r="U1110" s="85"/>
      <c r="V1110" s="85"/>
    </row>
    <row r="1111" spans="1:23">
      <c r="A1111" s="216" t="s">
        <v>2012</v>
      </c>
      <c r="C1111" s="218">
        <v>21355404.049999997</v>
      </c>
      <c r="G1111" s="218">
        <v>21355404.049999997</v>
      </c>
      <c r="H1111" s="89">
        <v>0.99980156105304929</v>
      </c>
      <c r="I1111" s="218">
        <v>21351166</v>
      </c>
      <c r="J1111" s="218">
        <v>4238.0499999970198</v>
      </c>
      <c r="K1111" s="216" t="s">
        <v>2014</v>
      </c>
      <c r="M1111" s="218">
        <v>-7684.47</v>
      </c>
      <c r="Q1111" s="93" t="s">
        <v>1557</v>
      </c>
      <c r="R1111" s="93">
        <v>0</v>
      </c>
      <c r="S1111" s="93">
        <v>0</v>
      </c>
      <c r="T1111" s="85"/>
      <c r="U1111" s="85"/>
      <c r="V1111" s="85"/>
    </row>
    <row r="1112" spans="1:23">
      <c r="A1112" s="216" t="s">
        <v>2102</v>
      </c>
      <c r="C1112" s="218">
        <v>0</v>
      </c>
      <c r="D1112" s="218">
        <v>0</v>
      </c>
      <c r="G1112" s="218">
        <v>0</v>
      </c>
      <c r="H1112" s="251">
        <v>0.20186519999999999</v>
      </c>
      <c r="I1112" s="218">
        <v>0</v>
      </c>
      <c r="J1112" s="218">
        <v>0</v>
      </c>
      <c r="K1112" s="216" t="s">
        <v>2017</v>
      </c>
      <c r="M1112" s="218">
        <v>-424484.53</v>
      </c>
      <c r="R1112" s="85"/>
      <c r="T1112" s="85"/>
      <c r="U1112" s="85"/>
      <c r="V1112" s="85"/>
    </row>
    <row r="1113" spans="1:23">
      <c r="A1113" s="216" t="s">
        <v>2015</v>
      </c>
      <c r="C1113" s="218">
        <v>21682118.57</v>
      </c>
      <c r="E1113" s="218">
        <v>-7799775.2800000003</v>
      </c>
      <c r="F1113" s="216" t="s">
        <v>2016</v>
      </c>
      <c r="G1113" s="218">
        <v>13882343.289999999</v>
      </c>
      <c r="H1113" s="89">
        <v>1</v>
      </c>
      <c r="I1113" s="218">
        <v>13882343</v>
      </c>
      <c r="J1113" s="218">
        <v>0.28999999910593033</v>
      </c>
      <c r="K1113" s="216" t="s">
        <v>2020</v>
      </c>
      <c r="M1113" s="218">
        <v>-16628.541232215564</v>
      </c>
      <c r="Q1113" s="215" t="s">
        <v>1947</v>
      </c>
      <c r="R1113" s="325">
        <v>0</v>
      </c>
      <c r="S1113" s="325">
        <v>0</v>
      </c>
      <c r="T1113" s="325">
        <v>0</v>
      </c>
      <c r="U1113" s="325">
        <v>0</v>
      </c>
      <c r="V1113" s="325">
        <v>0</v>
      </c>
    </row>
    <row r="1114" spans="1:23">
      <c r="A1114" s="216" t="s">
        <v>2018</v>
      </c>
      <c r="C1114" s="218">
        <v>916233.54</v>
      </c>
      <c r="E1114" s="218">
        <v>-159309.88699999999</v>
      </c>
      <c r="F1114" s="216" t="s">
        <v>2019</v>
      </c>
      <c r="G1114" s="218">
        <v>756923.65300000005</v>
      </c>
      <c r="H1114" s="89">
        <v>1</v>
      </c>
      <c r="I1114" s="218">
        <v>756924</v>
      </c>
      <c r="J1114" s="218">
        <v>-0.3469999999506399</v>
      </c>
      <c r="K1114" s="216" t="s">
        <v>2023</v>
      </c>
      <c r="M1114" s="218">
        <v>-39772382.774000004</v>
      </c>
    </row>
    <row r="1115" spans="1:23">
      <c r="A1115" s="216" t="s">
        <v>2021</v>
      </c>
      <c r="C1115" s="218">
        <v>70907870.560000002</v>
      </c>
      <c r="D1115" s="218">
        <v>-2695527</v>
      </c>
      <c r="E1115" s="218">
        <v>-1325495.4496860786</v>
      </c>
      <c r="F1115" s="216" t="s">
        <v>2022</v>
      </c>
      <c r="G1115" s="218">
        <v>66886848.110313922</v>
      </c>
      <c r="H1115" s="89">
        <v>0.97870865991206268</v>
      </c>
      <c r="I1115" s="218">
        <v>65462737</v>
      </c>
      <c r="J1115" s="218">
        <v>1424111.1103139222</v>
      </c>
      <c r="K1115" s="216" t="s">
        <v>2103</v>
      </c>
      <c r="M1115" s="218">
        <v>-181978.91999999998</v>
      </c>
      <c r="Q1115" s="168" t="s">
        <v>2104</v>
      </c>
    </row>
    <row r="1116" spans="1:23">
      <c r="C1116" s="216" t="s">
        <v>1878</v>
      </c>
      <c r="D1116" s="216" t="s">
        <v>1878</v>
      </c>
      <c r="E1116" s="216" t="s">
        <v>1878</v>
      </c>
      <c r="G1116" s="216" t="s">
        <v>1878</v>
      </c>
      <c r="I1116" s="216" t="s">
        <v>1878</v>
      </c>
      <c r="J1116" s="216" t="s">
        <v>1878</v>
      </c>
      <c r="K1116" s="216" t="s">
        <v>2026</v>
      </c>
      <c r="M1116" s="218">
        <v>-1037926</v>
      </c>
      <c r="Q1116" s="85" t="s">
        <v>1910</v>
      </c>
      <c r="R1116" s="85">
        <v>0</v>
      </c>
    </row>
    <row r="1117" spans="1:23">
      <c r="A1117" s="216" t="s">
        <v>2025</v>
      </c>
      <c r="C1117" s="218">
        <v>1105224293.8</v>
      </c>
      <c r="D1117" s="218">
        <v>-8988693.209999999</v>
      </c>
      <c r="E1117" s="218">
        <v>-841423306.77335441</v>
      </c>
      <c r="G1117" s="218">
        <v>254812293.8166455</v>
      </c>
      <c r="I1117" s="218">
        <v>249307113</v>
      </c>
      <c r="J1117" s="218">
        <v>5505180.8166455114</v>
      </c>
      <c r="K1117" s="218" t="s">
        <v>2027</v>
      </c>
      <c r="M1117" s="218">
        <v>-109532.49456240002</v>
      </c>
      <c r="Q1117" s="85" t="s">
        <v>588</v>
      </c>
      <c r="R1117" s="85">
        <v>0</v>
      </c>
    </row>
    <row r="1118" spans="1:23">
      <c r="K1118" s="218" t="s">
        <v>2030</v>
      </c>
      <c r="M1118" s="218">
        <v>-34038.810115200002</v>
      </c>
      <c r="Q1118" s="85" t="s">
        <v>598</v>
      </c>
      <c r="R1118" s="85">
        <v>0</v>
      </c>
    </row>
    <row r="1119" spans="1:23">
      <c r="A1119" s="216" t="s">
        <v>2028</v>
      </c>
      <c r="C1119" s="218">
        <v>121523024.53999999</v>
      </c>
      <c r="D1119" s="218">
        <v>-5484279.8000000007</v>
      </c>
      <c r="E1119" s="218">
        <v>-36082464.121315382</v>
      </c>
      <c r="F1119" s="216" t="s">
        <v>2029</v>
      </c>
      <c r="G1119" s="218">
        <v>79956280.61868462</v>
      </c>
      <c r="H1119" s="89">
        <v>0.97529234251225949</v>
      </c>
      <c r="I1119" s="218">
        <v>77980748</v>
      </c>
      <c r="J1119" s="218">
        <v>1975532.6186846197</v>
      </c>
      <c r="K1119" s="218" t="s">
        <v>2032</v>
      </c>
      <c r="L1119" s="84"/>
      <c r="M1119" s="296">
        <v>-621097.84515540302</v>
      </c>
      <c r="Q1119" s="85" t="s">
        <v>609</v>
      </c>
      <c r="R1119" s="85">
        <v>0</v>
      </c>
    </row>
    <row r="1120" spans="1:23">
      <c r="A1120" s="216" t="s">
        <v>2031</v>
      </c>
      <c r="C1120" s="218">
        <v>5155309.7899999991</v>
      </c>
      <c r="E1120" s="218">
        <v>109929.97000000002</v>
      </c>
      <c r="F1120" s="216" t="s">
        <v>2029</v>
      </c>
      <c r="G1120" s="218">
        <v>5265239.7599999988</v>
      </c>
      <c r="H1120" s="89">
        <v>0.97529234251225949</v>
      </c>
      <c r="I1120" s="218">
        <v>5135148</v>
      </c>
      <c r="J1120" s="218">
        <v>130091.75999999885</v>
      </c>
      <c r="K1120" s="84"/>
      <c r="L1120" s="84"/>
      <c r="M1120" s="218">
        <v>-42205754.385065228</v>
      </c>
      <c r="Q1120" s="85" t="s">
        <v>618</v>
      </c>
      <c r="R1120" s="85">
        <v>0</v>
      </c>
    </row>
    <row r="1121" spans="1:18">
      <c r="A1121" s="216" t="s">
        <v>2033</v>
      </c>
      <c r="C1121" s="218">
        <v>-1494982</v>
      </c>
      <c r="D1121" s="218">
        <v>332483</v>
      </c>
      <c r="E1121" s="218">
        <v>0</v>
      </c>
      <c r="G1121" s="218">
        <v>-1162499</v>
      </c>
      <c r="H1121" s="89">
        <v>0.97531687791861243</v>
      </c>
      <c r="I1121" s="218">
        <v>-1133805</v>
      </c>
      <c r="J1121" s="218">
        <v>-28694</v>
      </c>
      <c r="K1121" s="216" t="s">
        <v>2105</v>
      </c>
      <c r="M1121" s="218">
        <v>-1042839795.1287335</v>
      </c>
      <c r="Q1121" s="85" t="s">
        <v>629</v>
      </c>
      <c r="R1121" s="85">
        <v>0</v>
      </c>
    </row>
    <row r="1122" spans="1:18">
      <c r="A1122" s="216" t="s">
        <v>2034</v>
      </c>
      <c r="C1122" s="218">
        <v>69840278.824250013</v>
      </c>
      <c r="D1122" s="218">
        <v>-1080878</v>
      </c>
      <c r="E1122" s="218">
        <v>-42205754.385065228</v>
      </c>
      <c r="F1122" s="216" t="s">
        <v>2035</v>
      </c>
      <c r="G1122" s="218">
        <v>26553646.439184785</v>
      </c>
      <c r="H1122" s="89">
        <v>0.97579292467215617</v>
      </c>
      <c r="I1122" s="218">
        <v>25910860</v>
      </c>
      <c r="J1122" s="218">
        <v>642786.43918478489</v>
      </c>
      <c r="K1122" s="216" t="s">
        <v>2039</v>
      </c>
      <c r="M1122" s="218">
        <v>-951201720.99548495</v>
      </c>
      <c r="Q1122" s="85" t="s">
        <v>639</v>
      </c>
      <c r="R1122" s="85">
        <v>0</v>
      </c>
    </row>
    <row r="1123" spans="1:18">
      <c r="A1123" s="216" t="s">
        <v>2106</v>
      </c>
      <c r="C1123" s="218">
        <v>31600125.685749996</v>
      </c>
      <c r="E1123" s="218">
        <v>-31600125.685749996</v>
      </c>
      <c r="G1123" s="218">
        <v>0</v>
      </c>
      <c r="H1123" s="251">
        <v>1</v>
      </c>
      <c r="I1123" s="218">
        <v>0</v>
      </c>
      <c r="K1123" s="218" t="s">
        <v>2044</v>
      </c>
      <c r="M1123" s="296">
        <v>0</v>
      </c>
      <c r="Q1123" s="85" t="s">
        <v>649</v>
      </c>
      <c r="R1123" s="85">
        <v>0</v>
      </c>
    </row>
    <row r="1124" spans="1:18">
      <c r="A1124" s="216" t="s">
        <v>2042</v>
      </c>
      <c r="C1124" s="218">
        <v>64515086.100000009</v>
      </c>
      <c r="D1124" s="218">
        <v>-6323273.3998633325</v>
      </c>
      <c r="E1124" s="218">
        <v>-35349387</v>
      </c>
      <c r="F1124" s="216" t="s">
        <v>2043</v>
      </c>
      <c r="G1124" s="218">
        <v>22842425.700136676</v>
      </c>
      <c r="I1124" s="218">
        <v>20906540</v>
      </c>
      <c r="J1124" s="218">
        <v>1935885.7001366764</v>
      </c>
      <c r="M1124" s="216"/>
      <c r="Q1124" s="85" t="s">
        <v>658</v>
      </c>
      <c r="R1124" s="85">
        <v>0</v>
      </c>
    </row>
    <row r="1125" spans="1:18">
      <c r="A1125" s="216" t="s">
        <v>2045</v>
      </c>
      <c r="E1125" s="218">
        <v>6480124</v>
      </c>
      <c r="G1125" s="218">
        <v>6480124</v>
      </c>
      <c r="I1125" s="218">
        <v>6000062</v>
      </c>
      <c r="J1125" s="218">
        <v>480062</v>
      </c>
      <c r="M1125" s="218">
        <v>-91638074.133248568</v>
      </c>
      <c r="N1125" s="84"/>
      <c r="Q1125" s="85" t="s">
        <v>669</v>
      </c>
      <c r="R1125" s="85">
        <v>0</v>
      </c>
    </row>
    <row r="1126" spans="1:18">
      <c r="C1126" s="216" t="s">
        <v>1878</v>
      </c>
      <c r="D1126" s="216" t="s">
        <v>1878</v>
      </c>
      <c r="E1126" s="216" t="s">
        <v>1878</v>
      </c>
      <c r="G1126" s="216" t="s">
        <v>1878</v>
      </c>
      <c r="I1126" s="216" t="s">
        <v>1878</v>
      </c>
      <c r="J1126" s="216" t="s">
        <v>1878</v>
      </c>
      <c r="K1126" s="216" t="s">
        <v>2049</v>
      </c>
      <c r="M1126" s="326">
        <v>0.38574999999999998</v>
      </c>
      <c r="Q1126" s="85" t="s">
        <v>679</v>
      </c>
      <c r="R1126" s="85">
        <v>0</v>
      </c>
    </row>
    <row r="1127" spans="1:18">
      <c r="A1127" s="216" t="s">
        <v>2048</v>
      </c>
      <c r="C1127" s="218">
        <v>1396363136.7399998</v>
      </c>
      <c r="D1127" s="218">
        <v>-21544641.40986333</v>
      </c>
      <c r="E1127" s="218">
        <v>-980070983.99548495</v>
      </c>
      <c r="G1127" s="218">
        <v>394747511.33465159</v>
      </c>
      <c r="I1127" s="218">
        <v>384106666</v>
      </c>
      <c r="J1127" s="218">
        <v>10640845.334651591</v>
      </c>
      <c r="M1127" s="216"/>
      <c r="Q1127" s="93" t="s">
        <v>1557</v>
      </c>
      <c r="R1127" s="93">
        <v>0</v>
      </c>
    </row>
    <row r="1128" spans="1:18">
      <c r="C1128" s="216" t="s">
        <v>1878</v>
      </c>
      <c r="D1128" s="216" t="s">
        <v>1878</v>
      </c>
      <c r="E1128" s="216" t="s">
        <v>1878</v>
      </c>
      <c r="G1128" s="216" t="s">
        <v>1878</v>
      </c>
      <c r="I1128" s="216" t="s">
        <v>1878</v>
      </c>
      <c r="J1128" s="216" t="s">
        <v>1878</v>
      </c>
      <c r="K1128" s="216" t="s">
        <v>2050</v>
      </c>
      <c r="M1128" s="218">
        <v>-35349387</v>
      </c>
    </row>
    <row r="1129" spans="1:18">
      <c r="A1129" s="216" t="s">
        <v>1482</v>
      </c>
      <c r="C1129" s="218">
        <v>161899156.5400002</v>
      </c>
      <c r="D1129" s="218">
        <v>-19156571.890136659</v>
      </c>
      <c r="E1129" s="218">
        <v>-62768811.133248568</v>
      </c>
      <c r="G1129" s="218">
        <v>79973773.516615152</v>
      </c>
      <c r="I1129" s="218">
        <v>76083213.26000005</v>
      </c>
      <c r="J1129" s="218">
        <v>3890560.256615039</v>
      </c>
      <c r="K1129" s="216" t="s">
        <v>2107</v>
      </c>
      <c r="Q1129" s="215" t="s">
        <v>1947</v>
      </c>
      <c r="R1129" s="325">
        <v>0</v>
      </c>
    </row>
    <row r="1130" spans="1:18">
      <c r="C1130" s="216" t="s">
        <v>736</v>
      </c>
      <c r="D1130" s="216" t="s">
        <v>736</v>
      </c>
      <c r="E1130" s="216" t="s">
        <v>736</v>
      </c>
      <c r="G1130" s="216" t="s">
        <v>736</v>
      </c>
      <c r="I1130" s="216" t="s">
        <v>736</v>
      </c>
      <c r="J1130" s="216" t="s">
        <v>736</v>
      </c>
    </row>
    <row r="1131" spans="1:18">
      <c r="I1131" s="216" t="s">
        <v>2108</v>
      </c>
      <c r="J1131" s="216" t="s">
        <v>2109</v>
      </c>
      <c r="K1131" s="218">
        <v>-45459860</v>
      </c>
    </row>
    <row r="1132" spans="1:18">
      <c r="A1132" s="216" t="s">
        <v>2055</v>
      </c>
      <c r="B1132" s="216" t="s">
        <v>2056</v>
      </c>
      <c r="C1132" s="218">
        <v>109296323.21675177</v>
      </c>
      <c r="D1132" s="218" t="s">
        <v>2057</v>
      </c>
      <c r="E1132" s="218">
        <v>22842425.700136676</v>
      </c>
      <c r="G1132" s="216" t="s">
        <v>2583</v>
      </c>
      <c r="K1132" s="218">
        <v>66366400</v>
      </c>
    </row>
    <row r="1133" spans="1:18">
      <c r="A1133" s="216" t="s">
        <v>2110</v>
      </c>
      <c r="C1133" s="216" t="s">
        <v>2061</v>
      </c>
      <c r="H1133" s="216" t="s">
        <v>2058</v>
      </c>
      <c r="I1133" s="218">
        <v>-63418844.469999999</v>
      </c>
      <c r="J1133" s="251">
        <v>0.71681943670604464</v>
      </c>
      <c r="K1133" s="218">
        <v>0</v>
      </c>
    </row>
    <row r="1134" spans="1:18">
      <c r="A1134" s="218" t="s">
        <v>2062</v>
      </c>
      <c r="H1134" s="216" t="s">
        <v>2655</v>
      </c>
      <c r="I1134" s="218">
        <v>92584543.570000008</v>
      </c>
      <c r="J1134" s="251">
        <v>0.71681943670604464</v>
      </c>
      <c r="K1134" s="216" t="s">
        <v>1878</v>
      </c>
      <c r="M1134" s="218"/>
    </row>
    <row r="1135" spans="1:18">
      <c r="A1135" s="216" t="s">
        <v>2064</v>
      </c>
      <c r="D1135" s="218">
        <v>1628089899.1163015</v>
      </c>
      <c r="H1135" s="216" t="s">
        <v>1090</v>
      </c>
      <c r="I1135" s="218">
        <v>0</v>
      </c>
      <c r="J1135" s="251">
        <v>0.71681943670604464</v>
      </c>
      <c r="K1135" s="218">
        <v>20906540</v>
      </c>
    </row>
    <row r="1136" spans="1:18">
      <c r="A1136" s="216" t="s">
        <v>2066</v>
      </c>
      <c r="I1136" s="216" t="s">
        <v>1878</v>
      </c>
      <c r="K1136" s="216" t="s">
        <v>736</v>
      </c>
      <c r="M1136" s="264"/>
    </row>
    <row r="1137" spans="1:14">
      <c r="B1137" s="216" t="s">
        <v>2067</v>
      </c>
      <c r="C1137" s="324">
        <v>1.1865825708525757E-2</v>
      </c>
      <c r="H1137" s="216" t="s">
        <v>2581</v>
      </c>
      <c r="I1137" s="218">
        <v>29165699.100000009</v>
      </c>
      <c r="K1137" s="218" t="s">
        <v>2054</v>
      </c>
      <c r="M1137" s="218">
        <v>254817.91025700004</v>
      </c>
    </row>
    <row r="1138" spans="1:14">
      <c r="I1138" s="216" t="s">
        <v>736</v>
      </c>
      <c r="K1138" s="218" t="s">
        <v>2059</v>
      </c>
      <c r="M1138" s="218">
        <v>-2161434.1433850001</v>
      </c>
    </row>
    <row r="1139" spans="1:14">
      <c r="A1139" s="216" t="s">
        <v>2069</v>
      </c>
      <c r="C1139" s="218">
        <v>102989815.26000005</v>
      </c>
      <c r="D1139" s="218" t="s">
        <v>2057</v>
      </c>
      <c r="E1139" s="324">
        <v>1.1865825708525757E-2</v>
      </c>
      <c r="F1139" s="216" t="s">
        <v>2070</v>
      </c>
      <c r="G1139" s="218">
        <v>1586217551.2007647</v>
      </c>
      <c r="K1139" s="218">
        <v>29165699.100000009</v>
      </c>
    </row>
    <row r="1141" spans="1:14">
      <c r="B1141" s="216" t="s">
        <v>2071</v>
      </c>
      <c r="C1141" s="218">
        <v>20906540</v>
      </c>
      <c r="H1141" s="216" t="s">
        <v>2072</v>
      </c>
      <c r="I1141" s="218">
        <v>20906540</v>
      </c>
      <c r="J1141" s="216" t="s">
        <v>2073</v>
      </c>
    </row>
    <row r="1142" spans="1:14">
      <c r="K1142" s="216" t="s">
        <v>2111</v>
      </c>
    </row>
    <row r="1143" spans="1:14">
      <c r="K1143" s="84"/>
      <c r="L1143" s="84"/>
      <c r="M1143" s="84"/>
      <c r="N1143" s="84"/>
    </row>
    <row r="1145" spans="1:14">
      <c r="A1145" s="327" t="s">
        <v>2155</v>
      </c>
      <c r="C1145" s="216" t="s">
        <v>1557</v>
      </c>
    </row>
    <row r="1146" spans="1:14">
      <c r="A1146" s="327" t="s">
        <v>2112</v>
      </c>
      <c r="C1146" s="216"/>
    </row>
    <row r="1147" spans="1:14">
      <c r="C1147" s="216"/>
      <c r="K1147" s="224" t="s">
        <v>1371</v>
      </c>
    </row>
    <row r="1148" spans="1:14">
      <c r="K1148" s="224" t="s">
        <v>43</v>
      </c>
    </row>
    <row r="1149" spans="1:14">
      <c r="I1149" s="224" t="s">
        <v>2563</v>
      </c>
      <c r="K1149" s="224" t="s">
        <v>2113</v>
      </c>
    </row>
    <row r="1150" spans="1:14">
      <c r="A1150" s="216" t="s">
        <v>2114</v>
      </c>
      <c r="B1150" s="224" t="s">
        <v>2115</v>
      </c>
      <c r="C1150" s="224" t="s">
        <v>2116</v>
      </c>
      <c r="D1150" s="224" t="s">
        <v>781</v>
      </c>
      <c r="E1150" s="224" t="s">
        <v>3205</v>
      </c>
      <c r="F1150" s="224" t="s">
        <v>2117</v>
      </c>
      <c r="G1150" s="224" t="s">
        <v>31</v>
      </c>
      <c r="H1150" s="224" t="s">
        <v>2118</v>
      </c>
      <c r="I1150" s="224" t="s">
        <v>43</v>
      </c>
      <c r="J1150" s="224" t="s">
        <v>1371</v>
      </c>
    </row>
    <row r="1151" spans="1:14">
      <c r="B1151" s="224" t="s">
        <v>2119</v>
      </c>
      <c r="C1151" s="224" t="s">
        <v>2120</v>
      </c>
      <c r="D1151" s="224" t="s">
        <v>2120</v>
      </c>
      <c r="E1151" s="224" t="s">
        <v>2120</v>
      </c>
      <c r="F1151" s="224" t="s">
        <v>2121</v>
      </c>
      <c r="G1151" s="224" t="s">
        <v>2560</v>
      </c>
      <c r="H1151" s="224" t="s">
        <v>2122</v>
      </c>
      <c r="I1151" s="224" t="s">
        <v>2113</v>
      </c>
      <c r="J1151" s="224" t="s">
        <v>2123</v>
      </c>
    </row>
    <row r="1152" spans="1:14">
      <c r="K1152" s="218">
        <v>662318915.20076466</v>
      </c>
    </row>
    <row r="1154" spans="1:11">
      <c r="A1154" s="216" t="s">
        <v>2572</v>
      </c>
      <c r="B1154" s="218">
        <v>1191081752</v>
      </c>
      <c r="C1154" s="218">
        <v>0</v>
      </c>
      <c r="D1154" s="218">
        <v>-116767150.33825447</v>
      </c>
      <c r="E1154" s="218">
        <v>0</v>
      </c>
      <c r="F1154" s="218">
        <v>0</v>
      </c>
      <c r="G1154" s="218">
        <v>-394686088.33912373</v>
      </c>
      <c r="H1154" s="218">
        <v>1.6938459873199463</v>
      </c>
      <c r="I1154" s="218">
        <v>679628515.01646781</v>
      </c>
      <c r="J1154" s="251">
        <v>0.97453079183092417</v>
      </c>
      <c r="K1154" s="218">
        <v>16531399</v>
      </c>
    </row>
    <row r="1155" spans="1:11">
      <c r="J1155" s="251"/>
    </row>
    <row r="1156" spans="1:11">
      <c r="A1156" s="216" t="s">
        <v>2124</v>
      </c>
      <c r="B1156" s="218">
        <v>45742650</v>
      </c>
      <c r="C1156" s="218">
        <v>-15102690</v>
      </c>
      <c r="D1156" s="218">
        <v>-3825198.1637225952</v>
      </c>
      <c r="E1156" s="218">
        <v>0</v>
      </c>
      <c r="F1156" s="218">
        <v>0</v>
      </c>
      <c r="G1156" s="218">
        <v>-9851317</v>
      </c>
      <c r="H1156" s="218">
        <v>0</v>
      </c>
      <c r="I1156" s="218">
        <v>16963444.836277403</v>
      </c>
      <c r="J1156" s="251">
        <v>0.97453079183092417</v>
      </c>
      <c r="K1156" s="218">
        <v>53369489</v>
      </c>
    </row>
    <row r="1157" spans="1:11">
      <c r="J1157" s="251"/>
    </row>
    <row r="1158" spans="1:11">
      <c r="A1158" s="216" t="s">
        <v>2574</v>
      </c>
      <c r="B1158" s="218">
        <v>97998345</v>
      </c>
      <c r="C1158" s="218">
        <v>0</v>
      </c>
      <c r="D1158" s="218">
        <v>-11430349.352376439</v>
      </c>
      <c r="E1158" s="218">
        <v>0</v>
      </c>
      <c r="F1158" s="218">
        <v>0</v>
      </c>
      <c r="G1158" s="218">
        <v>-31803704</v>
      </c>
      <c r="H1158" s="218">
        <v>0</v>
      </c>
      <c r="I1158" s="218">
        <v>54764291.647623569</v>
      </c>
      <c r="J1158" s="251">
        <v>0.97453079183092417</v>
      </c>
      <c r="K1158" s="218">
        <v>22179914</v>
      </c>
    </row>
    <row r="1159" spans="1:11">
      <c r="J1159" s="251"/>
    </row>
    <row r="1160" spans="1:11">
      <c r="A1160" s="216" t="s">
        <v>2575</v>
      </c>
      <c r="B1160" s="218">
        <v>35060633</v>
      </c>
      <c r="C1160" s="218">
        <v>0</v>
      </c>
      <c r="D1160" s="218">
        <v>0</v>
      </c>
      <c r="E1160" s="218">
        <v>0</v>
      </c>
      <c r="F1160" s="218">
        <v>0</v>
      </c>
      <c r="G1160" s="218">
        <v>-12880719</v>
      </c>
      <c r="H1160" s="218">
        <v>0</v>
      </c>
      <c r="I1160" s="218">
        <v>22179914</v>
      </c>
      <c r="J1160" s="251">
        <v>1</v>
      </c>
      <c r="K1160" s="218">
        <v>602338018</v>
      </c>
    </row>
    <row r="1161" spans="1:11">
      <c r="J1161" s="251"/>
    </row>
    <row r="1162" spans="1:11">
      <c r="A1162" s="216" t="s">
        <v>2576</v>
      </c>
      <c r="B1162" s="218">
        <v>1073746182</v>
      </c>
      <c r="C1162" s="218">
        <v>-13498114</v>
      </c>
      <c r="D1162" s="218">
        <v>-99490880.727384374</v>
      </c>
      <c r="E1162" s="218">
        <v>0</v>
      </c>
      <c r="F1162" s="218">
        <v>16265385</v>
      </c>
      <c r="G1162" s="218">
        <v>-358942546</v>
      </c>
      <c r="H1162" s="218">
        <v>1</v>
      </c>
      <c r="I1162" s="218">
        <v>618080027.27261567</v>
      </c>
      <c r="J1162" s="251">
        <v>0.97453079183092417</v>
      </c>
      <c r="K1162" s="218">
        <v>0</v>
      </c>
    </row>
    <row r="1163" spans="1:11">
      <c r="J1163" s="251"/>
    </row>
    <row r="1164" spans="1:11">
      <c r="A1164" s="216" t="s">
        <v>2125</v>
      </c>
      <c r="B1164" s="218">
        <v>0</v>
      </c>
      <c r="C1164" s="218">
        <v>0</v>
      </c>
      <c r="D1164" s="218">
        <v>0</v>
      </c>
      <c r="E1164" s="218">
        <v>0</v>
      </c>
      <c r="F1164" s="218">
        <v>0</v>
      </c>
      <c r="G1164" s="218">
        <v>0</v>
      </c>
      <c r="H1164" s="218">
        <v>0</v>
      </c>
      <c r="I1164" s="218">
        <v>0</v>
      </c>
      <c r="J1164" s="251">
        <v>0.97453079183092417</v>
      </c>
      <c r="K1164" s="218">
        <v>4245758</v>
      </c>
    </row>
    <row r="1165" spans="1:11">
      <c r="J1165" s="251"/>
    </row>
    <row r="1166" spans="1:11">
      <c r="A1166" s="216" t="s">
        <v>2126</v>
      </c>
      <c r="B1166" s="218">
        <v>8500825</v>
      </c>
      <c r="C1166" s="218">
        <v>0</v>
      </c>
      <c r="D1166" s="218">
        <v>-1613992</v>
      </c>
      <c r="E1166" s="218">
        <v>0</v>
      </c>
      <c r="F1166" s="218">
        <v>0</v>
      </c>
      <c r="G1166" s="218">
        <v>-2530113</v>
      </c>
      <c r="H1166" s="218">
        <v>0</v>
      </c>
      <c r="I1166" s="218">
        <v>4356720</v>
      </c>
      <c r="J1166" s="251">
        <v>0.97453079183092417</v>
      </c>
      <c r="K1166" s="218">
        <v>-18212790</v>
      </c>
    </row>
    <row r="1167" spans="1:11">
      <c r="J1167" s="251"/>
    </row>
    <row r="1168" spans="1:11">
      <c r="A1168" s="216" t="s">
        <v>2127</v>
      </c>
      <c r="B1168" s="218">
        <v>-31305102</v>
      </c>
      <c r="C1168" s="218">
        <v>0</v>
      </c>
      <c r="D1168" s="218">
        <v>1763040.9216342843</v>
      </c>
      <c r="E1168" s="218">
        <v>0</v>
      </c>
      <c r="F1168" s="218">
        <v>0</v>
      </c>
      <c r="G1168" s="218">
        <v>10853283</v>
      </c>
      <c r="H1168" s="218">
        <v>0</v>
      </c>
      <c r="I1168" s="218">
        <v>-18688778.078365717</v>
      </c>
      <c r="J1168" s="251">
        <v>0.97453079183092417</v>
      </c>
      <c r="K1168" s="296">
        <v>201584961</v>
      </c>
    </row>
    <row r="1170" spans="1:11" ht="13.5" thickBot="1">
      <c r="A1170" s="216" t="s">
        <v>3555</v>
      </c>
      <c r="B1170" s="296">
        <v>346494848</v>
      </c>
      <c r="C1170" s="296">
        <v>0</v>
      </c>
      <c r="D1170" s="296">
        <v>-19513898.921634283</v>
      </c>
      <c r="E1170" s="296">
        <v>0</v>
      </c>
      <c r="F1170" s="296">
        <v>0</v>
      </c>
      <c r="G1170" s="296">
        <v>-120127597</v>
      </c>
      <c r="H1170" s="296">
        <v>0</v>
      </c>
      <c r="I1170" s="296">
        <v>206853352.07836574</v>
      </c>
      <c r="J1170" s="251">
        <v>0.97453079183092417</v>
      </c>
      <c r="K1170" s="294">
        <v>1544355664.2007647</v>
      </c>
    </row>
    <row r="1171" spans="1:11" ht="13.5" thickTop="1">
      <c r="B1171" s="273"/>
      <c r="C1171" s="273"/>
      <c r="D1171" s="273"/>
      <c r="E1171" s="273"/>
      <c r="F1171" s="273"/>
      <c r="G1171" s="273"/>
      <c r="H1171" s="273"/>
      <c r="I1171" s="273"/>
    </row>
    <row r="1172" spans="1:11" ht="13.5" thickBot="1">
      <c r="A1172" s="216" t="s">
        <v>2581</v>
      </c>
      <c r="B1172" s="294">
        <v>2767320133</v>
      </c>
      <c r="C1172" s="294">
        <v>-28600804</v>
      </c>
      <c r="D1172" s="294">
        <v>-250878428.58173788</v>
      </c>
      <c r="E1172" s="294">
        <v>0</v>
      </c>
      <c r="F1172" s="294">
        <v>16265385</v>
      </c>
      <c r="G1172" s="294">
        <v>-919968801.33912373</v>
      </c>
      <c r="H1172" s="294">
        <v>2.6938459873199463</v>
      </c>
      <c r="I1172" s="294">
        <v>1584137486.7729845</v>
      </c>
    </row>
    <row r="1173" spans="1:11" ht="13.5" thickTop="1"/>
    <row r="1203" spans="1:5">
      <c r="D1203" s="94"/>
    </row>
    <row r="1204" spans="1:5">
      <c r="E1204" s="292" t="s">
        <v>2128</v>
      </c>
    </row>
    <row r="1205" spans="1:5">
      <c r="A1205" s="327" t="s">
        <v>2155</v>
      </c>
      <c r="C1205" s="216" t="s">
        <v>1557</v>
      </c>
    </row>
    <row r="1206" spans="1:5">
      <c r="A1206" s="327" t="s">
        <v>2129</v>
      </c>
      <c r="C1206" s="216"/>
    </row>
    <row r="1207" spans="1:5">
      <c r="C1207" s="216"/>
    </row>
    <row r="1210" spans="1:5">
      <c r="B1210" s="224" t="s">
        <v>43</v>
      </c>
    </row>
    <row r="1211" spans="1:5">
      <c r="A1211" s="216" t="s">
        <v>2114</v>
      </c>
      <c r="B1211" s="224" t="s">
        <v>2130</v>
      </c>
      <c r="C1211" s="224" t="s">
        <v>2564</v>
      </c>
      <c r="D1211" s="224" t="s">
        <v>2565</v>
      </c>
      <c r="E1211" s="224" t="s">
        <v>1431</v>
      </c>
    </row>
    <row r="1214" spans="1:5">
      <c r="A1214" s="216" t="s">
        <v>2572</v>
      </c>
      <c r="B1214" s="218">
        <v>662318915.20076466</v>
      </c>
      <c r="C1214" s="261">
        <v>0.4289</v>
      </c>
      <c r="D1214" s="269">
        <v>4.5776796900000001</v>
      </c>
      <c r="E1214" s="269">
        <v>1.96</v>
      </c>
    </row>
    <row r="1215" spans="1:5">
      <c r="D1215" s="269"/>
    </row>
    <row r="1216" spans="1:5">
      <c r="A1216" s="216" t="s">
        <v>2124</v>
      </c>
      <c r="B1216" s="218">
        <v>16531399</v>
      </c>
      <c r="C1216" s="261">
        <v>1.0699999999999999E-2</v>
      </c>
      <c r="D1216" s="269">
        <v>0.31</v>
      </c>
      <c r="E1216" s="269">
        <v>0</v>
      </c>
    </row>
    <row r="1217" spans="1:6">
      <c r="D1217" s="269"/>
      <c r="E1217" s="269"/>
    </row>
    <row r="1218" spans="1:6">
      <c r="A1218" s="216" t="s">
        <v>2574</v>
      </c>
      <c r="B1218" s="218">
        <v>53369489</v>
      </c>
      <c r="C1218" s="261">
        <v>3.4599999999999999E-2</v>
      </c>
      <c r="D1218" s="269">
        <v>6.3291889399999999</v>
      </c>
      <c r="E1218" s="269">
        <v>0.22</v>
      </c>
    </row>
    <row r="1219" spans="1:6">
      <c r="D1219" s="269"/>
      <c r="E1219" s="269"/>
    </row>
    <row r="1220" spans="1:6">
      <c r="A1220" s="216" t="s">
        <v>2575</v>
      </c>
      <c r="B1220" s="218">
        <v>22179914</v>
      </c>
      <c r="C1220" s="261">
        <v>1.44E-2</v>
      </c>
      <c r="D1220" s="269">
        <v>6.3</v>
      </c>
      <c r="E1220" s="269">
        <v>0.09</v>
      </c>
    </row>
    <row r="1221" spans="1:6">
      <c r="D1221" s="269"/>
      <c r="E1221" s="269"/>
    </row>
    <row r="1222" spans="1:6">
      <c r="A1222" s="216" t="s">
        <v>2576</v>
      </c>
      <c r="B1222" s="218">
        <v>602338018</v>
      </c>
      <c r="C1222" s="261">
        <v>0.39</v>
      </c>
      <c r="D1222" s="94">
        <v>12.000000000000004</v>
      </c>
      <c r="E1222" s="269">
        <v>4.68</v>
      </c>
    </row>
    <row r="1223" spans="1:6">
      <c r="A1223" s="84"/>
      <c r="B1223" s="84"/>
      <c r="D1223" s="94"/>
      <c r="E1223" s="94"/>
    </row>
    <row r="1224" spans="1:6">
      <c r="A1224" s="216" t="s">
        <v>1090</v>
      </c>
      <c r="B1224" s="218">
        <v>4245758</v>
      </c>
      <c r="C1224" s="261">
        <v>2.7000000000000001E-3</v>
      </c>
      <c r="D1224" s="328" t="s">
        <v>2583</v>
      </c>
      <c r="E1224" s="328" t="s">
        <v>2583</v>
      </c>
    </row>
    <row r="1225" spans="1:6">
      <c r="A1225" s="84"/>
      <c r="B1225" s="84"/>
      <c r="D1225" s="265"/>
      <c r="E1225" s="94"/>
    </row>
    <row r="1226" spans="1:6">
      <c r="A1226" s="216" t="s">
        <v>2127</v>
      </c>
      <c r="B1226" s="218">
        <v>-18212790</v>
      </c>
      <c r="C1226" s="261">
        <v>-1.18E-2</v>
      </c>
    </row>
    <row r="1228" spans="1:6">
      <c r="A1228" s="216" t="s">
        <v>3555</v>
      </c>
      <c r="B1228" s="296">
        <v>201584961</v>
      </c>
      <c r="C1228" s="329">
        <v>0.13049999999999995</v>
      </c>
      <c r="D1228" s="265"/>
      <c r="E1228" s="330"/>
    </row>
    <row r="1229" spans="1:6">
      <c r="A1229" s="84"/>
      <c r="B1229" s="84"/>
      <c r="C1229" s="84"/>
      <c r="D1229" s="84"/>
      <c r="E1229" s="84"/>
    </row>
    <row r="1230" spans="1:6" ht="13.5" thickBot="1">
      <c r="A1230" s="216" t="s">
        <v>2581</v>
      </c>
      <c r="B1230" s="294">
        <v>1544355664.2007647</v>
      </c>
      <c r="C1230" s="331">
        <v>1</v>
      </c>
      <c r="D1230" s="84"/>
      <c r="E1230" s="332">
        <v>6.9499999999999993</v>
      </c>
      <c r="F1230" s="215" t="s">
        <v>2582</v>
      </c>
    </row>
    <row r="1231" spans="1:6" ht="13.5" thickTop="1">
      <c r="A1231" s="84"/>
      <c r="B1231" s="84"/>
      <c r="C1231" s="84"/>
      <c r="D1231" s="84"/>
      <c r="E1231" s="84"/>
    </row>
    <row r="1234" spans="1:6">
      <c r="A1234" s="84"/>
      <c r="B1234" s="84"/>
      <c r="C1234" s="84"/>
      <c r="D1234" s="84"/>
      <c r="E1234" s="84"/>
    </row>
    <row r="1235" spans="1:6">
      <c r="A1235" s="84"/>
      <c r="B1235" s="84"/>
      <c r="C1235" s="84"/>
      <c r="D1235" s="84"/>
      <c r="E1235" s="84"/>
    </row>
    <row r="1236" spans="1:6">
      <c r="A1236" s="242" t="s">
        <v>2131</v>
      </c>
      <c r="B1236" s="84"/>
      <c r="C1236" s="84"/>
      <c r="D1236" s="84"/>
      <c r="E1236" s="84"/>
      <c r="F1236" s="84"/>
    </row>
    <row r="1237" spans="1:6" ht="13.5" thickBot="1">
      <c r="A1237" s="297" t="s">
        <v>3753</v>
      </c>
      <c r="B1237" s="84"/>
      <c r="C1237" s="84"/>
      <c r="D1237" s="84"/>
      <c r="E1237" s="333">
        <v>7.65</v>
      </c>
      <c r="F1237" s="84" t="s">
        <v>2582</v>
      </c>
    </row>
    <row r="1238" spans="1:6" ht="13.5" thickTop="1">
      <c r="F1238" s="84"/>
    </row>
    <row r="1259" spans="1:6">
      <c r="A1259" s="169"/>
    </row>
    <row r="1262" spans="1:6">
      <c r="A1262" s="169" t="s">
        <v>2132</v>
      </c>
      <c r="F1262" s="224" t="s">
        <v>2567</v>
      </c>
    </row>
    <row r="1263" spans="1:6">
      <c r="A1263" s="216" t="s">
        <v>2133</v>
      </c>
      <c r="B1263" s="224" t="s">
        <v>1086</v>
      </c>
      <c r="C1263" s="224" t="s">
        <v>1619</v>
      </c>
      <c r="D1263" s="224" t="s">
        <v>2134</v>
      </c>
      <c r="E1263" s="224" t="s">
        <v>2135</v>
      </c>
      <c r="F1263" s="224" t="s">
        <v>1619</v>
      </c>
    </row>
    <row r="1264" spans="1:6">
      <c r="A1264" s="216" t="s">
        <v>2136</v>
      </c>
      <c r="B1264" s="224" t="s">
        <v>1097</v>
      </c>
      <c r="C1264" s="224" t="s">
        <v>2137</v>
      </c>
      <c r="D1264" s="224" t="s">
        <v>1619</v>
      </c>
      <c r="E1264" s="224" t="s">
        <v>1364</v>
      </c>
      <c r="F1264" s="224" t="s">
        <v>1364</v>
      </c>
    </row>
    <row r="1265" spans="1:7">
      <c r="B1265" s="226"/>
      <c r="C1265" s="226"/>
    </row>
    <row r="1267" spans="1:7">
      <c r="A1267" s="216" t="s">
        <v>1899</v>
      </c>
      <c r="B1267" s="84">
        <v>33538873.289999999</v>
      </c>
      <c r="C1267" s="84">
        <v>170873.81</v>
      </c>
      <c r="D1267" s="218">
        <v>2050485.72</v>
      </c>
      <c r="E1267" s="264">
        <v>6.1137585102221545E-2</v>
      </c>
    </row>
    <row r="1268" spans="1:7">
      <c r="A1268" s="216" t="s">
        <v>1910</v>
      </c>
      <c r="B1268" s="84">
        <v>33794449.460000001</v>
      </c>
      <c r="C1268" s="84">
        <v>184434.15</v>
      </c>
      <c r="D1268" s="218">
        <v>2213209.7999999998</v>
      </c>
      <c r="E1268" s="264">
        <v>6.5490334518383361E-2</v>
      </c>
      <c r="G1268" s="261">
        <v>7.1195965769404443E-2</v>
      </c>
    </row>
    <row r="1269" spans="1:7">
      <c r="A1269" s="216" t="s">
        <v>588</v>
      </c>
      <c r="B1269" s="84">
        <v>33870400.810000002</v>
      </c>
      <c r="C1269" s="84">
        <v>168100.92</v>
      </c>
      <c r="D1269" s="218">
        <v>2017211.04</v>
      </c>
      <c r="E1269" s="264">
        <v>5.9556751374623011E-2</v>
      </c>
      <c r="G1269" s="261">
        <v>-9.0602425341021475E-2</v>
      </c>
    </row>
    <row r="1270" spans="1:7">
      <c r="A1270" s="216" t="s">
        <v>598</v>
      </c>
      <c r="B1270" s="84">
        <v>34730113.060000002</v>
      </c>
      <c r="C1270" s="84">
        <v>195693.19</v>
      </c>
      <c r="D1270" s="218">
        <v>2348318.2799999998</v>
      </c>
      <c r="E1270" s="264">
        <v>6.7616200268137E-2</v>
      </c>
      <c r="G1270" s="261">
        <v>0.1353238500672839</v>
      </c>
    </row>
    <row r="1271" spans="1:7">
      <c r="A1271" s="216" t="s">
        <v>609</v>
      </c>
      <c r="B1271" s="84">
        <v>34888110.310000002</v>
      </c>
      <c r="C1271" s="84">
        <v>177182.46</v>
      </c>
      <c r="D1271" s="218">
        <v>2126189.52</v>
      </c>
      <c r="E1271" s="264">
        <v>6.0943097837849042E-2</v>
      </c>
      <c r="G1271" s="261">
        <v>-9.8690881827509999E-2</v>
      </c>
    </row>
    <row r="1272" spans="1:7">
      <c r="A1272" s="216" t="s">
        <v>618</v>
      </c>
      <c r="B1272" s="84">
        <v>35003223.880000003</v>
      </c>
      <c r="C1272" s="84">
        <v>185444.17</v>
      </c>
      <c r="D1272" s="218">
        <v>2225330.04</v>
      </c>
      <c r="E1272" s="264">
        <v>6.3575002337756092E-2</v>
      </c>
      <c r="G1272" s="261">
        <v>4.3186260516486122E-2</v>
      </c>
    </row>
    <row r="1273" spans="1:7">
      <c r="A1273" s="216" t="s">
        <v>629</v>
      </c>
      <c r="B1273" s="84">
        <v>35695393.530000001</v>
      </c>
      <c r="C1273" s="84">
        <v>176011.43</v>
      </c>
      <c r="D1273" s="218">
        <v>2112137.16</v>
      </c>
      <c r="E1273" s="264">
        <v>5.9171140898751147E-2</v>
      </c>
      <c r="G1273" s="261">
        <v>-6.9270330744283251E-2</v>
      </c>
    </row>
    <row r="1274" spans="1:7">
      <c r="A1274" s="216" t="s">
        <v>639</v>
      </c>
      <c r="B1274" s="84">
        <v>35610176.130000003</v>
      </c>
      <c r="C1274" s="84">
        <v>167444.9</v>
      </c>
      <c r="D1274" s="218">
        <v>2009338.8</v>
      </c>
      <c r="E1274" s="264">
        <v>5.6425971965559041E-2</v>
      </c>
      <c r="G1274" s="261">
        <v>-4.6393713075254313E-2</v>
      </c>
    </row>
    <row r="1275" spans="1:7">
      <c r="A1275" s="216" t="s">
        <v>649</v>
      </c>
      <c r="B1275" s="84">
        <v>35604731.079999998</v>
      </c>
      <c r="C1275" s="84">
        <v>188775.87</v>
      </c>
      <c r="D1275" s="218">
        <v>2265310.44</v>
      </c>
      <c r="E1275" s="264">
        <v>6.3623860405239152E-2</v>
      </c>
      <c r="G1275" s="261">
        <v>0.12756339304307451</v>
      </c>
    </row>
    <row r="1276" spans="1:7">
      <c r="A1276" s="216" t="s">
        <v>658</v>
      </c>
      <c r="B1276" s="84">
        <v>35599534.43</v>
      </c>
      <c r="C1276" s="84">
        <v>197711.39</v>
      </c>
      <c r="D1276" s="218">
        <v>2372536.6800000002</v>
      </c>
      <c r="E1276" s="264">
        <v>6.6645160336721854E-2</v>
      </c>
      <c r="G1276" s="261">
        <v>4.748690054704556E-2</v>
      </c>
    </row>
    <row r="1277" spans="1:7">
      <c r="A1277" s="216" t="s">
        <v>1557</v>
      </c>
      <c r="B1277" s="84">
        <v>35676426.450000003</v>
      </c>
      <c r="C1277" s="84">
        <v>191319.79</v>
      </c>
      <c r="D1277" s="218">
        <v>2295837.48</v>
      </c>
      <c r="E1277" s="264">
        <v>6.4351666028479138E-2</v>
      </c>
      <c r="G1277" s="261">
        <v>-3.4413516250166303E-2</v>
      </c>
    </row>
    <row r="1278" spans="1:7">
      <c r="A1278" s="216" t="s">
        <v>679</v>
      </c>
      <c r="B1278" s="84">
        <v>35863193.859999999</v>
      </c>
      <c r="C1278" s="84">
        <v>200525.03</v>
      </c>
      <c r="D1278" s="218">
        <v>2406300.36</v>
      </c>
      <c r="E1278" s="264">
        <v>6.7096655400897418E-2</v>
      </c>
      <c r="G1278" s="261">
        <v>4.2656073134197829E-2</v>
      </c>
    </row>
    <row r="1279" spans="1:7">
      <c r="A1279" s="216" t="s">
        <v>1557</v>
      </c>
      <c r="B1279" s="84">
        <v>35913603.859999999</v>
      </c>
      <c r="C1279" s="84">
        <v>176264.13</v>
      </c>
      <c r="D1279" s="218">
        <v>2115169.56</v>
      </c>
      <c r="E1279" s="264">
        <v>5.8896054215150553E-2</v>
      </c>
      <c r="F1279" s="334"/>
      <c r="G1279" s="261">
        <v>-0.12222071482921011</v>
      </c>
    </row>
    <row r="1280" spans="1:7">
      <c r="A1280" s="216"/>
      <c r="B1280" s="323"/>
      <c r="C1280" s="323"/>
      <c r="D1280" s="280"/>
      <c r="E1280" s="335"/>
      <c r="F1280" s="335"/>
      <c r="G1280" s="280"/>
    </row>
    <row r="1281" spans="1:8">
      <c r="B1281" s="218">
        <v>35060633</v>
      </c>
      <c r="C1281" s="218">
        <v>2208907.4300000002</v>
      </c>
      <c r="D1281" s="218">
        <v>2208907.4300000002</v>
      </c>
      <c r="E1281" s="334">
        <v>5.8900000000000001E-2</v>
      </c>
      <c r="F1281" s="334">
        <v>6.3E-2</v>
      </c>
    </row>
    <row r="1282" spans="1:8">
      <c r="B1282" s="84"/>
      <c r="C1282" s="84"/>
      <c r="E1282" s="264"/>
      <c r="F1282" s="336"/>
    </row>
    <row r="1283" spans="1:8">
      <c r="B1283" s="84"/>
      <c r="C1283" s="84"/>
      <c r="E1283" s="264"/>
      <c r="F1283" s="264"/>
    </row>
    <row r="1284" spans="1:8">
      <c r="B1284" s="84"/>
      <c r="C1284" s="84"/>
      <c r="E1284" s="264"/>
      <c r="F1284" s="264"/>
    </row>
    <row r="1285" spans="1:8">
      <c r="B1285" s="84"/>
      <c r="C1285" s="84"/>
      <c r="E1285" s="264"/>
      <c r="F1285" s="264"/>
    </row>
    <row r="1286" spans="1:8">
      <c r="B1286" s="84"/>
      <c r="C1286" s="84"/>
      <c r="E1286" s="264"/>
      <c r="F1286" s="264"/>
    </row>
    <row r="1287" spans="1:8">
      <c r="A1287" s="216" t="s">
        <v>2138</v>
      </c>
      <c r="B1287" s="84"/>
      <c r="C1287" s="84"/>
      <c r="E1287" s="264"/>
      <c r="F1287" s="264"/>
    </row>
    <row r="1288" spans="1:8">
      <c r="B1288" s="84"/>
      <c r="C1288" s="84"/>
      <c r="E1288" s="264"/>
      <c r="F1288" s="264"/>
    </row>
    <row r="1289" spans="1:8">
      <c r="B1289" s="84"/>
      <c r="C1289" s="84"/>
      <c r="E1289" s="264"/>
      <c r="F1289" s="264"/>
    </row>
    <row r="1290" spans="1:8">
      <c r="B1290" s="84"/>
      <c r="C1290" s="84"/>
      <c r="E1290" s="264"/>
      <c r="F1290" s="264"/>
    </row>
    <row r="1295" spans="1:8">
      <c r="H1295" s="292" t="s">
        <v>2154</v>
      </c>
    </row>
    <row r="1297" spans="1:8">
      <c r="A1297" s="337" t="s">
        <v>2155</v>
      </c>
      <c r="B1297" s="337"/>
      <c r="C1297" s="337"/>
      <c r="D1297" s="337"/>
      <c r="E1297" s="337"/>
      <c r="F1297" s="337"/>
      <c r="G1297" s="337"/>
      <c r="H1297" s="337"/>
    </row>
    <row r="1298" spans="1:8">
      <c r="A1298" s="224" t="s">
        <v>2156</v>
      </c>
      <c r="B1298" s="224"/>
      <c r="C1298" s="224"/>
      <c r="D1298" s="224"/>
      <c r="E1298" s="224"/>
      <c r="F1298" s="224"/>
      <c r="G1298" s="224"/>
      <c r="H1298" s="224"/>
    </row>
    <row r="1299" spans="1:8">
      <c r="A1299" s="298" t="s">
        <v>1557</v>
      </c>
      <c r="B1299" s="298"/>
      <c r="C1299" s="298"/>
      <c r="D1299" s="298"/>
      <c r="E1299" s="298"/>
      <c r="F1299" s="298"/>
      <c r="G1299" s="298"/>
      <c r="H1299" s="298"/>
    </row>
    <row r="1303" spans="1:8">
      <c r="D1303" s="224" t="s">
        <v>2158</v>
      </c>
      <c r="E1303" s="224" t="s">
        <v>2159</v>
      </c>
      <c r="F1303" s="224" t="s">
        <v>2160</v>
      </c>
      <c r="G1303" s="224" t="s">
        <v>2161</v>
      </c>
      <c r="H1303" s="224" t="s">
        <v>2162</v>
      </c>
    </row>
    <row r="1304" spans="1:8">
      <c r="D1304" s="224" t="s">
        <v>2163</v>
      </c>
      <c r="E1304" s="224" t="s">
        <v>2164</v>
      </c>
      <c r="F1304" s="224" t="s">
        <v>2164</v>
      </c>
      <c r="G1304" s="224" t="s">
        <v>2165</v>
      </c>
      <c r="H1304" s="224" t="s">
        <v>2165</v>
      </c>
    </row>
    <row r="1305" spans="1:8">
      <c r="D1305" s="224" t="s">
        <v>2166</v>
      </c>
      <c r="E1305" s="224" t="s">
        <v>2167</v>
      </c>
      <c r="F1305" s="224" t="s">
        <v>2168</v>
      </c>
      <c r="G1305" s="224" t="s">
        <v>2167</v>
      </c>
      <c r="H1305" s="224" t="s">
        <v>2168</v>
      </c>
    </row>
    <row r="1307" spans="1:8">
      <c r="A1307" s="216" t="s">
        <v>2169</v>
      </c>
    </row>
    <row r="1308" spans="1:8">
      <c r="A1308" s="216" t="s">
        <v>2170</v>
      </c>
    </row>
    <row r="1309" spans="1:8">
      <c r="A1309" s="216" t="s">
        <v>2139</v>
      </c>
    </row>
    <row r="1310" spans="1:8">
      <c r="D1310" s="216" t="s">
        <v>2140</v>
      </c>
      <c r="E1310" s="216" t="s">
        <v>2141</v>
      </c>
    </row>
    <row r="1311" spans="1:8">
      <c r="A1311" s="216" t="s">
        <v>2173</v>
      </c>
      <c r="D1311" s="312">
        <v>149784254.60267973</v>
      </c>
      <c r="E1311" s="312">
        <v>-73775213.342679679</v>
      </c>
      <c r="F1311" s="312">
        <v>76009041.26000005</v>
      </c>
      <c r="G1311" s="312">
        <v>0</v>
      </c>
      <c r="H1311" s="312">
        <v>76009041.26000005</v>
      </c>
    </row>
    <row r="1312" spans="1:8">
      <c r="A1312" s="216" t="s">
        <v>2174</v>
      </c>
      <c r="D1312" s="218">
        <v>2453507490.0099955</v>
      </c>
      <c r="E1312" s="218">
        <v>-909151825.8092308</v>
      </c>
      <c r="F1312" s="218">
        <v>1544355664.2007647</v>
      </c>
      <c r="G1312" s="218">
        <v>0</v>
      </c>
      <c r="H1312" s="218">
        <v>1544355664.2007647</v>
      </c>
    </row>
    <row r="1313" spans="1:8">
      <c r="A1313" s="216" t="s">
        <v>2175</v>
      </c>
      <c r="D1313" s="261">
        <v>6.1049030912911341E-2</v>
      </c>
      <c r="F1313" s="261">
        <v>4.9217316335830111E-2</v>
      </c>
      <c r="H1313" s="261">
        <v>4.9217316335830111E-2</v>
      </c>
    </row>
    <row r="1315" spans="1:8">
      <c r="A1315" s="216" t="s">
        <v>2176</v>
      </c>
    </row>
    <row r="1316" spans="1:8">
      <c r="A1316" s="216" t="s">
        <v>2170</v>
      </c>
    </row>
    <row r="1317" spans="1:8">
      <c r="A1317" s="216" t="s">
        <v>2139</v>
      </c>
    </row>
    <row r="1318" spans="1:8">
      <c r="D1318" s="216" t="s">
        <v>2140</v>
      </c>
      <c r="E1318" s="216" t="s">
        <v>2141</v>
      </c>
    </row>
    <row r="1319" spans="1:8">
      <c r="A1319" s="216" t="s">
        <v>2173</v>
      </c>
      <c r="D1319" s="312">
        <v>149772545.60267973</v>
      </c>
      <c r="E1319" s="312">
        <v>-73689332.342679679</v>
      </c>
      <c r="F1319" s="312">
        <v>76083213.26000005</v>
      </c>
      <c r="G1319" s="312">
        <v>0</v>
      </c>
      <c r="H1319" s="312">
        <v>76083213.26000005</v>
      </c>
    </row>
    <row r="1320" spans="1:8">
      <c r="A1320" s="216" t="s">
        <v>2177</v>
      </c>
      <c r="D1320" s="218">
        <v>2540665981.2007647</v>
      </c>
      <c r="E1320" s="218">
        <v>-954448430</v>
      </c>
      <c r="F1320" s="218">
        <v>1586217551.2007647</v>
      </c>
      <c r="G1320" s="218">
        <v>0</v>
      </c>
      <c r="H1320" s="218">
        <v>1586217551.2007647</v>
      </c>
    </row>
    <row r="1321" spans="1:8">
      <c r="A1321" s="216" t="s">
        <v>2178</v>
      </c>
      <c r="D1321" s="261">
        <v>5.8950112573198037E-2</v>
      </c>
      <c r="F1321" s="261">
        <v>4.7965181826670089E-2</v>
      </c>
      <c r="H1321" s="261">
        <v>4.7965181826670089E-2</v>
      </c>
    </row>
    <row r="1324" spans="1:8">
      <c r="A1324" s="216" t="s">
        <v>2179</v>
      </c>
    </row>
    <row r="1325" spans="1:8">
      <c r="A1325" s="216" t="s">
        <v>2180</v>
      </c>
    </row>
    <row r="1327" spans="1:8">
      <c r="A1327" s="216" t="s">
        <v>2181</v>
      </c>
    </row>
    <row r="1328" spans="1:8">
      <c r="A1328" s="216" t="s">
        <v>2182</v>
      </c>
    </row>
    <row r="1329" spans="1:5">
      <c r="A1329" s="216" t="s">
        <v>2183</v>
      </c>
    </row>
    <row r="1330" spans="1:5">
      <c r="A1330" s="216" t="s">
        <v>2142</v>
      </c>
    </row>
    <row r="1332" spans="1:5">
      <c r="A1332" s="216" t="s">
        <v>2184</v>
      </c>
      <c r="D1332" s="261">
        <v>6.4500752748999982E-2</v>
      </c>
    </row>
    <row r="1333" spans="1:5">
      <c r="A1333" s="216" t="s">
        <v>2185</v>
      </c>
      <c r="D1333" s="261">
        <v>6.9391775774999997E-2</v>
      </c>
    </row>
    <row r="1334" spans="1:5">
      <c r="A1334" s="216" t="s">
        <v>2186</v>
      </c>
      <c r="D1334" s="261">
        <v>7.2326389591000004E-2</v>
      </c>
    </row>
    <row r="1336" spans="1:5">
      <c r="A1336" s="216" t="s">
        <v>2187</v>
      </c>
    </row>
    <row r="1338" spans="1:5">
      <c r="A1338" s="216" t="s">
        <v>2467</v>
      </c>
      <c r="D1338" s="269">
        <v>4.0937296465990629</v>
      </c>
      <c r="E1338" s="216" t="s">
        <v>2468</v>
      </c>
    </row>
    <row r="1339" spans="1:5">
      <c r="A1339" s="216" t="s">
        <v>2469</v>
      </c>
      <c r="D1339" s="269">
        <v>3.8994366423985243</v>
      </c>
      <c r="E1339" s="216" t="s">
        <v>2468</v>
      </c>
    </row>
    <row r="1340" spans="1:5">
      <c r="A1340" s="216" t="s">
        <v>2470</v>
      </c>
      <c r="D1340" s="261">
        <v>9.1857513560172688E-2</v>
      </c>
      <c r="E1340" s="216" t="s">
        <v>2471</v>
      </c>
    </row>
    <row r="1341" spans="1:5">
      <c r="A1341" s="216" t="s">
        <v>2472</v>
      </c>
      <c r="D1341" s="261">
        <v>0.52669081030152143</v>
      </c>
      <c r="E1341" s="216" t="s">
        <v>2471</v>
      </c>
    </row>
    <row r="1342" spans="1:5">
      <c r="A1342" s="216" t="s">
        <v>2473</v>
      </c>
      <c r="D1342" s="261">
        <v>0.496283416633717</v>
      </c>
      <c r="E1342" s="216" t="s">
        <v>2474</v>
      </c>
    </row>
    <row r="1343" spans="1:5">
      <c r="A1343" s="216" t="s">
        <v>2475</v>
      </c>
      <c r="D1343" s="261">
        <v>1.2387173292443725E-2</v>
      </c>
      <c r="E1343" s="216" t="s">
        <v>2474</v>
      </c>
    </row>
    <row r="1344" spans="1:5">
      <c r="A1344" s="216" t="s">
        <v>2476</v>
      </c>
      <c r="D1344" s="261">
        <v>6.8273992824560092E-2</v>
      </c>
      <c r="E1344" s="216" t="s">
        <v>2474</v>
      </c>
    </row>
    <row r="1345" spans="1:10">
      <c r="A1345" s="236" t="s">
        <v>2477</v>
      </c>
      <c r="D1345" s="261">
        <v>6.8273992622997715E-2</v>
      </c>
      <c r="E1345" s="236" t="s">
        <v>2478</v>
      </c>
    </row>
    <row r="1346" spans="1:10">
      <c r="A1346" s="216"/>
    </row>
    <row r="1347" spans="1:10">
      <c r="A1347" s="216" t="s">
        <v>2479</v>
      </c>
    </row>
    <row r="1348" spans="1:10">
      <c r="A1348" s="216"/>
    </row>
    <row r="1349" spans="1:10">
      <c r="A1349" s="216" t="s">
        <v>2480</v>
      </c>
    </row>
    <row r="1350" spans="1:10">
      <c r="A1350" s="216" t="s">
        <v>2481</v>
      </c>
    </row>
    <row r="1351" spans="1:10">
      <c r="A1351" s="216" t="s">
        <v>2482</v>
      </c>
    </row>
    <row r="1353" spans="1:10">
      <c r="A1353" s="224" t="s">
        <v>2483</v>
      </c>
      <c r="C1353" s="224" t="s">
        <v>2484</v>
      </c>
      <c r="F1353" s="224" t="s">
        <v>2485</v>
      </c>
    </row>
    <row r="1355" spans="1:10">
      <c r="A1355" s="338"/>
      <c r="B1355" s="338"/>
      <c r="C1355" s="338"/>
      <c r="D1355" s="338"/>
      <c r="E1355" s="338"/>
      <c r="F1355" s="338"/>
      <c r="G1355" s="338"/>
      <c r="H1355" s="338"/>
      <c r="I1355" s="292"/>
      <c r="J1355" s="292" t="s">
        <v>2488</v>
      </c>
    </row>
    <row r="1356" spans="1:10">
      <c r="A1356" s="224" t="s">
        <v>2155</v>
      </c>
      <c r="B1356" s="224"/>
      <c r="C1356" s="224"/>
      <c r="D1356" s="224"/>
      <c r="E1356" s="224"/>
      <c r="F1356" s="224"/>
      <c r="G1356" s="224"/>
      <c r="H1356" s="224"/>
      <c r="I1356" s="224"/>
    </row>
    <row r="1357" spans="1:10">
      <c r="A1357" s="224" t="s">
        <v>2489</v>
      </c>
      <c r="B1357" s="224"/>
      <c r="C1357" s="224"/>
      <c r="D1357" s="224"/>
      <c r="E1357" s="224"/>
      <c r="F1357" s="224"/>
      <c r="G1357" s="224"/>
      <c r="H1357" s="224"/>
      <c r="I1357" s="224"/>
    </row>
    <row r="1358" spans="1:10">
      <c r="A1358" s="298" t="s">
        <v>1557</v>
      </c>
      <c r="B1358" s="298"/>
      <c r="C1358" s="298"/>
      <c r="D1358" s="298"/>
      <c r="E1358" s="298"/>
      <c r="F1358" s="298"/>
      <c r="G1358" s="298"/>
      <c r="H1358" s="298"/>
      <c r="I1358" s="298"/>
    </row>
    <row r="1359" spans="1:10">
      <c r="A1359" s="216" t="s">
        <v>2490</v>
      </c>
      <c r="F1359" s="216" t="s">
        <v>2491</v>
      </c>
    </row>
    <row r="1360" spans="1:10">
      <c r="F1360" s="216" t="s">
        <v>2492</v>
      </c>
    </row>
    <row r="1361" spans="1:9">
      <c r="A1361" s="216" t="s">
        <v>2493</v>
      </c>
      <c r="D1361" s="84">
        <v>168246585.33000019</v>
      </c>
    </row>
    <row r="1362" spans="1:9">
      <c r="A1362" s="216" t="s">
        <v>2495</v>
      </c>
      <c r="D1362" s="84">
        <v>3173313.4</v>
      </c>
    </row>
    <row r="1363" spans="1:9">
      <c r="A1363" s="216" t="s">
        <v>2496</v>
      </c>
      <c r="D1363" s="302">
        <v>63210043.750000007</v>
      </c>
    </row>
    <row r="1364" spans="1:9">
      <c r="F1364" s="216" t="s">
        <v>2497</v>
      </c>
    </row>
    <row r="1365" spans="1:9">
      <c r="A1365" s="216" t="s">
        <v>2498</v>
      </c>
      <c r="D1365" s="218">
        <v>234629942.4800002</v>
      </c>
      <c r="F1365" s="216" t="s">
        <v>2499</v>
      </c>
    </row>
    <row r="1366" spans="1:9">
      <c r="A1366" s="216" t="s">
        <v>2500</v>
      </c>
      <c r="D1366" s="302">
        <v>57314469.379999995</v>
      </c>
      <c r="F1366" s="84"/>
    </row>
    <row r="1367" spans="1:9">
      <c r="A1367" s="216" t="s">
        <v>2501</v>
      </c>
      <c r="F1367" s="84"/>
    </row>
    <row r="1368" spans="1:9" ht="13.5" thickBot="1">
      <c r="A1368" s="216" t="s">
        <v>2502</v>
      </c>
      <c r="D1368" s="332">
        <v>4.0937296465990629</v>
      </c>
      <c r="E1368" s="216" t="s">
        <v>2503</v>
      </c>
      <c r="F1368" s="216" t="s">
        <v>2504</v>
      </c>
      <c r="I1368" s="218">
        <v>662318915.20076466</v>
      </c>
    </row>
    <row r="1369" spans="1:9" ht="13.5" thickTop="1">
      <c r="F1369" s="216" t="s">
        <v>2505</v>
      </c>
      <c r="I1369" s="218">
        <v>16531399</v>
      </c>
    </row>
    <row r="1370" spans="1:9">
      <c r="A1370" s="216" t="s">
        <v>2506</v>
      </c>
      <c r="F1370" s="216" t="s">
        <v>2507</v>
      </c>
      <c r="I1370" s="218">
        <v>53369489</v>
      </c>
    </row>
    <row r="1371" spans="1:9">
      <c r="F1371" s="216" t="s">
        <v>2508</v>
      </c>
      <c r="I1371" s="296">
        <v>602338018</v>
      </c>
    </row>
    <row r="1372" spans="1:9">
      <c r="A1372" s="216" t="s">
        <v>2493</v>
      </c>
      <c r="D1372" s="218">
        <v>168246585.33000019</v>
      </c>
    </row>
    <row r="1373" spans="1:9">
      <c r="A1373" s="216" t="s">
        <v>2509</v>
      </c>
      <c r="D1373" s="84">
        <v>-7962487.04</v>
      </c>
      <c r="F1373" s="216" t="s">
        <v>2498</v>
      </c>
      <c r="I1373" s="218">
        <v>1334557821.2007647</v>
      </c>
    </row>
    <row r="1374" spans="1:9">
      <c r="A1374" s="216" t="s">
        <v>2496</v>
      </c>
      <c r="D1374" s="296">
        <v>63210043.750000007</v>
      </c>
      <c r="F1374" s="84"/>
    </row>
    <row r="1375" spans="1:9" ht="13.5" thickBot="1">
      <c r="F1375" s="242" t="s">
        <v>2510</v>
      </c>
      <c r="I1375" s="331">
        <v>0.496283416633717</v>
      </c>
    </row>
    <row r="1376" spans="1:9" ht="13.5" thickTop="1">
      <c r="A1376" s="216" t="s">
        <v>2498</v>
      </c>
      <c r="D1376" s="218">
        <v>223494142.0400002</v>
      </c>
      <c r="F1376" s="84"/>
    </row>
    <row r="1377" spans="1:10" ht="13.5" thickBot="1">
      <c r="A1377" s="216" t="s">
        <v>2500</v>
      </c>
      <c r="D1377" s="296">
        <v>57314469.379999995</v>
      </c>
      <c r="F1377" s="242" t="s">
        <v>2511</v>
      </c>
      <c r="I1377" s="331">
        <v>1.2387173292443725E-2</v>
      </c>
    </row>
    <row r="1378" spans="1:10" ht="13.5" thickTop="1">
      <c r="A1378" s="216" t="s">
        <v>2501</v>
      </c>
      <c r="F1378" s="84"/>
    </row>
    <row r="1379" spans="1:10" ht="13.5" thickBot="1">
      <c r="A1379" s="216" t="s">
        <v>2512</v>
      </c>
      <c r="D1379" s="332">
        <v>3.8994366423985243</v>
      </c>
      <c r="E1379" s="216" t="s">
        <v>2503</v>
      </c>
      <c r="F1379" s="84"/>
    </row>
    <row r="1380" spans="1:10" ht="13.5" thickTop="1">
      <c r="F1380" s="216" t="s">
        <v>2513</v>
      </c>
    </row>
    <row r="1381" spans="1:10">
      <c r="A1381" s="216" t="s">
        <v>2514</v>
      </c>
      <c r="F1381" s="216" t="s">
        <v>2515</v>
      </c>
    </row>
    <row r="1382" spans="1:10">
      <c r="A1382" s="216" t="s">
        <v>2516</v>
      </c>
      <c r="I1382" s="226" t="s">
        <v>2517</v>
      </c>
      <c r="J1382" s="226" t="s">
        <v>2518</v>
      </c>
    </row>
    <row r="1383" spans="1:10">
      <c r="I1383" s="226" t="s">
        <v>2519</v>
      </c>
      <c r="J1383" s="226" t="s">
        <v>2520</v>
      </c>
    </row>
    <row r="1384" spans="1:10">
      <c r="F1384" s="216" t="s">
        <v>2521</v>
      </c>
    </row>
    <row r="1385" spans="1:10">
      <c r="A1385" s="216" t="s">
        <v>2495</v>
      </c>
      <c r="D1385" s="218">
        <v>3173313.4</v>
      </c>
      <c r="F1385" s="216" t="s">
        <v>2522</v>
      </c>
      <c r="I1385" s="329">
        <v>4.9217316300000001E-2</v>
      </c>
      <c r="J1385" s="339">
        <v>4.9217316300000001E-2</v>
      </c>
    </row>
    <row r="1386" spans="1:10">
      <c r="A1386" s="216" t="s">
        <v>2523</v>
      </c>
      <c r="D1386" s="340">
        <v>0.61424999999999996</v>
      </c>
    </row>
    <row r="1387" spans="1:10">
      <c r="F1387" s="216" t="s">
        <v>2524</v>
      </c>
    </row>
    <row r="1388" spans="1:10">
      <c r="A1388" s="216" t="s">
        <v>2525</v>
      </c>
      <c r="D1388" s="218">
        <v>1949207.7559499999</v>
      </c>
      <c r="F1388" s="216" t="s">
        <v>2526</v>
      </c>
    </row>
    <row r="1389" spans="1:10">
      <c r="A1389" s="216" t="s">
        <v>2509</v>
      </c>
      <c r="D1389" s="296">
        <v>7962487.04</v>
      </c>
    </row>
    <row r="1390" spans="1:10">
      <c r="F1390" s="216" t="s">
        <v>2527</v>
      </c>
      <c r="I1390" s="271">
        <v>-1.9220133399999999</v>
      </c>
      <c r="J1390" s="271">
        <v>-1.9220133354</v>
      </c>
    </row>
    <row r="1391" spans="1:10">
      <c r="A1391" s="216" t="s">
        <v>2498</v>
      </c>
      <c r="D1391" s="296">
        <v>9911694.7959499992</v>
      </c>
      <c r="F1391" s="216" t="s">
        <v>2529</v>
      </c>
      <c r="I1391" s="271">
        <v>-3.3183599999999998E-3</v>
      </c>
      <c r="J1391" s="271">
        <v>-3.3183636000000002E-3</v>
      </c>
    </row>
    <row r="1392" spans="1:10">
      <c r="F1392" s="216" t="s">
        <v>2530</v>
      </c>
      <c r="I1392" s="271">
        <v>-0.22108012000000002</v>
      </c>
      <c r="J1392" s="271">
        <v>-0.2210801245</v>
      </c>
    </row>
    <row r="1393" spans="1:10">
      <c r="A1393" s="216" t="s">
        <v>2531</v>
      </c>
      <c r="F1393" s="216" t="s">
        <v>2532</v>
      </c>
      <c r="I1393" s="271">
        <v>-9.0480099999999994E-2</v>
      </c>
      <c r="J1393" s="271">
        <v>-9.0480102100000001E-2</v>
      </c>
    </row>
    <row r="1394" spans="1:10">
      <c r="A1394" s="216" t="s">
        <v>2533</v>
      </c>
      <c r="D1394" s="302">
        <v>107902929.3500002</v>
      </c>
      <c r="F1394" s="216" t="s">
        <v>2534</v>
      </c>
      <c r="I1394" s="271"/>
      <c r="J1394" s="271"/>
    </row>
    <row r="1395" spans="1:10">
      <c r="A1395" s="216" t="s">
        <v>2535</v>
      </c>
      <c r="F1395" s="236" t="s">
        <v>2536</v>
      </c>
      <c r="I1395" s="341">
        <v>-2.198021E-2</v>
      </c>
      <c r="J1395" s="341">
        <v>-2.1980212200000002E-2</v>
      </c>
    </row>
    <row r="1396" spans="1:10" ht="13.5" thickBot="1">
      <c r="A1396" s="216" t="s">
        <v>2537</v>
      </c>
      <c r="D1396" s="331">
        <v>9.1857513560172688E-2</v>
      </c>
      <c r="I1396" s="271"/>
    </row>
    <row r="1397" spans="1:10" ht="13.5" thickTop="1">
      <c r="F1397" s="216" t="s">
        <v>2538</v>
      </c>
      <c r="I1397" s="341">
        <v>-2.2588721300000003</v>
      </c>
      <c r="J1397" s="341">
        <v>-2.2588721377999996</v>
      </c>
    </row>
    <row r="1398" spans="1:10">
      <c r="A1398" s="216" t="s">
        <v>2539</v>
      </c>
      <c r="I1398" s="271"/>
    </row>
    <row r="1399" spans="1:10">
      <c r="F1399" s="216" t="s">
        <v>2498</v>
      </c>
      <c r="I1399" s="271">
        <v>2.6628594999999997</v>
      </c>
      <c r="J1399" s="271">
        <v>2.6628594922000004</v>
      </c>
    </row>
    <row r="1400" spans="1:10">
      <c r="A1400" s="216" t="s">
        <v>2540</v>
      </c>
      <c r="D1400" s="218">
        <v>114105429.35000004</v>
      </c>
      <c r="F1400" s="216" t="s">
        <v>2541</v>
      </c>
      <c r="I1400" s="341">
        <v>39.002545329999997</v>
      </c>
      <c r="J1400" s="341">
        <v>39.002545330899999</v>
      </c>
    </row>
    <row r="1401" spans="1:10">
      <c r="A1401" s="216" t="s">
        <v>2542</v>
      </c>
      <c r="D1401" s="218">
        <v>-6202500.0000000047</v>
      </c>
      <c r="I1401" s="271"/>
    </row>
    <row r="1402" spans="1:10" ht="13.5" thickBot="1">
      <c r="A1402" s="216" t="s">
        <v>2543</v>
      </c>
      <c r="D1402" s="218">
        <v>-105725000</v>
      </c>
      <c r="F1402" s="216" t="s">
        <v>2544</v>
      </c>
      <c r="I1402" s="331">
        <v>6.8273992824560092E-2</v>
      </c>
      <c r="J1402" s="331">
        <v>6.8273992622997715E-2</v>
      </c>
    </row>
    <row r="1403" spans="1:10" ht="13.5" thickTop="1">
      <c r="A1403" s="216" t="s">
        <v>2545</v>
      </c>
      <c r="D1403" s="218">
        <v>-11135800.439999999</v>
      </c>
    </row>
    <row r="1404" spans="1:10">
      <c r="A1404" s="216" t="s">
        <v>2546</v>
      </c>
      <c r="D1404" s="218">
        <v>134790028.13999999</v>
      </c>
    </row>
    <row r="1405" spans="1:10">
      <c r="A1405" s="216" t="s">
        <v>2547</v>
      </c>
      <c r="D1405" s="218">
        <v>92581584.150000006</v>
      </c>
    </row>
    <row r="1406" spans="1:10">
      <c r="A1406" s="216" t="s">
        <v>2548</v>
      </c>
      <c r="D1406" s="218">
        <v>0</v>
      </c>
    </row>
    <row r="1407" spans="1:10">
      <c r="A1407" s="216" t="s">
        <v>2549</v>
      </c>
      <c r="D1407" s="296">
        <v>-41383866.13000001</v>
      </c>
    </row>
    <row r="1409" spans="1:4">
      <c r="A1409" s="216" t="s">
        <v>2550</v>
      </c>
      <c r="D1409" s="218">
        <v>177029875.07000005</v>
      </c>
    </row>
    <row r="1410" spans="1:4">
      <c r="A1410" s="216" t="s">
        <v>2551</v>
      </c>
    </row>
    <row r="1411" spans="1:4">
      <c r="A1411" s="216" t="s">
        <v>2552</v>
      </c>
      <c r="D1411" s="296">
        <v>336117265.78000003</v>
      </c>
    </row>
    <row r="1413" spans="1:4" ht="13.5" thickBot="1">
      <c r="A1413" s="216" t="s">
        <v>2553</v>
      </c>
      <c r="D1413" s="331">
        <v>0.52669081030152143</v>
      </c>
    </row>
    <row r="1414" spans="1:4" ht="13.5" thickTop="1"/>
    <row r="1422" spans="1:4">
      <c r="A1422" s="224" t="s">
        <v>2155</v>
      </c>
    </row>
    <row r="1423" spans="1:4">
      <c r="A1423" s="224" t="s">
        <v>2143</v>
      </c>
    </row>
    <row r="1424" spans="1:4">
      <c r="A1424" s="224" t="s">
        <v>2144</v>
      </c>
    </row>
    <row r="1426" spans="1:7">
      <c r="B1426" s="224" t="s">
        <v>2145</v>
      </c>
      <c r="D1426" s="224" t="s">
        <v>2146</v>
      </c>
    </row>
    <row r="1427" spans="1:7">
      <c r="A1427" s="216" t="s">
        <v>2147</v>
      </c>
      <c r="B1427" s="224" t="s">
        <v>2218</v>
      </c>
      <c r="C1427" s="224" t="s">
        <v>1515</v>
      </c>
      <c r="D1427" s="224" t="s">
        <v>2218</v>
      </c>
      <c r="E1427" s="224" t="s">
        <v>1515</v>
      </c>
    </row>
    <row r="1428" spans="1:7">
      <c r="B1428" s="216" t="s">
        <v>2219</v>
      </c>
      <c r="C1428" s="216" t="s">
        <v>2219</v>
      </c>
      <c r="D1428" s="216" t="s">
        <v>2219</v>
      </c>
      <c r="E1428" s="216" t="s">
        <v>2219</v>
      </c>
    </row>
    <row r="1430" spans="1:7">
      <c r="A1430" s="216" t="s">
        <v>2220</v>
      </c>
      <c r="B1430" s="269">
        <v>7.82</v>
      </c>
      <c r="C1430" s="269">
        <v>11.04</v>
      </c>
      <c r="D1430" s="269">
        <v>7.76</v>
      </c>
      <c r="E1430" s="269">
        <v>10.79</v>
      </c>
    </row>
    <row r="1431" spans="1:7">
      <c r="A1431" s="216" t="s">
        <v>2221</v>
      </c>
      <c r="B1431" s="269">
        <v>7.81</v>
      </c>
      <c r="C1431" s="269">
        <v>11.04</v>
      </c>
      <c r="D1431" s="269">
        <v>7.68</v>
      </c>
      <c r="E1431" s="269">
        <v>10.97</v>
      </c>
    </row>
    <row r="1432" spans="1:7">
      <c r="A1432" s="216" t="s">
        <v>2222</v>
      </c>
      <c r="B1432" s="269">
        <v>7.84</v>
      </c>
      <c r="C1432" s="269">
        <v>11.17</v>
      </c>
      <c r="D1432" s="269">
        <v>7.74</v>
      </c>
      <c r="E1432" s="269">
        <v>11.37</v>
      </c>
    </row>
    <row r="1433" spans="1:7">
      <c r="A1433" s="216" t="s">
        <v>2223</v>
      </c>
      <c r="B1433" s="269">
        <v>7.89</v>
      </c>
      <c r="C1433" s="269">
        <v>11.34</v>
      </c>
      <c r="D1433" s="269">
        <v>7.8</v>
      </c>
      <c r="E1433" s="269">
        <v>11.56</v>
      </c>
      <c r="F1433" s="269"/>
    </row>
    <row r="1434" spans="1:7">
      <c r="A1434" s="216" t="s">
        <v>2224</v>
      </c>
      <c r="B1434" s="269">
        <v>7.96</v>
      </c>
      <c r="C1434" s="269">
        <v>11.66</v>
      </c>
      <c r="D1434" s="269">
        <v>7.88</v>
      </c>
      <c r="E1434" s="269">
        <v>11.68</v>
      </c>
      <c r="F1434" s="269"/>
      <c r="G1434" s="269"/>
    </row>
    <row r="1435" spans="1:7">
      <c r="A1435" s="216" t="s">
        <v>2225</v>
      </c>
      <c r="B1435" s="269">
        <v>7.94</v>
      </c>
      <c r="C1435" s="269">
        <v>11.61</v>
      </c>
      <c r="D1435" s="269">
        <v>7.86</v>
      </c>
      <c r="E1435" s="269">
        <v>11.78</v>
      </c>
      <c r="F1435" s="269"/>
      <c r="G1435" s="269"/>
    </row>
    <row r="1436" spans="1:7">
      <c r="A1436" s="216" t="s">
        <v>2226</v>
      </c>
      <c r="B1436" s="269">
        <v>7.98</v>
      </c>
      <c r="C1436" s="269">
        <v>11.76</v>
      </c>
      <c r="D1436" s="269">
        <v>7.89</v>
      </c>
      <c r="E1436" s="269">
        <v>11.69</v>
      </c>
      <c r="F1436" s="269"/>
      <c r="G1436" s="269"/>
    </row>
    <row r="1437" spans="1:7">
      <c r="A1437" s="216" t="s">
        <v>2227</v>
      </c>
      <c r="B1437" s="269">
        <v>7.93</v>
      </c>
      <c r="C1437" s="269">
        <v>11.63</v>
      </c>
      <c r="D1437" s="269">
        <v>7.86</v>
      </c>
      <c r="E1437" s="269">
        <v>11.38</v>
      </c>
      <c r="F1437" s="269"/>
      <c r="G1437" s="269"/>
    </row>
    <row r="1438" spans="1:7">
      <c r="A1438" s="216" t="s">
        <v>2228</v>
      </c>
      <c r="B1438" s="269">
        <v>7.97</v>
      </c>
      <c r="C1438" s="269">
        <v>11.74</v>
      </c>
      <c r="D1438" s="269">
        <v>7.8</v>
      </c>
      <c r="E1438" s="269">
        <v>11.66</v>
      </c>
      <c r="F1438" s="269"/>
      <c r="G1438" s="269"/>
    </row>
    <row r="1439" spans="1:7">
      <c r="A1439" s="216" t="s">
        <v>2229</v>
      </c>
      <c r="B1439" s="269">
        <v>7.77</v>
      </c>
      <c r="C1439" s="269">
        <v>11.21</v>
      </c>
      <c r="D1439" s="269">
        <v>7.61</v>
      </c>
      <c r="E1439" s="269">
        <v>10.92</v>
      </c>
      <c r="F1439" s="269"/>
      <c r="G1439" s="269"/>
    </row>
    <row r="1440" spans="1:7">
      <c r="A1440" s="216" t="s">
        <v>2230</v>
      </c>
      <c r="B1440" s="269">
        <v>7.57</v>
      </c>
      <c r="C1440" s="269">
        <v>10.67</v>
      </c>
      <c r="D1440" s="269">
        <v>7.42</v>
      </c>
      <c r="E1440" s="269">
        <v>10.34</v>
      </c>
      <c r="F1440" s="269"/>
      <c r="G1440" s="269"/>
    </row>
    <row r="1441" spans="1:7">
      <c r="A1441" s="216" t="s">
        <v>2231</v>
      </c>
      <c r="B1441" s="94">
        <v>8.08</v>
      </c>
      <c r="C1441" s="94">
        <v>12.8</v>
      </c>
      <c r="D1441" s="94">
        <v>7.87</v>
      </c>
      <c r="E1441" s="94">
        <v>12.46</v>
      </c>
      <c r="F1441" s="269"/>
      <c r="G1441" s="269"/>
    </row>
    <row r="1442" spans="1:7">
      <c r="F1442" s="269"/>
      <c r="G1442" s="269"/>
    </row>
    <row r="1443" spans="1:7">
      <c r="A1443" s="216" t="s">
        <v>2232</v>
      </c>
      <c r="B1443" s="269">
        <v>7.9</v>
      </c>
      <c r="C1443" s="269">
        <v>12.35</v>
      </c>
      <c r="D1443" s="269">
        <v>7.71</v>
      </c>
      <c r="E1443" s="269">
        <v>11.66</v>
      </c>
      <c r="F1443" s="269"/>
      <c r="G1443" s="269"/>
    </row>
    <row r="1444" spans="1:7">
      <c r="A1444" s="216" t="s">
        <v>2221</v>
      </c>
      <c r="B1444" s="269">
        <v>7.86</v>
      </c>
      <c r="C1444" s="269">
        <v>12.24</v>
      </c>
      <c r="D1444" s="269">
        <v>7.68</v>
      </c>
      <c r="E1444" s="269">
        <v>11.66</v>
      </c>
      <c r="F1444" s="269"/>
      <c r="G1444" s="269"/>
    </row>
    <row r="1445" spans="1:7">
      <c r="A1445" s="216" t="s">
        <v>2222</v>
      </c>
      <c r="B1445" s="269">
        <v>7.82</v>
      </c>
      <c r="C1445" s="269">
        <v>12.13</v>
      </c>
      <c r="D1445" s="269">
        <v>7.7</v>
      </c>
      <c r="E1445" s="269">
        <v>11.66</v>
      </c>
      <c r="F1445" s="269"/>
      <c r="G1445" s="269"/>
    </row>
    <row r="1446" spans="1:7">
      <c r="A1446" s="216" t="s">
        <v>2223</v>
      </c>
      <c r="B1446" s="269">
        <v>7.55</v>
      </c>
      <c r="C1446" s="269">
        <v>11.37</v>
      </c>
      <c r="D1446" s="269">
        <v>7.45</v>
      </c>
      <c r="E1446" s="269">
        <v>11.18</v>
      </c>
      <c r="F1446" s="269"/>
    </row>
    <row r="1447" spans="1:7">
      <c r="A1447" s="216" t="s">
        <v>2224</v>
      </c>
      <c r="B1447" s="269">
        <v>7.29</v>
      </c>
      <c r="C1447" s="269">
        <v>10.67</v>
      </c>
      <c r="D1447" s="269">
        <v>7.19</v>
      </c>
      <c r="E1447" s="269">
        <v>10.63</v>
      </c>
      <c r="F1447" s="269"/>
    </row>
    <row r="1448" spans="1:7">
      <c r="A1448" s="216" t="s">
        <v>2225</v>
      </c>
      <c r="B1448" s="269">
        <v>7.32</v>
      </c>
      <c r="C1448" s="269">
        <v>10.83</v>
      </c>
      <c r="D1448" s="269">
        <v>7.27</v>
      </c>
      <c r="E1448" s="269">
        <v>11.23</v>
      </c>
      <c r="F1448" s="269"/>
    </row>
    <row r="1449" spans="1:7">
      <c r="A1449" s="216" t="s">
        <v>2226</v>
      </c>
      <c r="B1449" s="269">
        <v>7.28</v>
      </c>
      <c r="C1449" s="269">
        <v>10.75</v>
      </c>
      <c r="D1449" s="269">
        <v>7.28</v>
      </c>
      <c r="E1449" s="269">
        <v>11.01</v>
      </c>
      <c r="F1449" s="269"/>
      <c r="G1449" s="269">
        <v>-0.25</v>
      </c>
    </row>
    <row r="1450" spans="1:7">
      <c r="A1450" s="216" t="s">
        <v>2227</v>
      </c>
      <c r="B1450" s="269">
        <v>7.45</v>
      </c>
      <c r="C1450" s="269">
        <v>11.23</v>
      </c>
      <c r="D1450" s="269">
        <v>7.31</v>
      </c>
      <c r="E1450" s="269">
        <v>10.91</v>
      </c>
      <c r="F1450" s="269"/>
      <c r="G1450" s="269">
        <v>-6.9999999999998508E-2</v>
      </c>
    </row>
    <row r="1451" spans="1:7">
      <c r="A1451" s="216" t="s">
        <v>2228</v>
      </c>
      <c r="B1451" s="269">
        <v>7.41</v>
      </c>
      <c r="C1451" s="269">
        <v>11.13</v>
      </c>
      <c r="D1451" s="269">
        <v>7.28</v>
      </c>
      <c r="E1451" s="269">
        <v>10.73</v>
      </c>
      <c r="F1451" s="269"/>
      <c r="G1451" s="269">
        <v>0.19999999999999929</v>
      </c>
    </row>
    <row r="1452" spans="1:7">
      <c r="A1452" s="216" t="s">
        <v>2229</v>
      </c>
      <c r="B1452" s="269">
        <v>7.72</v>
      </c>
      <c r="C1452" s="269">
        <v>12.02</v>
      </c>
      <c r="D1452" s="269">
        <v>7.62</v>
      </c>
      <c r="E1452" s="269">
        <v>11.44</v>
      </c>
      <c r="F1452" s="269"/>
      <c r="G1452" s="269">
        <v>0.22000000000000064</v>
      </c>
    </row>
    <row r="1453" spans="1:7">
      <c r="A1453" s="216" t="s">
        <v>2230</v>
      </c>
      <c r="B1453" s="269">
        <v>7.8</v>
      </c>
      <c r="C1453" s="269">
        <v>12.2</v>
      </c>
      <c r="D1453" s="269">
        <v>7.7</v>
      </c>
      <c r="E1453" s="269">
        <v>11.9</v>
      </c>
      <c r="F1453" s="269"/>
      <c r="G1453" s="269">
        <v>1.9999999999999574E-2</v>
      </c>
    </row>
    <row r="1454" spans="1:7">
      <c r="A1454" s="216" t="s">
        <v>2231</v>
      </c>
      <c r="B1454" s="269">
        <v>7.81</v>
      </c>
      <c r="C1454" s="269">
        <v>12.11</v>
      </c>
      <c r="D1454" s="269">
        <v>7.75</v>
      </c>
      <c r="E1454" s="269">
        <v>12.03</v>
      </c>
      <c r="F1454" s="269"/>
      <c r="G1454" s="269">
        <v>0.16999999999999993</v>
      </c>
    </row>
    <row r="1455" spans="1:7">
      <c r="F1455" s="269"/>
      <c r="G1455" s="269">
        <v>-7.0000000000000284E-2</v>
      </c>
    </row>
    <row r="1456" spans="1:7">
      <c r="A1456" s="216" t="s">
        <v>2233</v>
      </c>
      <c r="B1456" s="269">
        <v>7.85</v>
      </c>
      <c r="C1456" s="269">
        <v>12.26</v>
      </c>
      <c r="D1456" s="269">
        <v>7.77</v>
      </c>
      <c r="E1456" s="269">
        <v>12.49</v>
      </c>
      <c r="F1456" s="269"/>
      <c r="G1456" s="269">
        <v>-0.25</v>
      </c>
    </row>
    <row r="1457" spans="1:13">
      <c r="A1457" s="216" t="s">
        <v>2221</v>
      </c>
      <c r="B1457" s="269">
        <v>7.93</v>
      </c>
      <c r="C1457" s="269">
        <v>12.46</v>
      </c>
      <c r="D1457" s="269">
        <v>7.82</v>
      </c>
      <c r="E1457" s="269">
        <v>12.33</v>
      </c>
      <c r="F1457" s="269"/>
      <c r="G1457" s="269">
        <v>-8.0000000000000071E-2</v>
      </c>
    </row>
    <row r="1458" spans="1:13">
      <c r="A1458" s="216" t="s">
        <v>2222</v>
      </c>
      <c r="B1458" s="269">
        <v>7.8</v>
      </c>
      <c r="C1458" s="269">
        <v>12.21</v>
      </c>
      <c r="D1458" s="269">
        <v>7.72</v>
      </c>
      <c r="E1458" s="269">
        <v>12.31</v>
      </c>
      <c r="F1458" s="269"/>
      <c r="G1458" s="269">
        <v>-0.29000000000000092</v>
      </c>
    </row>
    <row r="1459" spans="1:13">
      <c r="A1459" s="216" t="s">
        <v>2223</v>
      </c>
      <c r="B1459" s="269">
        <v>7.78</v>
      </c>
      <c r="C1459" s="269">
        <v>12.18</v>
      </c>
      <c r="D1459" s="269">
        <v>7.72</v>
      </c>
      <c r="E1459" s="269">
        <v>12.4</v>
      </c>
      <c r="F1459" s="269"/>
      <c r="G1459" s="269">
        <v>-0.33000000000000007</v>
      </c>
    </row>
    <row r="1460" spans="1:13">
      <c r="A1460" s="216" t="s">
        <v>2224</v>
      </c>
      <c r="B1460" s="269">
        <v>7.88</v>
      </c>
      <c r="C1460" s="269">
        <v>12.52</v>
      </c>
      <c r="D1460" s="269">
        <v>7.81</v>
      </c>
      <c r="E1460" s="269">
        <v>12.55</v>
      </c>
      <c r="F1460" s="269"/>
      <c r="G1460" s="269">
        <v>-0.33999999999999986</v>
      </c>
    </row>
    <row r="1461" spans="1:13">
      <c r="A1461" s="216" t="s">
        <v>2225</v>
      </c>
      <c r="B1461" s="269">
        <v>7.82</v>
      </c>
      <c r="C1461" s="269">
        <v>12.42</v>
      </c>
      <c r="D1461" s="269">
        <v>7.77</v>
      </c>
      <c r="E1461" s="269">
        <v>12.63</v>
      </c>
      <c r="F1461" s="269"/>
    </row>
    <row r="1462" spans="1:13">
      <c r="A1462" s="216" t="s">
        <v>2226</v>
      </c>
      <c r="B1462" s="269">
        <v>7.82</v>
      </c>
      <c r="C1462" s="269">
        <v>12.38</v>
      </c>
      <c r="D1462" s="269">
        <v>7.75</v>
      </c>
      <c r="E1462" s="269">
        <v>12.28</v>
      </c>
      <c r="F1462" s="269"/>
    </row>
    <row r="1463" spans="1:13">
      <c r="A1463" s="216" t="s">
        <v>2227</v>
      </c>
      <c r="B1463" s="269">
        <v>7.67</v>
      </c>
      <c r="C1463" s="269">
        <v>11.97</v>
      </c>
      <c r="D1463" s="269">
        <v>7.6</v>
      </c>
      <c r="E1463" s="269">
        <v>11.64</v>
      </c>
      <c r="F1463" s="269"/>
    </row>
    <row r="1464" spans="1:13">
      <c r="A1464" s="216" t="s">
        <v>2228</v>
      </c>
      <c r="B1464" s="269">
        <v>7.75</v>
      </c>
      <c r="C1464" s="269">
        <v>12.25</v>
      </c>
      <c r="D1464" s="269">
        <v>7.84</v>
      </c>
      <c r="E1464" s="269">
        <v>12.6</v>
      </c>
      <c r="F1464" s="269"/>
      <c r="G1464" s="269">
        <v>-0.6899999999999995</v>
      </c>
    </row>
    <row r="1465" spans="1:13">
      <c r="A1465" s="216" t="s">
        <v>2229</v>
      </c>
      <c r="B1465" s="94">
        <v>7.63</v>
      </c>
      <c r="C1465" s="94">
        <v>11.95</v>
      </c>
      <c r="D1465" s="94">
        <v>7.65</v>
      </c>
      <c r="E1465" s="94">
        <v>12.04</v>
      </c>
      <c r="F1465" s="269"/>
      <c r="G1465" s="269">
        <v>-0.58000000000000007</v>
      </c>
    </row>
    <row r="1466" spans="1:13">
      <c r="A1466" s="216" t="s">
        <v>2230</v>
      </c>
      <c r="B1466" s="269">
        <v>7.71</v>
      </c>
      <c r="C1466" s="269">
        <v>12.15</v>
      </c>
      <c r="D1466" s="269">
        <v>7.73</v>
      </c>
      <c r="E1466" s="269">
        <v>12.01</v>
      </c>
      <c r="F1466" s="269"/>
      <c r="G1466" s="269">
        <v>-0.47000000000000064</v>
      </c>
    </row>
    <row r="1467" spans="1:13">
      <c r="A1467" s="216" t="s">
        <v>2231</v>
      </c>
      <c r="B1467" s="269">
        <v>7.82</v>
      </c>
      <c r="C1467" s="269">
        <v>12.52</v>
      </c>
      <c r="D1467" s="269">
        <v>7.77</v>
      </c>
      <c r="E1467" s="269">
        <v>12.27</v>
      </c>
      <c r="F1467" s="269"/>
      <c r="G1467" s="269">
        <v>-0.1899999999999995</v>
      </c>
    </row>
    <row r="1468" spans="1:13">
      <c r="F1468" s="94"/>
      <c r="G1468" s="269">
        <v>-3.9999999999999147E-2</v>
      </c>
      <c r="K1468" s="84"/>
      <c r="L1468" s="84"/>
      <c r="M1468" s="84"/>
    </row>
    <row r="1469" spans="1:13">
      <c r="A1469" s="216" t="s">
        <v>2234</v>
      </c>
      <c r="B1469" s="269">
        <v>7.75</v>
      </c>
      <c r="C1469" s="269">
        <v>12.32</v>
      </c>
      <c r="D1469" s="269">
        <v>7.81</v>
      </c>
      <c r="E1469" s="269">
        <v>12.38</v>
      </c>
      <c r="F1469" s="269"/>
      <c r="G1469" s="269">
        <v>0.40000000000000036</v>
      </c>
    </row>
    <row r="1470" spans="1:13">
      <c r="A1470" s="216" t="s">
        <v>2221</v>
      </c>
      <c r="B1470" s="269"/>
      <c r="C1470" s="269"/>
      <c r="D1470" s="269"/>
      <c r="E1470" s="269"/>
      <c r="F1470" s="94"/>
      <c r="G1470" s="269">
        <v>0.25999999999999979</v>
      </c>
      <c r="H1470" s="84"/>
      <c r="I1470" s="84"/>
      <c r="J1470" s="84"/>
    </row>
    <row r="1471" spans="1:13">
      <c r="A1471" s="216" t="s">
        <v>2222</v>
      </c>
      <c r="B1471" s="269"/>
      <c r="C1471" s="269"/>
      <c r="D1471" s="269"/>
      <c r="E1471" s="269"/>
      <c r="F1471" s="269"/>
      <c r="G1471" s="269">
        <v>-0.32000000000000028</v>
      </c>
    </row>
    <row r="1472" spans="1:13">
      <c r="A1472" s="216" t="s">
        <v>2223</v>
      </c>
      <c r="B1472" s="269"/>
      <c r="C1472" s="269"/>
      <c r="D1472" s="269"/>
      <c r="E1472" s="269"/>
      <c r="F1472" s="269"/>
      <c r="G1472" s="269">
        <v>-0.40000000000000036</v>
      </c>
    </row>
    <row r="1473" spans="1:7">
      <c r="A1473" s="216" t="s">
        <v>2224</v>
      </c>
      <c r="B1473" s="269"/>
      <c r="C1473" s="269"/>
      <c r="D1473" s="269"/>
      <c r="E1473" s="269"/>
      <c r="F1473" s="269"/>
      <c r="G1473" s="269">
        <v>-0.58000000000000007</v>
      </c>
    </row>
    <row r="1474" spans="1:7">
      <c r="A1474" s="216" t="s">
        <v>2225</v>
      </c>
      <c r="B1474" s="269"/>
      <c r="C1474" s="269"/>
      <c r="D1474" s="269"/>
      <c r="E1474" s="269"/>
      <c r="F1474" s="269"/>
      <c r="G1474" s="269">
        <v>-0.29999999999999893</v>
      </c>
    </row>
    <row r="1475" spans="1:7">
      <c r="A1475" s="216" t="s">
        <v>2226</v>
      </c>
      <c r="B1475" s="269"/>
      <c r="C1475" s="269"/>
      <c r="D1475" s="269"/>
      <c r="E1475" s="269"/>
      <c r="F1475" s="94"/>
      <c r="G1475" s="269">
        <v>-8.0000000000000071E-2</v>
      </c>
    </row>
    <row r="1476" spans="1:7">
      <c r="A1476" s="216" t="s">
        <v>2227</v>
      </c>
      <c r="B1476" s="269"/>
      <c r="C1476" s="269"/>
      <c r="D1476" s="269"/>
      <c r="E1476" s="269"/>
      <c r="F1476" s="269"/>
    </row>
    <row r="1477" spans="1:7">
      <c r="A1477" s="216" t="s">
        <v>2228</v>
      </c>
      <c r="B1477" s="269"/>
      <c r="C1477" s="269"/>
      <c r="D1477" s="269"/>
      <c r="E1477" s="269"/>
      <c r="F1477" s="269"/>
    </row>
    <row r="1478" spans="1:7">
      <c r="A1478" s="216" t="s">
        <v>2229</v>
      </c>
      <c r="B1478" s="269"/>
      <c r="C1478" s="269"/>
      <c r="D1478" s="269"/>
      <c r="E1478" s="269"/>
      <c r="F1478" s="269"/>
    </row>
    <row r="1479" spans="1:7">
      <c r="A1479" s="216" t="s">
        <v>2230</v>
      </c>
      <c r="B1479" s="269"/>
      <c r="C1479" s="269"/>
      <c r="D1479" s="269"/>
      <c r="E1479" s="269"/>
      <c r="F1479" s="269"/>
      <c r="G1479" s="269">
        <v>0.23000000000000043</v>
      </c>
    </row>
    <row r="1480" spans="1:7">
      <c r="A1480" s="216" t="s">
        <v>2231</v>
      </c>
      <c r="B1480" s="269"/>
      <c r="C1480" s="269"/>
      <c r="D1480" s="269"/>
      <c r="E1480" s="269"/>
      <c r="F1480" s="269"/>
      <c r="G1480" s="269">
        <v>-0.13000000000000078</v>
      </c>
    </row>
    <row r="1481" spans="1:7">
      <c r="B1481" s="269"/>
      <c r="C1481" s="269"/>
      <c r="D1481" s="269"/>
      <c r="E1481" s="269"/>
      <c r="F1481" s="269"/>
      <c r="G1481" s="269">
        <v>9.9999999999999645E-2</v>
      </c>
    </row>
    <row r="1482" spans="1:7">
      <c r="B1482" s="269"/>
      <c r="C1482" s="269"/>
      <c r="D1482" s="269"/>
      <c r="E1482" s="269"/>
      <c r="F1482" s="269"/>
      <c r="G1482" s="269">
        <v>0.22000000000000064</v>
      </c>
    </row>
    <row r="1483" spans="1:7">
      <c r="F1483" s="269"/>
    </row>
    <row r="1484" spans="1:7">
      <c r="F1484" s="269"/>
    </row>
    <row r="1485" spans="1:7">
      <c r="F1485" s="269"/>
    </row>
    <row r="1486" spans="1:7">
      <c r="F1486" s="269"/>
    </row>
    <row r="1487" spans="1:7">
      <c r="F1487" s="269"/>
    </row>
    <row r="1488" spans="1:7">
      <c r="F1488" s="269"/>
    </row>
    <row r="1489" spans="1:12">
      <c r="F1489" s="269"/>
    </row>
    <row r="1490" spans="1:12">
      <c r="F1490" s="269"/>
    </row>
    <row r="1491" spans="1:12">
      <c r="F1491" s="269"/>
    </row>
    <row r="1492" spans="1:12">
      <c r="F1492" s="269"/>
    </row>
    <row r="1493" spans="1:12">
      <c r="F1493" s="269"/>
    </row>
    <row r="1498" spans="1:12">
      <c r="B1498" s="269"/>
      <c r="C1498" s="269"/>
      <c r="D1498" s="269"/>
      <c r="E1498" s="269"/>
    </row>
    <row r="1500" spans="1:12">
      <c r="K1500" s="84"/>
      <c r="L1500" s="84"/>
    </row>
    <row r="1501" spans="1:12">
      <c r="K1501" s="84"/>
      <c r="L1501" s="84"/>
    </row>
    <row r="1502" spans="1:12">
      <c r="B1502" s="84"/>
      <c r="C1502" s="84"/>
      <c r="D1502" s="84"/>
      <c r="E1502" s="84"/>
      <c r="F1502" s="84"/>
      <c r="G1502" s="84"/>
      <c r="H1502" s="84"/>
      <c r="I1502" s="84"/>
      <c r="J1502" s="84"/>
      <c r="K1502" s="84"/>
      <c r="L1502" s="84"/>
    </row>
    <row r="1503" spans="1:12">
      <c r="B1503" s="84"/>
      <c r="C1503" s="84"/>
      <c r="D1503" s="84"/>
      <c r="E1503" s="84"/>
      <c r="F1503" s="84"/>
      <c r="G1503" s="84"/>
      <c r="H1503" s="84"/>
      <c r="I1503" s="84"/>
      <c r="J1503" s="84"/>
      <c r="K1503" s="84"/>
      <c r="L1503" s="84"/>
    </row>
    <row r="1504" spans="1:12">
      <c r="A1504" s="84"/>
      <c r="B1504" s="84"/>
      <c r="C1504" s="84"/>
      <c r="D1504" s="84"/>
      <c r="E1504" s="84"/>
      <c r="F1504" s="84"/>
      <c r="G1504" s="84"/>
      <c r="H1504" s="84"/>
      <c r="I1504" s="84"/>
      <c r="J1504" s="84"/>
      <c r="K1504" s="84"/>
      <c r="L1504" s="84"/>
    </row>
    <row r="1505" spans="1:12">
      <c r="A1505" s="84"/>
      <c r="B1505" s="84"/>
      <c r="C1505" s="84"/>
      <c r="D1505" s="84"/>
      <c r="E1505" s="84"/>
      <c r="F1505" s="84"/>
      <c r="G1505" s="84"/>
      <c r="H1505" s="84"/>
      <c r="I1505" s="84"/>
      <c r="J1505" s="84"/>
      <c r="K1505" s="84"/>
      <c r="L1505" s="84"/>
    </row>
    <row r="1506" spans="1:12">
      <c r="A1506" s="84"/>
      <c r="B1506" s="84"/>
      <c r="C1506" s="84"/>
      <c r="D1506" s="84"/>
      <c r="E1506" s="84"/>
      <c r="F1506" s="84"/>
      <c r="G1506" s="84"/>
      <c r="H1506" s="84"/>
      <c r="I1506" s="84"/>
      <c r="J1506" s="84"/>
      <c r="K1506" s="84"/>
      <c r="L1506" s="84"/>
    </row>
    <row r="1507" spans="1:12">
      <c r="B1507" s="84"/>
      <c r="D1507" s="84"/>
      <c r="E1507" s="84"/>
      <c r="F1507" s="84"/>
      <c r="G1507" s="84"/>
      <c r="H1507" s="84"/>
      <c r="I1507" s="84"/>
      <c r="J1507" s="84"/>
      <c r="K1507" s="84"/>
      <c r="L1507" s="84"/>
    </row>
    <row r="1508" spans="1:12">
      <c r="A1508" s="224" t="s">
        <v>2155</v>
      </c>
      <c r="B1508" s="84"/>
      <c r="D1508" s="84"/>
      <c r="E1508" s="84"/>
      <c r="F1508" s="84"/>
      <c r="G1508" s="84"/>
      <c r="H1508" s="84"/>
      <c r="I1508" s="84"/>
      <c r="J1508" s="84"/>
      <c r="K1508" s="84"/>
      <c r="L1508" s="84"/>
    </row>
    <row r="1509" spans="1:12">
      <c r="A1509" s="224" t="s">
        <v>2235</v>
      </c>
      <c r="D1509" s="84"/>
      <c r="E1509" s="84"/>
      <c r="F1509" s="84"/>
      <c r="G1509" s="84"/>
      <c r="H1509" s="84"/>
      <c r="I1509" s="84"/>
      <c r="J1509" s="84"/>
      <c r="K1509" s="84"/>
      <c r="L1509" s="84"/>
    </row>
    <row r="1510" spans="1:12">
      <c r="A1510" s="298" t="s">
        <v>2236</v>
      </c>
      <c r="B1510" s="84"/>
      <c r="C1510" s="84"/>
      <c r="D1510" s="84"/>
      <c r="E1510" s="84"/>
      <c r="F1510" s="84"/>
      <c r="G1510" s="84"/>
      <c r="H1510" s="84"/>
      <c r="I1510" s="84"/>
      <c r="J1510" s="84"/>
      <c r="K1510" s="84"/>
      <c r="L1510" s="84"/>
    </row>
    <row r="1511" spans="1:12">
      <c r="A1511" s="84"/>
      <c r="B1511" s="84"/>
      <c r="C1511" s="84"/>
      <c r="D1511" s="84"/>
      <c r="E1511" s="84"/>
      <c r="F1511" s="84"/>
      <c r="G1511" s="84"/>
      <c r="H1511" s="84"/>
      <c r="I1511" s="84"/>
      <c r="J1511" s="84"/>
      <c r="K1511" s="84"/>
      <c r="L1511" s="84"/>
    </row>
    <row r="1512" spans="1:12">
      <c r="A1512" s="84"/>
      <c r="B1512" s="84"/>
      <c r="C1512" s="84"/>
      <c r="D1512" s="84"/>
      <c r="E1512" s="84"/>
      <c r="F1512" s="84"/>
      <c r="G1512" s="84"/>
      <c r="H1512" s="84"/>
      <c r="I1512" s="84"/>
      <c r="J1512" s="84"/>
      <c r="K1512" s="84"/>
      <c r="L1512" s="84"/>
    </row>
    <row r="1513" spans="1:12">
      <c r="A1513" s="84"/>
      <c r="B1513" s="84"/>
      <c r="C1513" s="84"/>
      <c r="D1513" s="84"/>
      <c r="E1513" s="84"/>
      <c r="F1513" s="84"/>
      <c r="G1513" s="84"/>
      <c r="H1513" s="84"/>
      <c r="I1513" s="84"/>
      <c r="J1513" s="84"/>
      <c r="K1513" s="84"/>
      <c r="L1513" s="84"/>
    </row>
    <row r="1514" spans="1:12">
      <c r="A1514" s="84"/>
      <c r="B1514" s="84"/>
      <c r="C1514" s="84"/>
      <c r="D1514" s="84"/>
      <c r="E1514" s="84"/>
      <c r="F1514" s="84"/>
      <c r="G1514" s="84"/>
      <c r="H1514" s="84"/>
      <c r="I1514" s="84"/>
      <c r="J1514" s="84"/>
      <c r="K1514" s="84"/>
      <c r="L1514" s="84"/>
    </row>
    <row r="1515" spans="1:12">
      <c r="A1515" s="84"/>
      <c r="B1515" s="84"/>
      <c r="C1515" s="84"/>
      <c r="D1515" s="84"/>
      <c r="E1515" s="84"/>
      <c r="F1515" s="84"/>
      <c r="G1515" s="84"/>
      <c r="H1515" s="84"/>
      <c r="I1515" s="84"/>
      <c r="J1515" s="84"/>
      <c r="K1515" s="84"/>
      <c r="L1515" s="84"/>
    </row>
    <row r="1516" spans="1:12">
      <c r="A1516" s="84"/>
      <c r="B1516" s="84"/>
      <c r="C1516" s="84"/>
      <c r="D1516" s="84"/>
      <c r="E1516" s="84"/>
      <c r="F1516" s="84"/>
      <c r="G1516" s="84"/>
      <c r="H1516" s="84"/>
      <c r="I1516" s="84"/>
      <c r="J1516" s="84"/>
      <c r="K1516" s="84"/>
      <c r="L1516" s="84"/>
    </row>
    <row r="1517" spans="1:12">
      <c r="A1517" s="297" t="s">
        <v>2237</v>
      </c>
      <c r="B1517" s="84"/>
      <c r="C1517" s="84"/>
      <c r="D1517" s="84"/>
      <c r="E1517" s="84"/>
      <c r="F1517" s="84"/>
      <c r="G1517" s="84"/>
      <c r="H1517" s="84"/>
      <c r="I1517" s="84"/>
      <c r="J1517" s="84"/>
      <c r="K1517" s="84"/>
      <c r="L1517" s="84"/>
    </row>
    <row r="1518" spans="1:12">
      <c r="A1518" s="297" t="s">
        <v>2238</v>
      </c>
      <c r="B1518" s="84"/>
      <c r="C1518" s="84"/>
      <c r="D1518" s="84"/>
      <c r="E1518" s="84"/>
      <c r="F1518" s="84"/>
      <c r="G1518" s="84"/>
      <c r="H1518" s="84"/>
      <c r="I1518" s="84"/>
      <c r="J1518" s="84"/>
      <c r="K1518" s="84"/>
      <c r="L1518" s="84"/>
    </row>
    <row r="1519" spans="1:12">
      <c r="A1519" s="297" t="s">
        <v>2239</v>
      </c>
      <c r="B1519" s="84"/>
      <c r="C1519" s="84"/>
      <c r="D1519" s="84"/>
      <c r="E1519" s="84"/>
      <c r="F1519" s="84"/>
      <c r="G1519" s="84"/>
      <c r="H1519" s="84"/>
      <c r="I1519" s="84"/>
      <c r="J1519" s="84"/>
      <c r="K1519" s="84"/>
      <c r="L1519" s="84"/>
    </row>
    <row r="1520" spans="1:12">
      <c r="A1520" s="297" t="s">
        <v>2240</v>
      </c>
      <c r="B1520" s="84"/>
      <c r="C1520" s="84"/>
      <c r="D1520" s="84"/>
      <c r="E1520" s="84"/>
      <c r="F1520" s="84"/>
      <c r="G1520" s="84"/>
      <c r="H1520" s="84"/>
      <c r="I1520" s="84"/>
      <c r="J1520" s="84"/>
      <c r="K1520" s="84"/>
      <c r="L1520" s="84"/>
    </row>
    <row r="1521" spans="1:10">
      <c r="A1521" s="297" t="s">
        <v>2241</v>
      </c>
      <c r="B1521" s="84"/>
      <c r="C1521" s="84"/>
      <c r="D1521" s="84"/>
      <c r="E1521" s="84"/>
      <c r="F1521" s="84"/>
      <c r="G1521" s="84"/>
      <c r="H1521" s="84"/>
      <c r="I1521" s="84"/>
      <c r="J1521" s="84"/>
    </row>
    <row r="1522" spans="1:10">
      <c r="A1522" s="84"/>
      <c r="B1522" s="84"/>
      <c r="C1522" s="84"/>
      <c r="D1522" s="84"/>
      <c r="E1522" s="84"/>
      <c r="F1522" s="84"/>
      <c r="G1522" s="84"/>
      <c r="H1522" s="84"/>
      <c r="I1522" s="84"/>
      <c r="J1522" s="84"/>
    </row>
    <row r="1523" spans="1:10">
      <c r="A1523" s="297" t="s">
        <v>2242</v>
      </c>
      <c r="B1523" s="84"/>
      <c r="C1523" s="84"/>
      <c r="D1523" s="84"/>
      <c r="E1523" s="84"/>
      <c r="F1523" s="84"/>
      <c r="G1523" s="84"/>
      <c r="H1523" s="84"/>
      <c r="I1523" s="84"/>
    </row>
    <row r="1524" spans="1:10">
      <c r="A1524" s="297" t="s">
        <v>2243</v>
      </c>
      <c r="B1524" s="84"/>
      <c r="C1524" s="84"/>
      <c r="D1524" s="84"/>
      <c r="E1524" s="84"/>
      <c r="F1524" s="84"/>
      <c r="G1524" s="84"/>
      <c r="H1524" s="84"/>
      <c r="I1524" s="84"/>
    </row>
    <row r="1525" spans="1:10">
      <c r="A1525" s="297" t="s">
        <v>2244</v>
      </c>
      <c r="B1525" s="84"/>
      <c r="C1525" s="84"/>
      <c r="D1525" s="84"/>
      <c r="E1525" s="84"/>
      <c r="F1525" s="84"/>
      <c r="G1525" s="84"/>
      <c r="H1525" s="84"/>
      <c r="I1525" s="84"/>
    </row>
    <row r="1526" spans="1:10">
      <c r="A1526" s="297" t="s">
        <v>2245</v>
      </c>
      <c r="B1526" s="84"/>
      <c r="C1526" s="84"/>
      <c r="D1526" s="84"/>
      <c r="E1526" s="84"/>
      <c r="F1526" s="84"/>
      <c r="G1526" s="84"/>
      <c r="H1526" s="84"/>
      <c r="I1526" s="84"/>
    </row>
    <row r="1527" spans="1:10">
      <c r="A1527" s="236" t="s">
        <v>2246</v>
      </c>
      <c r="B1527" s="84"/>
      <c r="C1527" s="84"/>
      <c r="D1527" s="84"/>
      <c r="E1527" s="84"/>
      <c r="F1527" s="84"/>
      <c r="G1527" s="84"/>
      <c r="H1527" s="84"/>
      <c r="I1527" s="84"/>
    </row>
    <row r="1528" spans="1:10">
      <c r="B1528" s="84"/>
      <c r="C1528" s="84"/>
      <c r="D1528" s="84"/>
      <c r="E1528" s="84"/>
      <c r="F1528" s="84"/>
      <c r="G1528" s="84"/>
      <c r="H1528" s="84"/>
      <c r="I1528" s="84"/>
    </row>
    <row r="1529" spans="1:10">
      <c r="B1529" s="84"/>
      <c r="C1529" s="84"/>
      <c r="D1529" s="84"/>
      <c r="E1529" s="84"/>
      <c r="F1529" s="84"/>
      <c r="G1529" s="84"/>
      <c r="H1529" s="84"/>
      <c r="I1529" s="84"/>
    </row>
    <row r="1530" spans="1:10">
      <c r="B1530" s="84"/>
      <c r="C1530" s="84"/>
      <c r="D1530" s="84"/>
      <c r="E1530" s="84"/>
      <c r="F1530" s="84"/>
      <c r="G1530" s="84"/>
      <c r="H1530" s="84"/>
      <c r="I1530" s="84"/>
    </row>
    <row r="1531" spans="1:10">
      <c r="B1531" s="84"/>
      <c r="C1531" s="84"/>
      <c r="D1531" s="84"/>
      <c r="E1531" s="84"/>
      <c r="F1531" s="84"/>
      <c r="G1531" s="84"/>
      <c r="H1531" s="84"/>
      <c r="I1531" s="84"/>
    </row>
    <row r="1532" spans="1:10">
      <c r="A1532" s="84"/>
      <c r="B1532" s="84"/>
      <c r="C1532" s="84"/>
      <c r="D1532" s="84"/>
      <c r="E1532" s="84"/>
      <c r="F1532" s="84"/>
      <c r="G1532" s="84"/>
      <c r="H1532" s="84"/>
      <c r="I1532" s="84"/>
    </row>
    <row r="1533" spans="1:10">
      <c r="A1533" s="84"/>
      <c r="B1533" s="84"/>
      <c r="C1533" s="84"/>
      <c r="D1533" s="84"/>
      <c r="E1533" s="84"/>
      <c r="F1533" s="84"/>
      <c r="G1533" s="84"/>
      <c r="H1533" s="84"/>
      <c r="I1533" s="84"/>
    </row>
    <row r="1534" spans="1:10">
      <c r="A1534" s="84"/>
      <c r="B1534" s="84"/>
      <c r="C1534" s="84"/>
      <c r="D1534" s="84"/>
      <c r="E1534" s="84"/>
      <c r="F1534" s="84"/>
      <c r="G1534" s="84"/>
      <c r="H1534" s="84"/>
      <c r="I1534" s="84"/>
    </row>
    <row r="1535" spans="1:10">
      <c r="A1535" s="84"/>
      <c r="B1535" s="84"/>
      <c r="C1535" s="84"/>
      <c r="D1535" s="84"/>
      <c r="E1535" s="84"/>
      <c r="F1535" s="84"/>
      <c r="G1535" s="84"/>
      <c r="H1535" s="84"/>
      <c r="I1535" s="84"/>
    </row>
    <row r="1536" spans="1:10">
      <c r="A1536" s="84"/>
      <c r="B1536" s="84"/>
      <c r="C1536" s="84"/>
      <c r="D1536" s="84"/>
      <c r="E1536" s="84"/>
      <c r="F1536" s="84"/>
      <c r="G1536" s="84"/>
      <c r="H1536" s="84"/>
    </row>
    <row r="1537" spans="1:8">
      <c r="A1537" s="84"/>
      <c r="B1537" s="84"/>
      <c r="C1537" s="84"/>
      <c r="D1537" s="84"/>
      <c r="E1537" s="84"/>
      <c r="F1537" s="84"/>
      <c r="G1537" s="84"/>
      <c r="H1537" s="84"/>
    </row>
    <row r="1538" spans="1:8">
      <c r="A1538" s="84"/>
      <c r="B1538" s="84"/>
      <c r="C1538" s="84"/>
      <c r="D1538" s="84"/>
      <c r="E1538" s="84"/>
      <c r="F1538" s="84"/>
      <c r="G1538" s="84"/>
      <c r="H1538" s="84"/>
    </row>
    <row r="1539" spans="1:8">
      <c r="A1539" s="84"/>
      <c r="B1539" s="84"/>
      <c r="C1539" s="84"/>
      <c r="D1539" s="84"/>
      <c r="E1539" s="84"/>
      <c r="F1539" s="84"/>
      <c r="G1539" s="84"/>
      <c r="H1539" s="84"/>
    </row>
    <row r="1540" spans="1:8">
      <c r="A1540" s="84"/>
      <c r="B1540" s="84"/>
      <c r="C1540" s="84"/>
      <c r="D1540" s="84"/>
      <c r="E1540" s="84"/>
      <c r="F1540" s="84"/>
      <c r="G1540" s="84"/>
      <c r="H1540" s="84"/>
    </row>
    <row r="1541" spans="1:8">
      <c r="A1541" s="84"/>
      <c r="B1541" s="84"/>
      <c r="C1541" s="84"/>
      <c r="D1541" s="84"/>
      <c r="E1541" s="84"/>
      <c r="F1541" s="84"/>
      <c r="G1541" s="84"/>
      <c r="H1541" s="84"/>
    </row>
    <row r="1542" spans="1:8">
      <c r="A1542" s="84"/>
      <c r="B1542" s="84"/>
      <c r="C1542" s="84"/>
      <c r="D1542" s="84"/>
      <c r="E1542" s="84"/>
      <c r="F1542" s="84"/>
      <c r="G1542" s="84"/>
      <c r="H1542" s="84"/>
    </row>
    <row r="1543" spans="1:8">
      <c r="A1543" s="84"/>
      <c r="B1543" s="84"/>
      <c r="C1543" s="84"/>
      <c r="D1543" s="84"/>
      <c r="E1543" s="84"/>
      <c r="F1543" s="84"/>
      <c r="G1543" s="84"/>
      <c r="H1543" s="84"/>
    </row>
    <row r="1544" spans="1:8">
      <c r="A1544" s="84"/>
      <c r="B1544" s="84"/>
      <c r="C1544" s="84"/>
      <c r="D1544" s="84"/>
      <c r="E1544" s="84"/>
      <c r="F1544" s="84"/>
      <c r="G1544" s="84"/>
      <c r="H1544" s="84"/>
    </row>
    <row r="1545" spans="1:8">
      <c r="A1545" s="84"/>
      <c r="B1545" s="84"/>
      <c r="C1545" s="84"/>
      <c r="D1545" s="84"/>
      <c r="E1545" s="84"/>
      <c r="F1545" s="84"/>
      <c r="G1545" s="84"/>
      <c r="H1545" s="84"/>
    </row>
    <row r="1546" spans="1:8">
      <c r="A1546" s="84"/>
      <c r="B1546" s="84"/>
      <c r="C1546" s="84"/>
      <c r="D1546" s="84"/>
      <c r="E1546" s="84"/>
      <c r="F1546" s="84"/>
      <c r="G1546" s="84"/>
      <c r="H1546" s="84"/>
    </row>
    <row r="1547" spans="1:8">
      <c r="A1547" s="84"/>
      <c r="B1547" s="84"/>
      <c r="C1547" s="84"/>
      <c r="D1547" s="84"/>
      <c r="E1547" s="84"/>
      <c r="F1547" s="84"/>
      <c r="G1547" s="84"/>
      <c r="H1547" s="84"/>
    </row>
    <row r="1548" spans="1:8">
      <c r="A1548" s="84"/>
      <c r="B1548" s="84"/>
      <c r="C1548" s="84"/>
      <c r="D1548" s="84"/>
      <c r="E1548" s="84"/>
      <c r="F1548" s="84"/>
      <c r="G1548" s="84"/>
      <c r="H1548" s="84"/>
    </row>
    <row r="1549" spans="1:8">
      <c r="A1549" s="84"/>
      <c r="B1549" s="84"/>
      <c r="C1549" s="84"/>
      <c r="D1549" s="84"/>
      <c r="E1549" s="84"/>
      <c r="F1549" s="84"/>
      <c r="G1549" s="84"/>
      <c r="H1549" s="84"/>
    </row>
    <row r="1550" spans="1:8">
      <c r="A1550" s="84"/>
      <c r="B1550" s="84"/>
      <c r="C1550" s="84"/>
      <c r="D1550" s="84"/>
      <c r="E1550" s="84"/>
      <c r="F1550" s="84"/>
      <c r="G1550" s="84"/>
      <c r="H1550" s="84"/>
    </row>
    <row r="1551" spans="1:8">
      <c r="A1551" s="84"/>
      <c r="B1551" s="84"/>
      <c r="C1551" s="297" t="s">
        <v>2247</v>
      </c>
      <c r="D1551" s="84"/>
      <c r="E1551" s="297"/>
      <c r="F1551" s="84"/>
      <c r="G1551" s="84"/>
      <c r="H1551" s="84"/>
    </row>
    <row r="1552" spans="1:8">
      <c r="A1552" s="84"/>
      <c r="B1552" s="84"/>
      <c r="C1552" s="224" t="s">
        <v>2248</v>
      </c>
      <c r="D1552" s="224" t="s">
        <v>2249</v>
      </c>
      <c r="E1552" s="254" t="s">
        <v>2250</v>
      </c>
      <c r="F1552" s="84"/>
      <c r="G1552" s="84"/>
      <c r="H1552" s="84"/>
    </row>
    <row r="1553" spans="1:8">
      <c r="A1553" s="84"/>
      <c r="B1553" s="84"/>
      <c r="C1553" s="224" t="s">
        <v>2251</v>
      </c>
      <c r="D1553" s="224" t="s">
        <v>2251</v>
      </c>
      <c r="E1553" s="224" t="s">
        <v>2251</v>
      </c>
      <c r="F1553" s="84"/>
      <c r="G1553" s="84"/>
      <c r="H1553" s="84"/>
    </row>
    <row r="1554" spans="1:8">
      <c r="A1554" s="84"/>
      <c r="B1554" s="84"/>
      <c r="C1554" s="224" t="s">
        <v>3723</v>
      </c>
      <c r="D1554" s="224" t="s">
        <v>3723</v>
      </c>
      <c r="E1554" s="224" t="s">
        <v>3723</v>
      </c>
      <c r="F1554" s="84"/>
      <c r="G1554" s="84"/>
      <c r="H1554" s="84"/>
    </row>
    <row r="1555" spans="1:8">
      <c r="A1555" s="84"/>
      <c r="B1555" s="84"/>
      <c r="C1555" s="293" t="s">
        <v>2252</v>
      </c>
      <c r="D1555" s="293" t="s">
        <v>2252</v>
      </c>
      <c r="E1555" s="293" t="s">
        <v>2252</v>
      </c>
      <c r="F1555" s="84"/>
      <c r="G1555" s="84"/>
      <c r="H1555" s="84"/>
    </row>
    <row r="1556" spans="1:8">
      <c r="A1556" s="84"/>
      <c r="B1556" s="84"/>
      <c r="C1556" s="219"/>
      <c r="D1556" s="219"/>
      <c r="E1556" s="84"/>
      <c r="F1556" s="84"/>
      <c r="G1556" s="84"/>
      <c r="H1556" s="84"/>
    </row>
    <row r="1557" spans="1:8">
      <c r="A1557" s="84" t="s">
        <v>1910</v>
      </c>
      <c r="B1557" s="84"/>
      <c r="C1557" s="84">
        <v>-1744.17</v>
      </c>
      <c r="D1557" s="86">
        <v>-1744.17</v>
      </c>
      <c r="E1557" s="84">
        <v>0</v>
      </c>
      <c r="F1557" s="84">
        <v>27995</v>
      </c>
      <c r="G1557" s="84"/>
      <c r="H1557" s="84"/>
    </row>
    <row r="1558" spans="1:8">
      <c r="A1558" s="84" t="s">
        <v>588</v>
      </c>
      <c r="B1558" s="84"/>
      <c r="C1558" s="84">
        <v>78464.78</v>
      </c>
      <c r="D1558" s="86">
        <v>78464.78</v>
      </c>
      <c r="E1558" s="84">
        <v>0</v>
      </c>
      <c r="F1558" s="84"/>
      <c r="G1558" s="84"/>
      <c r="H1558" s="84"/>
    </row>
    <row r="1559" spans="1:8">
      <c r="A1559" s="84" t="s">
        <v>598</v>
      </c>
      <c r="B1559" s="84"/>
      <c r="C1559" s="84">
        <v>113751.75</v>
      </c>
      <c r="D1559" s="86">
        <v>113751.75</v>
      </c>
      <c r="E1559" s="84">
        <v>0</v>
      </c>
      <c r="F1559" s="84"/>
      <c r="G1559" s="84"/>
      <c r="H1559" s="84"/>
    </row>
    <row r="1560" spans="1:8">
      <c r="A1560" s="84" t="s">
        <v>609</v>
      </c>
      <c r="B1560" s="84"/>
      <c r="C1560" s="84">
        <v>95701.169999999911</v>
      </c>
      <c r="D1560" s="86">
        <v>95701.169999999911</v>
      </c>
      <c r="E1560" s="84">
        <v>0</v>
      </c>
      <c r="F1560" s="84">
        <v>33932</v>
      </c>
      <c r="G1560" s="84"/>
      <c r="H1560" s="84"/>
    </row>
    <row r="1561" spans="1:8">
      <c r="A1561" s="84" t="s">
        <v>618</v>
      </c>
      <c r="B1561" s="84"/>
      <c r="C1561" s="84">
        <v>184229.52</v>
      </c>
      <c r="D1561" s="86">
        <v>184229.52</v>
      </c>
      <c r="E1561" s="84">
        <v>0</v>
      </c>
      <c r="F1561" s="84"/>
      <c r="G1561" s="84"/>
      <c r="H1561" s="84"/>
    </row>
    <row r="1562" spans="1:8">
      <c r="A1562" s="84" t="s">
        <v>629</v>
      </c>
      <c r="B1562" s="84"/>
      <c r="C1562" s="84">
        <v>28142.139999999941</v>
      </c>
      <c r="D1562" s="86">
        <v>28142.139999999941</v>
      </c>
      <c r="E1562" s="84">
        <v>0</v>
      </c>
      <c r="F1562" s="84"/>
      <c r="G1562" s="84"/>
      <c r="H1562" s="84"/>
    </row>
    <row r="1563" spans="1:8">
      <c r="A1563" s="84" t="s">
        <v>639</v>
      </c>
      <c r="B1563" s="84"/>
      <c r="C1563" s="84">
        <v>10517.13</v>
      </c>
      <c r="D1563" s="86">
        <v>10517.13</v>
      </c>
      <c r="E1563" s="84">
        <v>0</v>
      </c>
      <c r="F1563" s="84"/>
      <c r="G1563" s="84"/>
      <c r="H1563" s="84"/>
    </row>
    <row r="1564" spans="1:8">
      <c r="A1564" s="84" t="s">
        <v>649</v>
      </c>
      <c r="B1564" s="84"/>
      <c r="C1564" s="84">
        <v>18527.91</v>
      </c>
      <c r="D1564" s="86">
        <v>18527.91</v>
      </c>
      <c r="E1564" s="84">
        <v>0</v>
      </c>
      <c r="F1564" s="84"/>
      <c r="G1564" s="84"/>
      <c r="H1564" s="84"/>
    </row>
    <row r="1565" spans="1:8">
      <c r="A1565" s="84" t="s">
        <v>658</v>
      </c>
      <c r="B1565" s="84"/>
      <c r="C1565" s="84">
        <v>105213.3</v>
      </c>
      <c r="D1565" s="86">
        <v>105213.3</v>
      </c>
      <c r="E1565" s="84">
        <v>0</v>
      </c>
      <c r="F1565" s="84"/>
      <c r="G1565" s="84"/>
      <c r="H1565" s="84"/>
    </row>
    <row r="1566" spans="1:8">
      <c r="A1566" s="84" t="s">
        <v>669</v>
      </c>
      <c r="B1566" s="84"/>
      <c r="C1566" s="84">
        <v>43421.03</v>
      </c>
      <c r="D1566" s="86">
        <v>43421.03</v>
      </c>
      <c r="E1566" s="84">
        <v>0</v>
      </c>
      <c r="F1566" s="84"/>
      <c r="G1566" s="84"/>
      <c r="H1566" s="84"/>
    </row>
    <row r="1567" spans="1:8">
      <c r="A1567" s="216" t="s">
        <v>679</v>
      </c>
      <c r="B1567" s="84"/>
      <c r="C1567" s="84">
        <v>5367.75</v>
      </c>
      <c r="D1567" s="86">
        <v>5367.75</v>
      </c>
      <c r="E1567" s="84">
        <v>0</v>
      </c>
      <c r="F1567" s="84"/>
      <c r="G1567" s="84"/>
      <c r="H1567" s="84"/>
    </row>
    <row r="1568" spans="1:8">
      <c r="A1568" s="84" t="s">
        <v>1557</v>
      </c>
      <c r="B1568" s="84"/>
      <c r="C1568" s="84">
        <v>28020.52</v>
      </c>
      <c r="D1568" s="86">
        <v>28020.52</v>
      </c>
      <c r="E1568" s="84">
        <v>0</v>
      </c>
      <c r="F1568" s="84"/>
      <c r="G1568" s="84"/>
      <c r="H1568" s="84"/>
    </row>
    <row r="1569" spans="1:8">
      <c r="B1569" s="84"/>
      <c r="C1569" s="342"/>
      <c r="D1569" s="342"/>
      <c r="E1569" s="342"/>
      <c r="F1569" s="84"/>
      <c r="G1569" s="84"/>
      <c r="H1569" s="84"/>
    </row>
    <row r="1570" spans="1:8" ht="13.5" thickBot="1">
      <c r="A1570" s="216" t="s">
        <v>1947</v>
      </c>
      <c r="B1570" s="84"/>
      <c r="C1570" s="311">
        <v>709612.83</v>
      </c>
      <c r="D1570" s="311">
        <v>709612.83</v>
      </c>
      <c r="E1570" s="343">
        <v>0</v>
      </c>
      <c r="F1570" s="84"/>
      <c r="G1570" s="84"/>
      <c r="H1570" s="84"/>
    </row>
    <row r="1571" spans="1:8" ht="13.5" thickTop="1">
      <c r="C1571" s="219"/>
      <c r="D1571" s="219"/>
      <c r="E1571" s="219"/>
    </row>
    <row r="1602" spans="1:240">
      <c r="A1602" s="216" t="s">
        <v>2603</v>
      </c>
    </row>
    <row r="1603" spans="1:240">
      <c r="A1603" s="216" t="s">
        <v>2253</v>
      </c>
    </row>
    <row r="1604" spans="1:240">
      <c r="A1604" s="216" t="s">
        <v>2254</v>
      </c>
    </row>
    <row r="1605" spans="1:240">
      <c r="A1605" s="218" t="s">
        <v>1557</v>
      </c>
    </row>
    <row r="1608" spans="1:240">
      <c r="A1608" s="216" t="s">
        <v>2255</v>
      </c>
      <c r="E1608" s="224" t="s">
        <v>2256</v>
      </c>
    </row>
    <row r="1609" spans="1:240">
      <c r="C1609" s="224" t="s">
        <v>32</v>
      </c>
      <c r="E1609" s="224" t="s">
        <v>1580</v>
      </c>
      <c r="I1609" s="224" t="s">
        <v>1371</v>
      </c>
    </row>
    <row r="1610" spans="1:240">
      <c r="C1610" s="224" t="s">
        <v>1617</v>
      </c>
      <c r="D1610" s="224" t="s">
        <v>2657</v>
      </c>
      <c r="E1610" s="224" t="s">
        <v>2257</v>
      </c>
      <c r="F1610" s="224" t="s">
        <v>2657</v>
      </c>
      <c r="G1610" s="224" t="s">
        <v>2657</v>
      </c>
      <c r="H1610" s="224" t="s">
        <v>2258</v>
      </c>
      <c r="I1610" s="224" t="s">
        <v>2259</v>
      </c>
      <c r="J1610" s="224" t="s">
        <v>1371</v>
      </c>
    </row>
    <row r="1611" spans="1:240">
      <c r="B1611" s="293" t="s">
        <v>2260</v>
      </c>
      <c r="C1611" s="293" t="s">
        <v>2261</v>
      </c>
      <c r="D1611" s="293" t="s">
        <v>2260</v>
      </c>
      <c r="E1611" s="293" t="s">
        <v>2262</v>
      </c>
      <c r="F1611" s="293" t="s">
        <v>42</v>
      </c>
      <c r="G1611" s="293" t="s">
        <v>2263</v>
      </c>
      <c r="H1611" s="293" t="s">
        <v>2120</v>
      </c>
      <c r="I1611" s="293" t="s">
        <v>2123</v>
      </c>
      <c r="J1611" s="293" t="s">
        <v>2120</v>
      </c>
      <c r="K1611" s="344"/>
    </row>
    <row r="1612" spans="1:240">
      <c r="K1612" s="344"/>
      <c r="L1612" s="84"/>
      <c r="M1612" s="84"/>
      <c r="N1612" s="84"/>
      <c r="O1612" s="84"/>
    </row>
    <row r="1613" spans="1:240">
      <c r="A1613" s="216" t="s">
        <v>1899</v>
      </c>
      <c r="B1613" s="84">
        <v>35301994.846923076</v>
      </c>
      <c r="C1613" s="84">
        <v>7127010.8515384635</v>
      </c>
      <c r="D1613" s="86">
        <v>28174983.995384611</v>
      </c>
      <c r="E1613" s="84">
        <v>0</v>
      </c>
      <c r="F1613" s="218">
        <v>28174983.995384611</v>
      </c>
      <c r="G1613" s="84">
        <v>0</v>
      </c>
      <c r="H1613" s="218">
        <v>28174983.995384611</v>
      </c>
      <c r="I1613" s="251">
        <v>0.96421599999999996</v>
      </c>
      <c r="J1613" s="218">
        <v>27166770.368093766</v>
      </c>
      <c r="K1613" s="344"/>
      <c r="L1613" s="84"/>
      <c r="M1613" s="84"/>
      <c r="N1613" s="84"/>
      <c r="O1613" s="84"/>
    </row>
    <row r="1614" spans="1:240">
      <c r="A1614" s="216" t="s">
        <v>1910</v>
      </c>
      <c r="B1614" s="84">
        <v>35957693.436923072</v>
      </c>
      <c r="C1614" s="84">
        <v>7233388.0155384643</v>
      </c>
      <c r="D1614" s="86">
        <v>28724305.421384607</v>
      </c>
      <c r="E1614" s="84">
        <v>0</v>
      </c>
      <c r="F1614" s="218">
        <v>28724305.421384607</v>
      </c>
      <c r="G1614" s="84">
        <v>0</v>
      </c>
      <c r="H1614" s="218">
        <v>28724305.421384607</v>
      </c>
      <c r="I1614" s="251">
        <v>0.96421599999999996</v>
      </c>
      <c r="J1614" s="218">
        <v>27696434.876185779</v>
      </c>
      <c r="K1614" s="344"/>
      <c r="L1614" s="84"/>
      <c r="M1614" s="84"/>
      <c r="N1614" s="84"/>
      <c r="O1614" s="84"/>
    </row>
    <row r="1615" spans="1:240">
      <c r="A1615" s="216" t="s">
        <v>588</v>
      </c>
      <c r="B1615" s="84">
        <v>41483241.151538454</v>
      </c>
      <c r="C1615" s="84">
        <v>7331309.5295384629</v>
      </c>
      <c r="D1615" s="86">
        <v>34151931.621999994</v>
      </c>
      <c r="E1615" s="84">
        <v>-125.59</v>
      </c>
      <c r="F1615" s="218">
        <v>34151806.03199999</v>
      </c>
      <c r="G1615" s="84">
        <v>0</v>
      </c>
      <c r="H1615" s="218">
        <v>34151806.03199999</v>
      </c>
      <c r="I1615" s="251">
        <v>0.96421599999999996</v>
      </c>
      <c r="J1615" s="218">
        <v>32929717.8049509</v>
      </c>
      <c r="K1615" s="344"/>
      <c r="L1615" s="84"/>
      <c r="M1615" s="84"/>
      <c r="N1615" s="84"/>
      <c r="O1615" s="84"/>
    </row>
    <row r="1616" spans="1:240">
      <c r="A1616" s="216" t="s">
        <v>598</v>
      </c>
      <c r="B1616" s="84">
        <v>42050224.729999997</v>
      </c>
      <c r="C1616" s="84">
        <v>7441689.6235384652</v>
      </c>
      <c r="D1616" s="86">
        <v>34608535.106461532</v>
      </c>
      <c r="E1616" s="84">
        <v>19738.62</v>
      </c>
      <c r="F1616" s="218">
        <v>34628273.72646153</v>
      </c>
      <c r="G1616" s="84">
        <v>0</v>
      </c>
      <c r="H1616" s="218">
        <v>34628273.72646153</v>
      </c>
      <c r="I1616" s="251">
        <v>0.96421599999999996</v>
      </c>
      <c r="J1616" s="218">
        <v>33389135.579433829</v>
      </c>
      <c r="K1616" s="344"/>
      <c r="L1616" s="84"/>
      <c r="M1616" s="84"/>
      <c r="N1616" s="84"/>
      <c r="O1616" s="84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5"/>
      <c r="AE1616" s="85"/>
      <c r="AF1616" s="85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  <c r="BG1616" s="85"/>
      <c r="BH1616" s="85"/>
      <c r="BI1616" s="85"/>
      <c r="BJ1616" s="85"/>
      <c r="BK1616" s="85"/>
      <c r="BL1616" s="85"/>
      <c r="BM1616" s="85"/>
      <c r="BN1616" s="85"/>
      <c r="BO1616" s="85"/>
      <c r="BP1616" s="85"/>
      <c r="BQ1616" s="85"/>
      <c r="BR1616" s="85"/>
      <c r="BS1616" s="85"/>
      <c r="BT1616" s="85"/>
      <c r="BU1616" s="85"/>
      <c r="BV1616" s="85"/>
      <c r="BW1616" s="85"/>
      <c r="BX1616" s="85"/>
      <c r="BY1616" s="85"/>
      <c r="BZ1616" s="85"/>
      <c r="CA1616" s="85"/>
      <c r="CB1616" s="85"/>
      <c r="CC1616" s="85"/>
      <c r="CD1616" s="85"/>
      <c r="CE1616" s="85"/>
      <c r="CF1616" s="85"/>
      <c r="CG1616" s="85"/>
      <c r="CH1616" s="85"/>
      <c r="CI1616" s="85"/>
      <c r="CJ1616" s="85"/>
      <c r="CK1616" s="85"/>
      <c r="CL1616" s="85"/>
      <c r="CM1616" s="85"/>
      <c r="CN1616" s="85"/>
      <c r="CO1616" s="85"/>
      <c r="CP1616" s="85"/>
      <c r="CQ1616" s="85"/>
      <c r="CR1616" s="85"/>
      <c r="CS1616" s="85"/>
      <c r="CT1616" s="85"/>
      <c r="CU1616" s="85"/>
      <c r="CV1616" s="85"/>
      <c r="CW1616" s="85"/>
      <c r="CX1616" s="85"/>
      <c r="CY1616" s="85"/>
      <c r="CZ1616" s="85"/>
      <c r="DA1616" s="85"/>
      <c r="DB1616" s="85"/>
      <c r="DC1616" s="85"/>
      <c r="DD1616" s="85"/>
      <c r="DE1616" s="85"/>
      <c r="DF1616" s="85"/>
      <c r="DG1616" s="85"/>
      <c r="DH1616" s="85"/>
      <c r="DI1616" s="85"/>
      <c r="DJ1616" s="85"/>
      <c r="DK1616" s="85"/>
      <c r="DL1616" s="85"/>
      <c r="DM1616" s="85"/>
      <c r="DN1616" s="85"/>
      <c r="DO1616" s="85"/>
      <c r="DP1616" s="85"/>
      <c r="DQ1616" s="85"/>
      <c r="DR1616" s="85"/>
      <c r="DS1616" s="85"/>
      <c r="DT1616" s="85"/>
      <c r="DU1616" s="85"/>
      <c r="DV1616" s="85"/>
      <c r="DW1616" s="85"/>
      <c r="DX1616" s="85"/>
      <c r="DY1616" s="85"/>
      <c r="DZ1616" s="85"/>
      <c r="EA1616" s="85"/>
      <c r="EB1616" s="85"/>
      <c r="EC1616" s="85"/>
      <c r="ED1616" s="85"/>
      <c r="EE1616" s="85"/>
      <c r="EF1616" s="85"/>
      <c r="EG1616" s="85"/>
      <c r="EH1616" s="85"/>
      <c r="EI1616" s="85"/>
      <c r="EJ1616" s="85"/>
      <c r="EK1616" s="85"/>
      <c r="EL1616" s="85"/>
      <c r="EM1616" s="85"/>
      <c r="EN1616" s="85"/>
      <c r="EO1616" s="85"/>
      <c r="EP1616" s="85"/>
      <c r="EQ1616" s="85"/>
      <c r="ER1616" s="85"/>
      <c r="ES1616" s="85"/>
      <c r="ET1616" s="85"/>
      <c r="EU1616" s="85"/>
      <c r="EV1616" s="85"/>
      <c r="EW1616" s="85"/>
      <c r="EX1616" s="85"/>
      <c r="EY1616" s="85"/>
      <c r="EZ1616" s="85"/>
      <c r="FA1616" s="85"/>
      <c r="FB1616" s="85"/>
      <c r="FC1616" s="85"/>
      <c r="FD1616" s="85"/>
      <c r="FE1616" s="85"/>
      <c r="FF1616" s="85"/>
      <c r="FG1616" s="85"/>
      <c r="FH1616" s="85"/>
      <c r="FI1616" s="85"/>
      <c r="FJ1616" s="85"/>
      <c r="FK1616" s="85"/>
      <c r="FL1616" s="85"/>
      <c r="FM1616" s="85"/>
      <c r="FN1616" s="85"/>
      <c r="FO1616" s="85"/>
      <c r="FP1616" s="85"/>
      <c r="FQ1616" s="85"/>
      <c r="FR1616" s="85"/>
      <c r="FS1616" s="85"/>
      <c r="FT1616" s="85"/>
      <c r="FU1616" s="85"/>
      <c r="FV1616" s="85"/>
      <c r="FW1616" s="85"/>
      <c r="FX1616" s="85"/>
      <c r="FY1616" s="85"/>
      <c r="FZ1616" s="85"/>
      <c r="GA1616" s="85"/>
      <c r="GB1616" s="85"/>
      <c r="GC1616" s="85"/>
      <c r="GD1616" s="85"/>
      <c r="GE1616" s="85"/>
      <c r="GF1616" s="85"/>
      <c r="GG1616" s="85"/>
      <c r="GH1616" s="85"/>
      <c r="GI1616" s="85"/>
      <c r="GJ1616" s="85"/>
      <c r="GK1616" s="85"/>
      <c r="GL1616" s="85"/>
      <c r="GM1616" s="85"/>
      <c r="GN1616" s="85"/>
      <c r="GO1616" s="85"/>
      <c r="GP1616" s="85"/>
      <c r="GQ1616" s="85"/>
      <c r="GR1616" s="85"/>
      <c r="GS1616" s="85"/>
      <c r="GT1616" s="85"/>
      <c r="GU1616" s="85"/>
      <c r="GV1616" s="85"/>
      <c r="GW1616" s="85"/>
      <c r="GX1616" s="85"/>
      <c r="GY1616" s="85"/>
      <c r="GZ1616" s="85"/>
      <c r="HA1616" s="85"/>
      <c r="HB1616" s="85"/>
      <c r="HC1616" s="85"/>
      <c r="HD1616" s="85"/>
      <c r="HE1616" s="85"/>
      <c r="HF1616" s="85"/>
      <c r="HG1616" s="85"/>
      <c r="HH1616" s="85"/>
      <c r="HI1616" s="85"/>
      <c r="HJ1616" s="85"/>
      <c r="HK1616" s="85"/>
      <c r="HL1616" s="85"/>
      <c r="HM1616" s="85"/>
      <c r="HN1616" s="85"/>
      <c r="HO1616" s="85"/>
      <c r="HP1616" s="85"/>
      <c r="HQ1616" s="85"/>
      <c r="HR1616" s="85"/>
      <c r="HS1616" s="85"/>
      <c r="HT1616" s="85"/>
      <c r="HU1616" s="85"/>
      <c r="HV1616" s="85"/>
      <c r="HW1616" s="85"/>
      <c r="HX1616" s="85"/>
      <c r="HY1616" s="85"/>
      <c r="HZ1616" s="85"/>
      <c r="IA1616" s="85"/>
      <c r="IB1616" s="85"/>
      <c r="IC1616" s="85"/>
      <c r="ID1616" s="85"/>
      <c r="IE1616" s="85"/>
      <c r="IF1616" s="85"/>
    </row>
    <row r="1617" spans="1:240" s="85" customFormat="1">
      <c r="A1617" s="216" t="s">
        <v>609</v>
      </c>
      <c r="B1617" s="84">
        <v>42378204.780000001</v>
      </c>
      <c r="C1617" s="84">
        <v>7554506.6813846184</v>
      </c>
      <c r="D1617" s="86">
        <v>34823698.098615386</v>
      </c>
      <c r="E1617" s="84">
        <v>19829.419999999998</v>
      </c>
      <c r="F1617" s="218">
        <v>34843527.518615387</v>
      </c>
      <c r="G1617" s="84">
        <v>0</v>
      </c>
      <c r="H1617" s="218">
        <v>34843527.518615387</v>
      </c>
      <c r="I1617" s="251">
        <v>0.96421599999999996</v>
      </c>
      <c r="J1617" s="218">
        <v>33596686.729889251</v>
      </c>
      <c r="K1617" s="345"/>
      <c r="L1617" s="84"/>
      <c r="M1617" s="84"/>
      <c r="N1617" s="84"/>
      <c r="O1617" s="84"/>
      <c r="Q1617" s="84"/>
    </row>
    <row r="1618" spans="1:240" s="85" customFormat="1">
      <c r="A1618" s="216" t="s">
        <v>618</v>
      </c>
      <c r="B1618" s="84">
        <v>42695656.693846151</v>
      </c>
      <c r="C1618" s="84">
        <v>7683528.4613846168</v>
      </c>
      <c r="D1618" s="86">
        <v>35012128.232461534</v>
      </c>
      <c r="E1618" s="84">
        <v>19013.93</v>
      </c>
      <c r="F1618" s="218">
        <v>35031142.162461534</v>
      </c>
      <c r="G1618" s="84">
        <v>0</v>
      </c>
      <c r="H1618" s="218">
        <v>35031142.162461534</v>
      </c>
      <c r="I1618" s="251">
        <v>0.96421599999999996</v>
      </c>
      <c r="J1618" s="218">
        <v>33777587.771320008</v>
      </c>
      <c r="K1618" s="345"/>
      <c r="L1618" s="84"/>
      <c r="M1618" s="84"/>
      <c r="N1618" s="84"/>
      <c r="O1618" s="84"/>
      <c r="Q1618" s="84"/>
    </row>
    <row r="1619" spans="1:240" s="85" customFormat="1">
      <c r="A1619" s="216" t="s">
        <v>629</v>
      </c>
      <c r="B1619" s="84">
        <v>43165356.447692305</v>
      </c>
      <c r="C1619" s="84">
        <v>7806730.8553076955</v>
      </c>
      <c r="D1619" s="86">
        <v>35358625.592384607</v>
      </c>
      <c r="E1619" s="84">
        <v>19859.37</v>
      </c>
      <c r="F1619" s="86">
        <v>35378484.962384604</v>
      </c>
      <c r="G1619" s="84">
        <v>0</v>
      </c>
      <c r="H1619" s="86">
        <v>35378484.962384604</v>
      </c>
      <c r="I1619" s="89">
        <v>0.96421599999999996</v>
      </c>
      <c r="J1619" s="86">
        <v>34112501.256490633</v>
      </c>
      <c r="K1619" s="344"/>
      <c r="L1619" s="84"/>
      <c r="M1619" s="84"/>
      <c r="N1619" s="84"/>
      <c r="O1619" s="84"/>
      <c r="P1619" s="84"/>
    </row>
    <row r="1620" spans="1:240" s="85" customFormat="1">
      <c r="A1620" s="216" t="s">
        <v>639</v>
      </c>
      <c r="B1620" s="84">
        <v>43259091.549230769</v>
      </c>
      <c r="C1620" s="84">
        <v>7914531.8868461587</v>
      </c>
      <c r="D1620" s="86">
        <v>35344559.662384614</v>
      </c>
      <c r="E1620" s="84">
        <v>45342.42923076923</v>
      </c>
      <c r="F1620" s="86">
        <v>35389902.091615386</v>
      </c>
      <c r="G1620" s="84">
        <v>0</v>
      </c>
      <c r="H1620" s="86">
        <v>35389902.091615386</v>
      </c>
      <c r="I1620" s="89">
        <v>0.96421599999999996</v>
      </c>
      <c r="J1620" s="86">
        <v>34123509.835169017</v>
      </c>
      <c r="K1620" s="344"/>
      <c r="L1620" s="84"/>
      <c r="M1620" s="84"/>
      <c r="N1620" s="84"/>
      <c r="O1620" s="84"/>
      <c r="P1620" s="84"/>
    </row>
    <row r="1621" spans="1:240" s="85" customFormat="1">
      <c r="A1621" s="216" t="s">
        <v>649</v>
      </c>
      <c r="B1621" s="84">
        <v>43400147.404615387</v>
      </c>
      <c r="C1621" s="84">
        <v>8034503.5783846183</v>
      </c>
      <c r="D1621" s="86">
        <v>35365643.826230772</v>
      </c>
      <c r="E1621" s="84">
        <v>56521.82076923077</v>
      </c>
      <c r="F1621" s="86">
        <v>35422165.647</v>
      </c>
      <c r="G1621" s="84">
        <v>0</v>
      </c>
      <c r="H1621" s="86">
        <v>35422165.647</v>
      </c>
      <c r="I1621" s="89">
        <v>0.96421599999999996</v>
      </c>
      <c r="J1621" s="86">
        <v>34154618.871487752</v>
      </c>
      <c r="K1621" s="345"/>
      <c r="N1621" s="84"/>
      <c r="O1621" s="84"/>
      <c r="P1621" s="215"/>
      <c r="Q1621" s="215"/>
      <c r="R1621" s="215"/>
      <c r="S1621" s="215"/>
      <c r="T1621" s="215"/>
      <c r="U1621" s="215"/>
      <c r="V1621" s="215"/>
      <c r="W1621" s="215"/>
      <c r="X1621" s="215"/>
      <c r="Y1621" s="215"/>
      <c r="Z1621" s="215"/>
      <c r="AA1621" s="215"/>
      <c r="AB1621" s="215"/>
      <c r="AC1621" s="215"/>
      <c r="AD1621" s="215"/>
      <c r="AE1621" s="215"/>
      <c r="AF1621" s="215"/>
      <c r="AG1621" s="215"/>
      <c r="AH1621" s="215"/>
      <c r="AI1621" s="215"/>
      <c r="AJ1621" s="215"/>
      <c r="AK1621" s="215"/>
      <c r="AL1621" s="215"/>
      <c r="AM1621" s="215"/>
      <c r="AN1621" s="215"/>
      <c r="AO1621" s="215"/>
      <c r="AP1621" s="215"/>
      <c r="AQ1621" s="215"/>
      <c r="AR1621" s="215"/>
      <c r="AS1621" s="215"/>
      <c r="AT1621" s="215"/>
      <c r="AU1621" s="215"/>
      <c r="AV1621" s="215"/>
      <c r="AW1621" s="215"/>
      <c r="AX1621" s="215"/>
      <c r="AY1621" s="215"/>
      <c r="AZ1621" s="215"/>
      <c r="BA1621" s="215"/>
      <c r="BB1621" s="215"/>
      <c r="BC1621" s="215"/>
      <c r="BD1621" s="215"/>
      <c r="BE1621" s="215"/>
      <c r="BF1621" s="215"/>
      <c r="BG1621" s="215"/>
      <c r="BH1621" s="215"/>
      <c r="BI1621" s="215"/>
      <c r="BJ1621" s="215"/>
      <c r="BK1621" s="215"/>
      <c r="BL1621" s="215"/>
      <c r="BM1621" s="215"/>
      <c r="BN1621" s="215"/>
      <c r="BO1621" s="215"/>
      <c r="BP1621" s="215"/>
      <c r="BQ1621" s="215"/>
      <c r="BR1621" s="215"/>
      <c r="BS1621" s="215"/>
      <c r="BT1621" s="215"/>
      <c r="BU1621" s="215"/>
      <c r="BV1621" s="215"/>
      <c r="BW1621" s="215"/>
      <c r="BX1621" s="215"/>
      <c r="BY1621" s="215"/>
      <c r="BZ1621" s="215"/>
      <c r="CA1621" s="215"/>
      <c r="CB1621" s="215"/>
      <c r="CC1621" s="215"/>
      <c r="CD1621" s="215"/>
      <c r="CE1621" s="215"/>
      <c r="CF1621" s="215"/>
      <c r="CG1621" s="215"/>
      <c r="CH1621" s="215"/>
      <c r="CI1621" s="215"/>
      <c r="CJ1621" s="215"/>
      <c r="CK1621" s="215"/>
      <c r="CL1621" s="215"/>
      <c r="CM1621" s="215"/>
      <c r="CN1621" s="215"/>
      <c r="CO1621" s="215"/>
      <c r="CP1621" s="215"/>
      <c r="CQ1621" s="215"/>
      <c r="CR1621" s="215"/>
      <c r="CS1621" s="215"/>
      <c r="CT1621" s="215"/>
      <c r="CU1621" s="215"/>
      <c r="CV1621" s="215"/>
      <c r="CW1621" s="215"/>
      <c r="CX1621" s="215"/>
      <c r="CY1621" s="215"/>
      <c r="CZ1621" s="215"/>
      <c r="DA1621" s="215"/>
      <c r="DB1621" s="215"/>
      <c r="DC1621" s="215"/>
      <c r="DD1621" s="215"/>
      <c r="DE1621" s="215"/>
      <c r="DF1621" s="215"/>
      <c r="DG1621" s="215"/>
      <c r="DH1621" s="215"/>
      <c r="DI1621" s="215"/>
      <c r="DJ1621" s="215"/>
      <c r="DK1621" s="215"/>
      <c r="DL1621" s="215"/>
      <c r="DM1621" s="215"/>
      <c r="DN1621" s="215"/>
      <c r="DO1621" s="215"/>
      <c r="DP1621" s="215"/>
      <c r="DQ1621" s="215"/>
      <c r="DR1621" s="215"/>
      <c r="DS1621" s="215"/>
      <c r="DT1621" s="215"/>
      <c r="DU1621" s="215"/>
      <c r="DV1621" s="215"/>
      <c r="DW1621" s="215"/>
      <c r="DX1621" s="215"/>
      <c r="DY1621" s="215"/>
      <c r="DZ1621" s="215"/>
      <c r="EA1621" s="215"/>
      <c r="EB1621" s="215"/>
      <c r="EC1621" s="215"/>
      <c r="ED1621" s="215"/>
      <c r="EE1621" s="215"/>
      <c r="EF1621" s="215"/>
      <c r="EG1621" s="215"/>
      <c r="EH1621" s="215"/>
      <c r="EI1621" s="215"/>
      <c r="EJ1621" s="215"/>
      <c r="EK1621" s="215"/>
      <c r="EL1621" s="215"/>
      <c r="EM1621" s="215"/>
      <c r="EN1621" s="215"/>
      <c r="EO1621" s="215"/>
      <c r="EP1621" s="215"/>
      <c r="EQ1621" s="215"/>
      <c r="ER1621" s="215"/>
      <c r="ES1621" s="215"/>
      <c r="ET1621" s="215"/>
      <c r="EU1621" s="215"/>
      <c r="EV1621" s="215"/>
      <c r="EW1621" s="215"/>
      <c r="EX1621" s="215"/>
      <c r="EY1621" s="215"/>
      <c r="EZ1621" s="215"/>
      <c r="FA1621" s="215"/>
      <c r="FB1621" s="215"/>
      <c r="FC1621" s="215"/>
      <c r="FD1621" s="215"/>
      <c r="FE1621" s="215"/>
      <c r="FF1621" s="215"/>
      <c r="FG1621" s="215"/>
      <c r="FH1621" s="215"/>
      <c r="FI1621" s="215"/>
      <c r="FJ1621" s="215"/>
      <c r="FK1621" s="215"/>
      <c r="FL1621" s="215"/>
      <c r="FM1621" s="215"/>
      <c r="FN1621" s="215"/>
      <c r="FO1621" s="215"/>
      <c r="FP1621" s="215"/>
      <c r="FQ1621" s="215"/>
      <c r="FR1621" s="215"/>
      <c r="FS1621" s="215"/>
      <c r="FT1621" s="215"/>
      <c r="FU1621" s="215"/>
      <c r="FV1621" s="215"/>
      <c r="FW1621" s="215"/>
      <c r="FX1621" s="215"/>
      <c r="FY1621" s="215"/>
      <c r="FZ1621" s="215"/>
      <c r="GA1621" s="215"/>
      <c r="GB1621" s="215"/>
      <c r="GC1621" s="215"/>
      <c r="GD1621" s="215"/>
      <c r="GE1621" s="215"/>
      <c r="GF1621" s="215"/>
      <c r="GG1621" s="215"/>
      <c r="GH1621" s="215"/>
      <c r="GI1621" s="215"/>
      <c r="GJ1621" s="215"/>
      <c r="GK1621" s="215"/>
      <c r="GL1621" s="215"/>
      <c r="GM1621" s="215"/>
      <c r="GN1621" s="215"/>
      <c r="GO1621" s="215"/>
      <c r="GP1621" s="215"/>
      <c r="GQ1621" s="215"/>
      <c r="GR1621" s="215"/>
      <c r="GS1621" s="215"/>
      <c r="GT1621" s="215"/>
      <c r="GU1621" s="215"/>
      <c r="GV1621" s="215"/>
      <c r="GW1621" s="215"/>
      <c r="GX1621" s="215"/>
      <c r="GY1621" s="215"/>
      <c r="GZ1621" s="215"/>
      <c r="HA1621" s="215"/>
      <c r="HB1621" s="215"/>
      <c r="HC1621" s="215"/>
      <c r="HD1621" s="215"/>
      <c r="HE1621" s="215"/>
      <c r="HF1621" s="215"/>
      <c r="HG1621" s="215"/>
      <c r="HH1621" s="215"/>
      <c r="HI1621" s="215"/>
      <c r="HJ1621" s="215"/>
      <c r="HK1621" s="215"/>
      <c r="HL1621" s="215"/>
      <c r="HM1621" s="215"/>
      <c r="HN1621" s="215"/>
      <c r="HO1621" s="215"/>
      <c r="HP1621" s="215"/>
      <c r="HQ1621" s="215"/>
      <c r="HR1621" s="215"/>
      <c r="HS1621" s="215"/>
      <c r="HT1621" s="215"/>
      <c r="HU1621" s="215"/>
      <c r="HV1621" s="215"/>
      <c r="HW1621" s="215"/>
      <c r="HX1621" s="215"/>
      <c r="HY1621" s="215"/>
      <c r="HZ1621" s="215"/>
      <c r="IA1621" s="215"/>
      <c r="IB1621" s="215"/>
      <c r="IC1621" s="215"/>
      <c r="ID1621" s="215"/>
      <c r="IE1621" s="215"/>
      <c r="IF1621" s="215"/>
    </row>
    <row r="1622" spans="1:240">
      <c r="A1622" s="216" t="s">
        <v>679</v>
      </c>
      <c r="B1622" s="84">
        <v>43405907.170000002</v>
      </c>
      <c r="C1622" s="84">
        <v>8164985.3715384621</v>
      </c>
      <c r="D1622" s="86">
        <v>35240921.798461542</v>
      </c>
      <c r="E1622" s="84">
        <v>20970.400000000001</v>
      </c>
      <c r="F1622" s="86">
        <v>35261892.19846154</v>
      </c>
      <c r="G1622" s="84">
        <v>0</v>
      </c>
      <c r="H1622" s="86">
        <v>35261892.19846154</v>
      </c>
      <c r="I1622" s="89">
        <v>0.96421599999999996</v>
      </c>
      <c r="J1622" s="86">
        <v>34000080.648031794</v>
      </c>
      <c r="K1622" s="271"/>
      <c r="N1622" s="84"/>
      <c r="O1622" s="84"/>
    </row>
    <row r="1623" spans="1:240">
      <c r="A1623" s="216" t="s">
        <v>1557</v>
      </c>
      <c r="B1623" s="84">
        <v>43409277.380000003</v>
      </c>
      <c r="C1623" s="84">
        <v>8311911.4100000001</v>
      </c>
      <c r="D1623" s="86">
        <v>35097365.969999999</v>
      </c>
      <c r="E1623" s="84">
        <v>21509.39</v>
      </c>
      <c r="F1623" s="86">
        <v>35118875.359999999</v>
      </c>
      <c r="G1623" s="84">
        <v>0</v>
      </c>
      <c r="H1623" s="86">
        <v>35118875.359999999</v>
      </c>
      <c r="I1623" s="89">
        <v>0.96445820000000004</v>
      </c>
      <c r="J1623" s="86">
        <v>33870687.315729953</v>
      </c>
      <c r="K1623" s="344"/>
      <c r="L1623" s="84"/>
      <c r="M1623" s="84"/>
      <c r="N1623" s="84"/>
      <c r="O1623" s="84"/>
      <c r="P1623" s="234" t="s">
        <v>2264</v>
      </c>
    </row>
    <row r="1624" spans="1:240">
      <c r="A1624" s="216" t="s">
        <v>679</v>
      </c>
      <c r="B1624" s="84">
        <v>43441267.850000001</v>
      </c>
      <c r="C1624" s="84">
        <v>8394498.3000000007</v>
      </c>
      <c r="D1624" s="218">
        <v>35046769.549999997</v>
      </c>
      <c r="E1624" s="84">
        <v>28599.27</v>
      </c>
      <c r="F1624" s="218">
        <v>35075368.82</v>
      </c>
      <c r="G1624" s="84">
        <v>0</v>
      </c>
      <c r="H1624" s="218">
        <v>35075368.82</v>
      </c>
      <c r="I1624" s="251">
        <v>0.96445820000000004</v>
      </c>
      <c r="J1624" s="218">
        <v>33828727.076473325</v>
      </c>
      <c r="P1624" s="234" t="s">
        <v>2265</v>
      </c>
    </row>
    <row r="1625" spans="1:240">
      <c r="A1625" s="216" t="s">
        <v>1557</v>
      </c>
      <c r="B1625" s="84">
        <v>43441267.850000001</v>
      </c>
      <c r="C1625" s="84">
        <v>8519932.6799999997</v>
      </c>
      <c r="D1625" s="218">
        <v>34921335.170000002</v>
      </c>
      <c r="E1625" s="84">
        <v>28599.27</v>
      </c>
      <c r="F1625" s="218">
        <v>34949934.440000005</v>
      </c>
      <c r="G1625" s="84">
        <v>0</v>
      </c>
      <c r="H1625" s="218">
        <v>34949934.440000005</v>
      </c>
      <c r="I1625" s="251">
        <v>0.96445820000000004</v>
      </c>
      <c r="J1625" s="218">
        <v>33707750.860120416</v>
      </c>
      <c r="S1625" s="215" t="s">
        <v>2266</v>
      </c>
    </row>
    <row r="1626" spans="1:240">
      <c r="B1626" s="231"/>
      <c r="C1626" s="231"/>
      <c r="D1626" s="231"/>
      <c r="E1626" s="231"/>
      <c r="F1626" s="231"/>
      <c r="G1626" s="231"/>
      <c r="H1626" s="231"/>
      <c r="I1626" s="346"/>
      <c r="J1626" s="231"/>
      <c r="S1626" s="215" t="s">
        <v>2267</v>
      </c>
    </row>
    <row r="1627" spans="1:240">
      <c r="A1627" s="216" t="s">
        <v>2268</v>
      </c>
      <c r="B1627" s="218">
        <v>543389331.29076922</v>
      </c>
      <c r="C1627" s="218">
        <v>101518527.24500003</v>
      </c>
      <c r="D1627" s="218">
        <v>441870804.04576921</v>
      </c>
      <c r="E1627" s="218">
        <v>279858.32999999996</v>
      </c>
      <c r="F1627" s="218">
        <v>442150662.3757692</v>
      </c>
      <c r="G1627" s="218">
        <v>0</v>
      </c>
      <c r="H1627" s="218">
        <v>442150662.3757692</v>
      </c>
      <c r="I1627" s="251"/>
      <c r="J1627" s="218">
        <v>426354208.99337637</v>
      </c>
      <c r="P1627" s="215" t="s">
        <v>2657</v>
      </c>
      <c r="S1627" s="215" t="s">
        <v>2269</v>
      </c>
      <c r="T1627" s="215" t="s">
        <v>2270</v>
      </c>
    </row>
    <row r="1628" spans="1:240" ht="13.5" thickBot="1">
      <c r="A1628" s="216" t="s">
        <v>2271</v>
      </c>
      <c r="B1628" s="294">
        <v>41799179.330059171</v>
      </c>
      <c r="C1628" s="294">
        <v>7809117.480384618</v>
      </c>
      <c r="D1628" s="294">
        <v>33990061.849674553</v>
      </c>
      <c r="E1628" s="294">
        <v>21527.563846153844</v>
      </c>
      <c r="F1628" s="294">
        <v>34011589.413520709</v>
      </c>
      <c r="G1628" s="294">
        <v>0</v>
      </c>
      <c r="H1628" s="294">
        <v>34011589.413520709</v>
      </c>
      <c r="I1628" s="347">
        <v>0.96427359557143899</v>
      </c>
      <c r="J1628" s="294">
        <v>32796477.614875104</v>
      </c>
      <c r="P1628" s="215" t="s">
        <v>2263</v>
      </c>
      <c r="S1628" s="215" t="s">
        <v>2272</v>
      </c>
      <c r="T1628" s="215" t="s">
        <v>2272</v>
      </c>
    </row>
    <row r="1629" spans="1:240" ht="13.5" thickTop="1">
      <c r="Q1629" s="226" t="s">
        <v>2273</v>
      </c>
      <c r="R1629" s="217" t="s">
        <v>2274</v>
      </c>
      <c r="S1629" s="215" t="s">
        <v>2275</v>
      </c>
      <c r="T1629" s="215" t="s">
        <v>2276</v>
      </c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5"/>
      <c r="AE1629" s="85"/>
      <c r="AF1629" s="85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  <c r="BL1629" s="85"/>
      <c r="BM1629" s="85"/>
      <c r="BN1629" s="85"/>
      <c r="BO1629" s="85"/>
      <c r="BP1629" s="85"/>
      <c r="BQ1629" s="85"/>
      <c r="BR1629" s="85"/>
      <c r="BS1629" s="85"/>
      <c r="BT1629" s="85"/>
      <c r="BU1629" s="85"/>
      <c r="BV1629" s="85"/>
      <c r="BW1629" s="85"/>
      <c r="BX1629" s="85"/>
      <c r="BY1629" s="85"/>
      <c r="BZ1629" s="85"/>
      <c r="CA1629" s="85"/>
      <c r="CB1629" s="85"/>
      <c r="CC1629" s="85"/>
      <c r="CD1629" s="85"/>
      <c r="CE1629" s="85"/>
      <c r="CF1629" s="85"/>
      <c r="CG1629" s="85"/>
      <c r="CH1629" s="85"/>
      <c r="CI1629" s="85"/>
      <c r="CJ1629" s="85"/>
      <c r="CK1629" s="85"/>
      <c r="CL1629" s="85"/>
      <c r="CM1629" s="85"/>
      <c r="CN1629" s="85"/>
      <c r="CO1629" s="85"/>
      <c r="CP1629" s="85"/>
      <c r="CQ1629" s="85"/>
      <c r="CR1629" s="85"/>
      <c r="CS1629" s="85"/>
      <c r="CT1629" s="85"/>
      <c r="CU1629" s="85"/>
      <c r="CV1629" s="85"/>
      <c r="CW1629" s="85"/>
      <c r="CX1629" s="85"/>
      <c r="CY1629" s="85"/>
      <c r="CZ1629" s="85"/>
      <c r="DA1629" s="85"/>
      <c r="DB1629" s="85"/>
      <c r="DC1629" s="85"/>
      <c r="DD1629" s="85"/>
      <c r="DE1629" s="85"/>
      <c r="DF1629" s="85"/>
      <c r="DG1629" s="85"/>
      <c r="DH1629" s="85"/>
      <c r="DI1629" s="85"/>
      <c r="DJ1629" s="85"/>
      <c r="DK1629" s="85"/>
      <c r="DL1629" s="85"/>
      <c r="DM1629" s="85"/>
      <c r="DN1629" s="85"/>
      <c r="DO1629" s="85"/>
      <c r="DP1629" s="85"/>
      <c r="DQ1629" s="85"/>
      <c r="DR1629" s="85"/>
      <c r="DS1629" s="85"/>
      <c r="DT1629" s="85"/>
      <c r="DU1629" s="85"/>
      <c r="DV1629" s="85"/>
      <c r="DW1629" s="85"/>
      <c r="DX1629" s="85"/>
      <c r="DY1629" s="85"/>
      <c r="DZ1629" s="85"/>
      <c r="EA1629" s="85"/>
      <c r="EB1629" s="85"/>
      <c r="EC1629" s="85"/>
      <c r="ED1629" s="85"/>
      <c r="EE1629" s="85"/>
      <c r="EF1629" s="85"/>
      <c r="EG1629" s="85"/>
      <c r="EH1629" s="85"/>
      <c r="EI1629" s="85"/>
      <c r="EJ1629" s="85"/>
      <c r="EK1629" s="85"/>
      <c r="EL1629" s="85"/>
      <c r="EM1629" s="85"/>
      <c r="EN1629" s="85"/>
      <c r="EO1629" s="85"/>
      <c r="EP1629" s="85"/>
      <c r="EQ1629" s="85"/>
      <c r="ER1629" s="85"/>
      <c r="ES1629" s="85"/>
      <c r="ET1629" s="85"/>
      <c r="EU1629" s="85"/>
      <c r="EV1629" s="85"/>
      <c r="EW1629" s="85"/>
      <c r="EX1629" s="85"/>
      <c r="EY1629" s="85"/>
      <c r="EZ1629" s="85"/>
      <c r="FA1629" s="85"/>
      <c r="FB1629" s="85"/>
      <c r="FC1629" s="85"/>
      <c r="FD1629" s="85"/>
      <c r="FE1629" s="85"/>
      <c r="FF1629" s="85"/>
      <c r="FG1629" s="85"/>
      <c r="FH1629" s="85"/>
      <c r="FI1629" s="85"/>
      <c r="FJ1629" s="85"/>
      <c r="FK1629" s="85"/>
      <c r="FL1629" s="85"/>
      <c r="FM1629" s="85"/>
      <c r="FN1629" s="85"/>
      <c r="FO1629" s="85"/>
      <c r="FP1629" s="85"/>
      <c r="FQ1629" s="85"/>
      <c r="FR1629" s="85"/>
      <c r="FS1629" s="85"/>
      <c r="FT1629" s="85"/>
      <c r="FU1629" s="85"/>
      <c r="FV1629" s="85"/>
      <c r="FW1629" s="85"/>
      <c r="FX1629" s="85"/>
      <c r="FY1629" s="85"/>
      <c r="FZ1629" s="85"/>
      <c r="GA1629" s="85"/>
      <c r="GB1629" s="85"/>
      <c r="GC1629" s="85"/>
      <c r="GD1629" s="85"/>
      <c r="GE1629" s="85"/>
      <c r="GF1629" s="85"/>
      <c r="GG1629" s="85"/>
      <c r="GH1629" s="85"/>
      <c r="GI1629" s="85"/>
      <c r="GJ1629" s="85"/>
      <c r="GK1629" s="85"/>
      <c r="GL1629" s="85"/>
      <c r="GM1629" s="85"/>
      <c r="GN1629" s="85"/>
      <c r="GO1629" s="85"/>
      <c r="GP1629" s="85"/>
      <c r="GQ1629" s="85"/>
      <c r="GR1629" s="85"/>
      <c r="GS1629" s="85"/>
      <c r="GT1629" s="85"/>
      <c r="GU1629" s="85"/>
      <c r="GV1629" s="85"/>
      <c r="GW1629" s="85"/>
      <c r="GX1629" s="85"/>
      <c r="GY1629" s="85"/>
      <c r="GZ1629" s="85"/>
      <c r="HA1629" s="85"/>
      <c r="HB1629" s="85"/>
      <c r="HC1629" s="85"/>
      <c r="HD1629" s="85"/>
      <c r="HE1629" s="85"/>
      <c r="HF1629" s="85"/>
      <c r="HG1629" s="85"/>
      <c r="HH1629" s="85"/>
      <c r="HI1629" s="85"/>
      <c r="HJ1629" s="85"/>
      <c r="HK1629" s="85"/>
      <c r="HL1629" s="85"/>
      <c r="HM1629" s="85"/>
      <c r="HN1629" s="85"/>
      <c r="HO1629" s="85"/>
      <c r="HP1629" s="85"/>
      <c r="HQ1629" s="85"/>
      <c r="HR1629" s="85"/>
      <c r="HS1629" s="85"/>
      <c r="HT1629" s="85"/>
      <c r="HU1629" s="85"/>
      <c r="HV1629" s="85"/>
      <c r="HW1629" s="85"/>
      <c r="HX1629" s="85"/>
      <c r="HY1629" s="85"/>
      <c r="HZ1629" s="85"/>
      <c r="IA1629" s="85"/>
      <c r="IB1629" s="85"/>
      <c r="IC1629" s="85"/>
      <c r="ID1629" s="85"/>
      <c r="IE1629" s="85"/>
      <c r="IF1629" s="85"/>
    </row>
    <row r="1630" spans="1:240" s="85" customFormat="1">
      <c r="A1630" s="216" t="s">
        <v>3723</v>
      </c>
      <c r="B1630" s="215"/>
      <c r="C1630" s="215"/>
      <c r="D1630" s="215"/>
      <c r="E1630" s="215"/>
      <c r="F1630" s="215"/>
      <c r="G1630" s="215"/>
      <c r="H1630" s="215"/>
      <c r="I1630" s="215"/>
      <c r="J1630" s="215"/>
      <c r="K1630" s="348"/>
      <c r="L1630" s="349"/>
    </row>
    <row r="1631" spans="1:240" s="85" customFormat="1">
      <c r="A1631" s="215"/>
      <c r="B1631" s="215"/>
      <c r="C1631" s="215"/>
      <c r="D1631" s="215"/>
      <c r="E1631" s="215"/>
      <c r="F1631" s="215"/>
      <c r="G1631" s="215"/>
      <c r="H1631" s="215"/>
      <c r="I1631" s="215"/>
      <c r="J1631" s="215"/>
      <c r="K1631" s="348"/>
      <c r="L1631" s="349"/>
      <c r="M1631" s="84"/>
      <c r="P1631" s="85">
        <v>-644569</v>
      </c>
      <c r="Q1631" s="85">
        <v>4.0000000037252903E-2</v>
      </c>
      <c r="R1631" s="85">
        <v>-644568.96</v>
      </c>
      <c r="S1631" s="85">
        <v>771253.9</v>
      </c>
      <c r="T1631" s="85">
        <v>126684.94</v>
      </c>
    </row>
    <row r="1632" spans="1:240" s="85" customFormat="1" ht="12">
      <c r="A1632" s="150" t="s">
        <v>1899</v>
      </c>
      <c r="B1632" s="84">
        <v>807009020.80307686</v>
      </c>
      <c r="C1632" s="84">
        <v>22715152.126233567</v>
      </c>
      <c r="D1632" s="86">
        <v>784293868.67684329</v>
      </c>
      <c r="E1632" s="84">
        <v>2275774.2599999998</v>
      </c>
      <c r="F1632" s="86">
        <v>786569642.93684328</v>
      </c>
      <c r="G1632" s="84">
        <v>15088470.760000002</v>
      </c>
      <c r="H1632" s="86">
        <v>801658113.69684327</v>
      </c>
      <c r="I1632" s="350">
        <v>0.96588799999999997</v>
      </c>
      <c r="J1632" s="86">
        <v>774311952.1224165</v>
      </c>
      <c r="K1632" s="348"/>
      <c r="L1632" s="349"/>
      <c r="M1632" s="84"/>
      <c r="P1632" s="85">
        <v>-637385.93999999994</v>
      </c>
      <c r="Q1632" s="85">
        <v>4.0000000037252903E-2</v>
      </c>
      <c r="R1632" s="85">
        <v>-637385.9</v>
      </c>
      <c r="S1632" s="85">
        <v>761035.57</v>
      </c>
      <c r="T1632" s="85">
        <v>123649.67</v>
      </c>
    </row>
    <row r="1633" spans="1:240" s="85" customFormat="1" ht="12">
      <c r="A1633" s="150" t="s">
        <v>1910</v>
      </c>
      <c r="B1633" s="84">
        <v>807767480.48307693</v>
      </c>
      <c r="C1633" s="84">
        <v>24892481.159233555</v>
      </c>
      <c r="D1633" s="86">
        <v>782874999.32384336</v>
      </c>
      <c r="E1633" s="84">
        <v>3096328.64</v>
      </c>
      <c r="F1633" s="86">
        <v>785971327.96384335</v>
      </c>
      <c r="G1633" s="84">
        <v>14857539.970000001</v>
      </c>
      <c r="H1633" s="86">
        <v>800828867.93384337</v>
      </c>
      <c r="I1633" s="350">
        <v>0.96781300000000003</v>
      </c>
      <c r="J1633" s="86">
        <v>775052589.16165674</v>
      </c>
      <c r="K1633" s="348"/>
      <c r="L1633" s="349"/>
      <c r="M1633" s="84"/>
      <c r="P1633" s="85">
        <v>-630267.78</v>
      </c>
      <c r="Q1633" s="85">
        <v>4.0000000037252903E-2</v>
      </c>
      <c r="R1633" s="85">
        <v>-630267.74</v>
      </c>
      <c r="S1633" s="85">
        <v>750817.24</v>
      </c>
      <c r="T1633" s="85">
        <v>120549.5</v>
      </c>
    </row>
    <row r="1634" spans="1:240" s="85" customFormat="1" ht="12">
      <c r="A1634" s="150" t="s">
        <v>588</v>
      </c>
      <c r="B1634" s="84">
        <v>810805865.1230768</v>
      </c>
      <c r="C1634" s="84">
        <v>27072105.980233569</v>
      </c>
      <c r="D1634" s="86">
        <v>783733759.14284325</v>
      </c>
      <c r="E1634" s="84">
        <v>340579.53</v>
      </c>
      <c r="F1634" s="86">
        <v>784074338.67284322</v>
      </c>
      <c r="G1634" s="84">
        <v>15803887.143000001</v>
      </c>
      <c r="H1634" s="86">
        <v>799878225.81584322</v>
      </c>
      <c r="I1634" s="350">
        <v>0.9686342</v>
      </c>
      <c r="J1634" s="86">
        <v>774789405.36054862</v>
      </c>
      <c r="K1634" s="348"/>
      <c r="L1634" s="349"/>
      <c r="M1634" s="84"/>
      <c r="P1634" s="85">
        <v>-622377.5</v>
      </c>
      <c r="Q1634" s="85">
        <v>3.0000000027939677E-2</v>
      </c>
      <c r="R1634" s="85">
        <v>-622377.47</v>
      </c>
      <c r="S1634" s="85">
        <v>740598.91</v>
      </c>
      <c r="T1634" s="85">
        <v>118221.44</v>
      </c>
    </row>
    <row r="1635" spans="1:240" s="85" customFormat="1" ht="12">
      <c r="A1635" s="150" t="s">
        <v>598</v>
      </c>
      <c r="B1635" s="84">
        <v>811243492.7430768</v>
      </c>
      <c r="C1635" s="84">
        <v>27911448.382233564</v>
      </c>
      <c r="D1635" s="86">
        <v>783332044.36084318</v>
      </c>
      <c r="E1635" s="84">
        <v>426043.1</v>
      </c>
      <c r="F1635" s="86">
        <v>783758087.46084321</v>
      </c>
      <c r="G1635" s="84">
        <v>17095867.810000002</v>
      </c>
      <c r="H1635" s="86">
        <v>800853955.27084327</v>
      </c>
      <c r="I1635" s="350">
        <v>0.96796409999999999</v>
      </c>
      <c r="J1635" s="86">
        <v>775197878.04518211</v>
      </c>
      <c r="K1635" s="348"/>
      <c r="L1635" s="349"/>
      <c r="M1635" s="84"/>
      <c r="P1635" s="85">
        <v>-615109.64</v>
      </c>
      <c r="Q1635" s="85">
        <v>3.0000000027939677E-2</v>
      </c>
      <c r="R1635" s="85">
        <v>-615109.61</v>
      </c>
      <c r="S1635" s="85">
        <v>730380.58</v>
      </c>
      <c r="T1635" s="85">
        <v>115270.97</v>
      </c>
    </row>
    <row r="1636" spans="1:240" s="85" customFormat="1" ht="12">
      <c r="A1636" s="150" t="s">
        <v>609</v>
      </c>
      <c r="B1636" s="84">
        <v>812452351.37307692</v>
      </c>
      <c r="C1636" s="84">
        <v>30088525.111233547</v>
      </c>
      <c r="D1636" s="86">
        <v>782363826.26184332</v>
      </c>
      <c r="E1636" s="84">
        <v>545926.52</v>
      </c>
      <c r="F1636" s="86">
        <v>782909752.7818433</v>
      </c>
      <c r="G1636" s="84">
        <v>15929670.890000001</v>
      </c>
      <c r="H1636" s="86">
        <v>798839423.67184329</v>
      </c>
      <c r="I1636" s="350">
        <v>0.96879530000000003</v>
      </c>
      <c r="J1636" s="86">
        <v>773911879.1079905</v>
      </c>
      <c r="K1636" s="348"/>
      <c r="L1636" s="349"/>
      <c r="M1636" s="84"/>
      <c r="P1636" s="85">
        <v>-609559.41</v>
      </c>
      <c r="Q1636" s="85">
        <v>3.0000000027939677E-2</v>
      </c>
      <c r="R1636" s="85">
        <v>-609559.38</v>
      </c>
      <c r="S1636" s="85">
        <v>720162.25</v>
      </c>
      <c r="T1636" s="85">
        <v>110602.87</v>
      </c>
    </row>
    <row r="1637" spans="1:240" s="85" customFormat="1" ht="12">
      <c r="A1637" s="150" t="s">
        <v>618</v>
      </c>
      <c r="B1637" s="84">
        <v>813810565.58999991</v>
      </c>
      <c r="C1637" s="84">
        <v>36459248.517302796</v>
      </c>
      <c r="D1637" s="86">
        <v>777351317.07269716</v>
      </c>
      <c r="E1637" s="84">
        <v>737213.05</v>
      </c>
      <c r="F1637" s="86">
        <v>778088530.12269711</v>
      </c>
      <c r="G1637" s="84">
        <v>14739022.979999999</v>
      </c>
      <c r="H1637" s="86">
        <v>792827553.10269713</v>
      </c>
      <c r="I1637" s="350">
        <v>0.96738950000000001</v>
      </c>
      <c r="J1637" s="86">
        <v>766973050.18224168</v>
      </c>
      <c r="K1637" s="348"/>
      <c r="L1637" s="349"/>
      <c r="M1637" s="84"/>
      <c r="P1637" s="85">
        <v>-604690.46</v>
      </c>
      <c r="Q1637" s="85">
        <v>1.999999990221113E-2</v>
      </c>
      <c r="R1637" s="85">
        <v>-604690.43999999994</v>
      </c>
      <c r="S1637" s="85">
        <v>709943.92</v>
      </c>
      <c r="T1637" s="85">
        <v>105253.48</v>
      </c>
    </row>
    <row r="1638" spans="1:240" s="85" customFormat="1" ht="12">
      <c r="A1638" s="150" t="s">
        <v>629</v>
      </c>
      <c r="B1638" s="84">
        <v>812643763.83999979</v>
      </c>
      <c r="C1638" s="84">
        <v>39157484.632302813</v>
      </c>
      <c r="D1638" s="86">
        <v>773486279.20769703</v>
      </c>
      <c r="E1638" s="84">
        <v>1185104.76</v>
      </c>
      <c r="F1638" s="86">
        <v>774671383.96769702</v>
      </c>
      <c r="G1638" s="84">
        <v>13768121.74</v>
      </c>
      <c r="H1638" s="86">
        <v>788439505.70769703</v>
      </c>
      <c r="I1638" s="350">
        <v>0.96818199999999999</v>
      </c>
      <c r="J1638" s="86">
        <v>763352937.51508951</v>
      </c>
      <c r="K1638" s="348"/>
      <c r="L1638" s="349"/>
      <c r="M1638" s="84"/>
      <c r="P1638" s="85">
        <v>-756458.25</v>
      </c>
      <c r="Q1638" s="85">
        <v>0</v>
      </c>
      <c r="R1638" s="85">
        <v>-756458.25</v>
      </c>
      <c r="S1638" s="85">
        <v>858142.62</v>
      </c>
      <c r="T1638" s="85">
        <v>101684.37</v>
      </c>
    </row>
    <row r="1639" spans="1:240" s="85" customFormat="1" ht="12">
      <c r="A1639" s="150" t="s">
        <v>639</v>
      </c>
      <c r="B1639" s="84">
        <v>815782205.46999979</v>
      </c>
      <c r="C1639" s="84">
        <v>41875483.772302806</v>
      </c>
      <c r="D1639" s="86">
        <v>773906721.69769692</v>
      </c>
      <c r="E1639" s="84">
        <v>1467895.51</v>
      </c>
      <c r="F1639" s="86">
        <v>775374617.20769691</v>
      </c>
      <c r="G1639" s="84">
        <v>13173937.59</v>
      </c>
      <c r="H1639" s="86">
        <v>788548554.79769695</v>
      </c>
      <c r="I1639" s="350">
        <v>0.96764019999999995</v>
      </c>
      <c r="J1639" s="86">
        <v>763031281.27415442</v>
      </c>
      <c r="K1639" s="348"/>
      <c r="L1639" s="349"/>
      <c r="M1639" s="84"/>
      <c r="P1639" s="85">
        <v>-731144.09</v>
      </c>
      <c r="Q1639" s="85">
        <v>103.07000000006519</v>
      </c>
      <c r="R1639" s="85">
        <v>-731041.02</v>
      </c>
      <c r="S1639" s="85">
        <v>828401.57</v>
      </c>
      <c r="T1639" s="85">
        <v>97360.55</v>
      </c>
    </row>
    <row r="1640" spans="1:240" s="85" customFormat="1">
      <c r="A1640" s="150" t="s">
        <v>649</v>
      </c>
      <c r="B1640" s="84">
        <v>813935964.7099998</v>
      </c>
      <c r="C1640" s="84">
        <v>44648915.612302803</v>
      </c>
      <c r="D1640" s="86">
        <v>769287049.09769702</v>
      </c>
      <c r="E1640" s="84">
        <v>2553059.56</v>
      </c>
      <c r="F1640" s="86">
        <v>771840108.65769696</v>
      </c>
      <c r="G1640" s="84">
        <v>12598335.890000001</v>
      </c>
      <c r="H1640" s="86">
        <v>784438444.54769695</v>
      </c>
      <c r="I1640" s="350">
        <v>0.96531509999999998</v>
      </c>
      <c r="J1640" s="86">
        <v>757230275.54240453</v>
      </c>
      <c r="K1640" s="348"/>
      <c r="L1640" s="349"/>
      <c r="M1640" s="84"/>
      <c r="P1640" s="85">
        <v>-705310.91</v>
      </c>
      <c r="Q1640" s="85">
        <v>1.0000000009313226E-2</v>
      </c>
      <c r="R1640" s="85">
        <v>-705310.9</v>
      </c>
      <c r="S1640" s="85">
        <v>798660.52</v>
      </c>
      <c r="T1640" s="85">
        <v>93349.62</v>
      </c>
      <c r="U1640" s="215"/>
      <c r="V1640" s="215"/>
      <c r="W1640" s="215"/>
      <c r="X1640" s="215"/>
      <c r="Y1640" s="215"/>
      <c r="Z1640" s="215"/>
      <c r="AA1640" s="215"/>
      <c r="AB1640" s="215"/>
      <c r="AC1640" s="215"/>
      <c r="AD1640" s="215"/>
      <c r="AE1640" s="215"/>
      <c r="AF1640" s="215"/>
      <c r="AG1640" s="215"/>
      <c r="AH1640" s="215"/>
      <c r="AI1640" s="215"/>
      <c r="AJ1640" s="215"/>
      <c r="AK1640" s="215"/>
      <c r="AL1640" s="215"/>
      <c r="AM1640" s="215"/>
      <c r="AN1640" s="215"/>
      <c r="AO1640" s="215"/>
      <c r="AP1640" s="215"/>
      <c r="AQ1640" s="215"/>
      <c r="AR1640" s="215"/>
      <c r="AS1640" s="215"/>
      <c r="AT1640" s="215"/>
      <c r="AU1640" s="215"/>
      <c r="AV1640" s="215"/>
      <c r="AW1640" s="215"/>
      <c r="AX1640" s="215"/>
      <c r="AY1640" s="215"/>
      <c r="AZ1640" s="215"/>
      <c r="BA1640" s="215"/>
      <c r="BB1640" s="215"/>
      <c r="BC1640" s="215"/>
      <c r="BD1640" s="215"/>
      <c r="BE1640" s="215"/>
      <c r="BF1640" s="215"/>
      <c r="BG1640" s="215"/>
      <c r="BH1640" s="215"/>
      <c r="BI1640" s="215"/>
      <c r="BJ1640" s="215"/>
      <c r="BK1640" s="215"/>
      <c r="BL1640" s="215"/>
      <c r="BM1640" s="215"/>
      <c r="BN1640" s="215"/>
      <c r="BO1640" s="215"/>
      <c r="BP1640" s="215"/>
      <c r="BQ1640" s="215"/>
      <c r="BR1640" s="215"/>
      <c r="BS1640" s="215"/>
      <c r="BT1640" s="215"/>
      <c r="BU1640" s="215"/>
      <c r="BV1640" s="215"/>
      <c r="BW1640" s="215"/>
      <c r="BX1640" s="215"/>
      <c r="BY1640" s="215"/>
      <c r="BZ1640" s="215"/>
      <c r="CA1640" s="215"/>
      <c r="CB1640" s="215"/>
      <c r="CC1640" s="215"/>
      <c r="CD1640" s="215"/>
      <c r="CE1640" s="215"/>
      <c r="CF1640" s="215"/>
      <c r="CG1640" s="215"/>
      <c r="CH1640" s="215"/>
      <c r="CI1640" s="215"/>
      <c r="CJ1640" s="215"/>
      <c r="CK1640" s="215"/>
      <c r="CL1640" s="215"/>
      <c r="CM1640" s="215"/>
      <c r="CN1640" s="215"/>
      <c r="CO1640" s="215"/>
      <c r="CP1640" s="215"/>
      <c r="CQ1640" s="215"/>
      <c r="CR1640" s="215"/>
      <c r="CS1640" s="215"/>
      <c r="CT1640" s="215"/>
      <c r="CU1640" s="215"/>
      <c r="CV1640" s="215"/>
      <c r="CW1640" s="215"/>
      <c r="CX1640" s="215"/>
      <c r="CY1640" s="215"/>
      <c r="CZ1640" s="215"/>
      <c r="DA1640" s="215"/>
      <c r="DB1640" s="215"/>
      <c r="DC1640" s="215"/>
      <c r="DD1640" s="215"/>
      <c r="DE1640" s="215"/>
      <c r="DF1640" s="215"/>
      <c r="DG1640" s="215"/>
      <c r="DH1640" s="215"/>
      <c r="DI1640" s="215"/>
      <c r="DJ1640" s="215"/>
      <c r="DK1640" s="215"/>
      <c r="DL1640" s="215"/>
      <c r="DM1640" s="215"/>
      <c r="DN1640" s="215"/>
      <c r="DO1640" s="215"/>
      <c r="DP1640" s="215"/>
      <c r="DQ1640" s="215"/>
      <c r="DR1640" s="215"/>
      <c r="DS1640" s="215"/>
      <c r="DT1640" s="215"/>
      <c r="DU1640" s="215"/>
      <c r="DV1640" s="215"/>
      <c r="DW1640" s="215"/>
      <c r="DX1640" s="215"/>
      <c r="DY1640" s="215"/>
      <c r="DZ1640" s="215"/>
      <c r="EA1640" s="215"/>
      <c r="EB1640" s="215"/>
      <c r="EC1640" s="215"/>
      <c r="ED1640" s="215"/>
      <c r="EE1640" s="215"/>
      <c r="EF1640" s="215"/>
      <c r="EG1640" s="215"/>
      <c r="EH1640" s="215"/>
      <c r="EI1640" s="215"/>
      <c r="EJ1640" s="215"/>
      <c r="EK1640" s="215"/>
      <c r="EL1640" s="215"/>
      <c r="EM1640" s="215"/>
      <c r="EN1640" s="215"/>
      <c r="EO1640" s="215"/>
      <c r="EP1640" s="215"/>
      <c r="EQ1640" s="215"/>
      <c r="ER1640" s="215"/>
      <c r="ES1640" s="215"/>
      <c r="ET1640" s="215"/>
      <c r="EU1640" s="215"/>
      <c r="EV1640" s="215"/>
      <c r="EW1640" s="215"/>
      <c r="EX1640" s="215"/>
      <c r="EY1640" s="215"/>
      <c r="EZ1640" s="215"/>
      <c r="FA1640" s="215"/>
      <c r="FB1640" s="215"/>
      <c r="FC1640" s="215"/>
      <c r="FD1640" s="215"/>
      <c r="FE1640" s="215"/>
      <c r="FF1640" s="215"/>
      <c r="FG1640" s="215"/>
      <c r="FH1640" s="215"/>
      <c r="FI1640" s="215"/>
      <c r="FJ1640" s="215"/>
      <c r="FK1640" s="215"/>
      <c r="FL1640" s="215"/>
      <c r="FM1640" s="215"/>
      <c r="FN1640" s="215"/>
      <c r="FO1640" s="215"/>
      <c r="FP1640" s="215"/>
      <c r="FQ1640" s="215"/>
      <c r="FR1640" s="215"/>
      <c r="FS1640" s="215"/>
      <c r="FT1640" s="215"/>
      <c r="FU1640" s="215"/>
      <c r="FV1640" s="215"/>
      <c r="FW1640" s="215"/>
      <c r="FX1640" s="215"/>
      <c r="FY1640" s="215"/>
      <c r="FZ1640" s="215"/>
      <c r="GA1640" s="215"/>
      <c r="GB1640" s="215"/>
      <c r="GC1640" s="215"/>
      <c r="GD1640" s="215"/>
      <c r="GE1640" s="215"/>
      <c r="GF1640" s="215"/>
      <c r="GG1640" s="215"/>
      <c r="GH1640" s="215"/>
      <c r="GI1640" s="215"/>
      <c r="GJ1640" s="215"/>
      <c r="GK1640" s="215"/>
      <c r="GL1640" s="215"/>
      <c r="GM1640" s="215"/>
      <c r="GN1640" s="215"/>
      <c r="GO1640" s="215"/>
      <c r="GP1640" s="215"/>
      <c r="GQ1640" s="215"/>
      <c r="GR1640" s="215"/>
      <c r="GS1640" s="215"/>
      <c r="GT1640" s="215"/>
      <c r="GU1640" s="215"/>
      <c r="GV1640" s="215"/>
      <c r="GW1640" s="215"/>
      <c r="GX1640" s="215"/>
      <c r="GY1640" s="215"/>
      <c r="GZ1640" s="215"/>
      <c r="HA1640" s="215"/>
      <c r="HB1640" s="215"/>
      <c r="HC1640" s="215"/>
      <c r="HD1640" s="215"/>
      <c r="HE1640" s="215"/>
      <c r="HF1640" s="215"/>
      <c r="HG1640" s="215"/>
      <c r="HH1640" s="215"/>
      <c r="HI1640" s="215"/>
      <c r="HJ1640" s="215"/>
      <c r="HK1640" s="215"/>
      <c r="HL1640" s="215"/>
      <c r="HM1640" s="215"/>
      <c r="HN1640" s="215"/>
      <c r="HO1640" s="215"/>
      <c r="HP1640" s="215"/>
      <c r="HQ1640" s="215"/>
      <c r="HR1640" s="215"/>
      <c r="HS1640" s="215"/>
      <c r="HT1640" s="215"/>
      <c r="HU1640" s="215"/>
      <c r="HV1640" s="215"/>
      <c r="HW1640" s="215"/>
      <c r="HX1640" s="215"/>
      <c r="HY1640" s="215"/>
      <c r="HZ1640" s="215"/>
      <c r="IA1640" s="215"/>
      <c r="IB1640" s="215"/>
      <c r="IC1640" s="215"/>
      <c r="ID1640" s="215"/>
      <c r="IE1640" s="215"/>
      <c r="IF1640" s="215"/>
    </row>
    <row r="1641" spans="1:240">
      <c r="A1641" s="150" t="s">
        <v>658</v>
      </c>
      <c r="B1641" s="84">
        <v>821425227.89999986</v>
      </c>
      <c r="C1641" s="84">
        <v>47375351.857615344</v>
      </c>
      <c r="D1641" s="86">
        <v>774049876.04238451</v>
      </c>
      <c r="E1641" s="84">
        <v>1167137</v>
      </c>
      <c r="F1641" s="86">
        <v>775217013.04238451</v>
      </c>
      <c r="G1641" s="84">
        <v>13393322.73</v>
      </c>
      <c r="H1641" s="86">
        <v>788610335.77238452</v>
      </c>
      <c r="I1641" s="350">
        <v>0.96309460000000002</v>
      </c>
      <c r="J1641" s="86">
        <v>759506355.88657033</v>
      </c>
      <c r="K1641" s="351"/>
      <c r="L1641" s="349"/>
      <c r="M1641" s="84"/>
      <c r="N1641" s="85"/>
      <c r="O1641" s="85"/>
      <c r="P1641" s="215">
        <v>-679326.58</v>
      </c>
      <c r="Q1641" s="215">
        <v>1.0000000009313226E-2</v>
      </c>
      <c r="R1641" s="215">
        <v>-679326.57</v>
      </c>
      <c r="S1641" s="215">
        <v>768919.47</v>
      </c>
      <c r="T1641" s="215">
        <v>89592.9</v>
      </c>
    </row>
    <row r="1642" spans="1:240">
      <c r="A1642" s="216" t="s">
        <v>1557</v>
      </c>
      <c r="B1642" s="84">
        <v>821445551.12</v>
      </c>
      <c r="C1642" s="84">
        <v>50014489.340000004</v>
      </c>
      <c r="D1642" s="86">
        <v>771431061.77999997</v>
      </c>
      <c r="E1642" s="84">
        <v>1486284.92</v>
      </c>
      <c r="F1642" s="86">
        <v>772917346.69999993</v>
      </c>
      <c r="G1642" s="84">
        <v>12849452.130000001</v>
      </c>
      <c r="H1642" s="86">
        <v>785766798.82999992</v>
      </c>
      <c r="I1642" s="350">
        <v>0.96232439999999997</v>
      </c>
      <c r="J1642" s="86">
        <v>756162563.22400033</v>
      </c>
      <c r="K1642" s="348"/>
      <c r="L1642" s="349"/>
      <c r="M1642" s="84"/>
      <c r="N1642" s="85"/>
      <c r="O1642" s="85"/>
      <c r="P1642" s="215">
        <v>-653270.11</v>
      </c>
      <c r="Q1642" s="215">
        <v>1.999999990221113E-2</v>
      </c>
      <c r="R1642" s="215">
        <v>-653270.09</v>
      </c>
      <c r="S1642" s="215">
        <v>739178.42</v>
      </c>
      <c r="T1642" s="215">
        <v>85908.33</v>
      </c>
    </row>
    <row r="1643" spans="1:240">
      <c r="A1643" s="150" t="s">
        <v>679</v>
      </c>
      <c r="B1643" s="84">
        <v>821515560.44000006</v>
      </c>
      <c r="C1643" s="84">
        <v>52735498.590000004</v>
      </c>
      <c r="D1643" s="218">
        <v>768780061.85000002</v>
      </c>
      <c r="E1643" s="84">
        <v>2490368.7999999998</v>
      </c>
      <c r="F1643" s="218">
        <v>771270430.64999998</v>
      </c>
      <c r="G1643" s="84">
        <v>12625634.73</v>
      </c>
      <c r="H1643" s="218">
        <v>783896065.38</v>
      </c>
      <c r="I1643" s="350">
        <v>0.96759790000000001</v>
      </c>
      <c r="J1643" s="218">
        <v>758496186.67995071</v>
      </c>
      <c r="L1643" s="84"/>
      <c r="M1643" s="84"/>
      <c r="P1643" s="231">
        <v>-627888.98</v>
      </c>
      <c r="Q1643" s="231">
        <v>0</v>
      </c>
      <c r="R1643" s="231">
        <v>-627888.98</v>
      </c>
      <c r="S1643" s="231">
        <v>709437.38</v>
      </c>
      <c r="T1643" s="231">
        <v>81548.399999999994</v>
      </c>
    </row>
    <row r="1644" spans="1:240">
      <c r="A1644" s="216" t="s">
        <v>1557</v>
      </c>
      <c r="B1644" s="84">
        <v>821515560.44000006</v>
      </c>
      <c r="C1644" s="84">
        <v>55491454.619999997</v>
      </c>
      <c r="D1644" s="218">
        <v>766024105.82000005</v>
      </c>
      <c r="E1644" s="84">
        <v>2490368.7999999998</v>
      </c>
      <c r="F1644" s="218">
        <v>768514474.62</v>
      </c>
      <c r="G1644" s="84">
        <v>12409254.6</v>
      </c>
      <c r="H1644" s="218">
        <v>780923729.22000003</v>
      </c>
      <c r="I1644" s="350">
        <v>0.9676285</v>
      </c>
      <c r="J1644" s="218">
        <v>755644056.71955478</v>
      </c>
      <c r="M1644" s="84"/>
    </row>
    <row r="1645" spans="1:240">
      <c r="B1645" s="231"/>
      <c r="C1645" s="231"/>
      <c r="D1645" s="231"/>
      <c r="E1645" s="231"/>
      <c r="F1645" s="231"/>
      <c r="G1645" s="231"/>
      <c r="H1645" s="231"/>
      <c r="I1645" s="346"/>
      <c r="J1645" s="231"/>
      <c r="M1645" s="84"/>
      <c r="P1645" s="215">
        <v>-8517358.6500000004</v>
      </c>
      <c r="Q1645" s="215">
        <v>103.34000000008382</v>
      </c>
      <c r="R1645" s="215">
        <v>-8517255.3100000024</v>
      </c>
      <c r="S1645" s="215">
        <v>9886932.3500000015</v>
      </c>
      <c r="T1645" s="215">
        <v>1369677.04</v>
      </c>
    </row>
    <row r="1646" spans="1:240" ht="13.5" thickBot="1">
      <c r="A1646" s="216" t="s">
        <v>2268</v>
      </c>
      <c r="B1646" s="218">
        <v>10591352610.035385</v>
      </c>
      <c r="C1646" s="218">
        <v>500437639.70099437</v>
      </c>
      <c r="D1646" s="218">
        <v>10090914970.334387</v>
      </c>
      <c r="E1646" s="218">
        <v>20262084.450000003</v>
      </c>
      <c r="F1646" s="218">
        <v>10111177054.784389</v>
      </c>
      <c r="G1646" s="218">
        <v>184332518.963</v>
      </c>
      <c r="H1646" s="218">
        <v>10295509573.747387</v>
      </c>
      <c r="I1646" s="251"/>
      <c r="J1646" s="218">
        <v>9953660410.8217583</v>
      </c>
      <c r="M1646" s="84"/>
      <c r="P1646" s="303">
        <v>-655181.43461538467</v>
      </c>
      <c r="Q1646" s="303">
        <v>7.9492307692372171</v>
      </c>
      <c r="R1646" s="303">
        <v>-655173</v>
      </c>
      <c r="S1646" s="303">
        <v>760533</v>
      </c>
      <c r="T1646" s="303">
        <v>105360</v>
      </c>
    </row>
    <row r="1647" spans="1:240" ht="14.25" thickTop="1" thickBot="1">
      <c r="A1647" s="216" t="s">
        <v>2271</v>
      </c>
      <c r="B1647" s="294">
        <v>814719431.54118347</v>
      </c>
      <c r="C1647" s="294">
        <v>38495203.053922646</v>
      </c>
      <c r="D1647" s="294">
        <v>776224228.48726058</v>
      </c>
      <c r="E1647" s="294">
        <v>1558621.8807692309</v>
      </c>
      <c r="F1647" s="294">
        <v>777782850.36802995</v>
      </c>
      <c r="G1647" s="294">
        <v>14179424.535615385</v>
      </c>
      <c r="H1647" s="294">
        <v>791962274.90364516</v>
      </c>
      <c r="I1647" s="347">
        <v>0.96679628526621808</v>
      </c>
      <c r="J1647" s="294">
        <v>765666185.44782758</v>
      </c>
    </row>
    <row r="1648" spans="1:240" ht="13.5" thickTop="1">
      <c r="F1648" s="85" t="s">
        <v>2277</v>
      </c>
      <c r="G1648" s="85">
        <v>-14148096</v>
      </c>
      <c r="H1648" s="85">
        <v>31328.535615384579</v>
      </c>
    </row>
    <row r="1649" spans="1:22">
      <c r="B1649" s="218"/>
      <c r="C1649" s="218"/>
      <c r="E1649" s="216" t="s">
        <v>2278</v>
      </c>
      <c r="G1649" s="216" t="s">
        <v>2567</v>
      </c>
      <c r="H1649" s="218"/>
      <c r="J1649" s="218"/>
    </row>
    <row r="1650" spans="1:22">
      <c r="B1650" s="218"/>
      <c r="C1650" s="218"/>
      <c r="G1650" s="216" t="s">
        <v>2279</v>
      </c>
      <c r="H1650" s="218"/>
      <c r="J1650" s="218"/>
    </row>
    <row r="1651" spans="1:22">
      <c r="B1651" s="218"/>
      <c r="C1651" s="218"/>
      <c r="D1651" s="218"/>
      <c r="E1651" s="216" t="s">
        <v>2280</v>
      </c>
      <c r="G1651" s="216" t="s">
        <v>2567</v>
      </c>
      <c r="H1651" s="218"/>
      <c r="J1651" s="218"/>
    </row>
    <row r="1652" spans="1:22">
      <c r="E1652" s="218"/>
      <c r="G1652" s="216" t="s">
        <v>2279</v>
      </c>
      <c r="H1652" s="218"/>
      <c r="J1652" s="218"/>
    </row>
    <row r="1653" spans="1:22">
      <c r="E1653" s="218"/>
    </row>
    <row r="1654" spans="1:22">
      <c r="E1654" s="218"/>
    </row>
    <row r="1656" spans="1:22">
      <c r="A1656" s="216" t="s">
        <v>2603</v>
      </c>
    </row>
    <row r="1657" spans="1:22">
      <c r="A1657" s="216" t="s">
        <v>2281</v>
      </c>
    </row>
    <row r="1658" spans="1:22">
      <c r="A1658" s="216" t="s">
        <v>2282</v>
      </c>
    </row>
    <row r="1659" spans="1:22">
      <c r="A1659" s="216" t="s">
        <v>2255</v>
      </c>
      <c r="K1659" s="287">
        <v>6.5995833333333332E-3</v>
      </c>
      <c r="L1659" s="254" t="s">
        <v>2283</v>
      </c>
      <c r="M1659" s="224" t="s">
        <v>2284</v>
      </c>
      <c r="N1659" s="287">
        <v>2.2203333333333333E-3</v>
      </c>
    </row>
    <row r="1660" spans="1:22">
      <c r="A1660" s="218" t="s">
        <v>1557</v>
      </c>
      <c r="L1660" s="254" t="s">
        <v>2285</v>
      </c>
      <c r="M1660" s="254" t="s">
        <v>2286</v>
      </c>
    </row>
    <row r="1661" spans="1:22">
      <c r="L1661" s="225" t="s">
        <v>2287</v>
      </c>
      <c r="M1661" s="254" t="s">
        <v>2288</v>
      </c>
    </row>
    <row r="1662" spans="1:22">
      <c r="A1662" s="216" t="s">
        <v>2255</v>
      </c>
      <c r="O1662" s="224" t="s">
        <v>2289</v>
      </c>
      <c r="P1662" s="224" t="s">
        <v>2290</v>
      </c>
    </row>
    <row r="1663" spans="1:22">
      <c r="B1663" s="224" t="s">
        <v>2290</v>
      </c>
      <c r="N1663" s="224" t="s">
        <v>2291</v>
      </c>
      <c r="O1663" s="224" t="s">
        <v>2292</v>
      </c>
      <c r="P1663" s="224" t="s">
        <v>2293</v>
      </c>
      <c r="Q1663" s="224" t="s">
        <v>2294</v>
      </c>
      <c r="R1663" s="224" t="s">
        <v>2295</v>
      </c>
      <c r="S1663" s="224" t="s">
        <v>2255</v>
      </c>
      <c r="T1663" s="224" t="s">
        <v>2581</v>
      </c>
      <c r="V1663" s="298" t="s">
        <v>2296</v>
      </c>
    </row>
    <row r="1664" spans="1:22">
      <c r="B1664" s="224" t="s">
        <v>1984</v>
      </c>
      <c r="C1664" s="224" t="s">
        <v>2297</v>
      </c>
      <c r="D1664" s="224" t="s">
        <v>2298</v>
      </c>
      <c r="E1664" s="224" t="s">
        <v>2299</v>
      </c>
      <c r="F1664" s="224" t="s">
        <v>2300</v>
      </c>
      <c r="G1664" s="224" t="s">
        <v>2301</v>
      </c>
      <c r="H1664" s="224" t="s">
        <v>2581</v>
      </c>
      <c r="L1664" s="224" t="s">
        <v>2302</v>
      </c>
      <c r="M1664" s="224" t="s">
        <v>2675</v>
      </c>
      <c r="N1664" s="224" t="s">
        <v>2303</v>
      </c>
      <c r="O1664" s="224" t="s">
        <v>2304</v>
      </c>
      <c r="P1664" s="224" t="s">
        <v>2305</v>
      </c>
      <c r="Q1664" s="224" t="s">
        <v>2306</v>
      </c>
      <c r="R1664" s="224" t="s">
        <v>2304</v>
      </c>
      <c r="S1664" s="224" t="s">
        <v>2307</v>
      </c>
      <c r="T1664" s="224" t="s">
        <v>2290</v>
      </c>
      <c r="U1664" s="224" t="s">
        <v>2290</v>
      </c>
      <c r="V1664" s="298" t="s">
        <v>2269</v>
      </c>
    </row>
    <row r="1665" spans="1:22">
      <c r="B1665" s="293" t="s">
        <v>2666</v>
      </c>
      <c r="C1665" s="293" t="s">
        <v>1098</v>
      </c>
      <c r="D1665" s="293" t="s">
        <v>2308</v>
      </c>
      <c r="E1665" s="293" t="s">
        <v>2309</v>
      </c>
      <c r="F1665" s="293" t="s">
        <v>2310</v>
      </c>
      <c r="G1665" s="293" t="s">
        <v>1487</v>
      </c>
      <c r="H1665" s="293" t="s">
        <v>1492</v>
      </c>
      <c r="I1665" s="293" t="s">
        <v>2311</v>
      </c>
      <c r="J1665" s="293" t="s">
        <v>2312</v>
      </c>
      <c r="K1665" s="293" t="s">
        <v>2313</v>
      </c>
      <c r="L1665" s="293" t="s">
        <v>1474</v>
      </c>
      <c r="M1665" s="293" t="s">
        <v>1098</v>
      </c>
      <c r="N1665" s="293" t="s">
        <v>2314</v>
      </c>
      <c r="O1665" s="293" t="s">
        <v>1996</v>
      </c>
      <c r="P1665" s="293" t="s">
        <v>2666</v>
      </c>
      <c r="Q1665" s="293" t="s">
        <v>2123</v>
      </c>
      <c r="R1665" s="293" t="s">
        <v>1996</v>
      </c>
      <c r="S1665" s="293" t="s">
        <v>2674</v>
      </c>
      <c r="T1665" s="293" t="s">
        <v>2674</v>
      </c>
      <c r="U1665" s="293" t="s">
        <v>2666</v>
      </c>
      <c r="V1665" s="352" t="s">
        <v>2315</v>
      </c>
    </row>
    <row r="1667" spans="1:22">
      <c r="B1667" s="84"/>
      <c r="C1667" s="84"/>
      <c r="D1667" s="84"/>
      <c r="E1667" s="84"/>
      <c r="F1667" s="84"/>
      <c r="Q1667" s="252"/>
      <c r="R1667" s="252"/>
      <c r="S1667" s="252"/>
      <c r="T1667" s="252"/>
      <c r="U1667" s="252"/>
    </row>
    <row r="1668" spans="1:22">
      <c r="A1668" s="216" t="s">
        <v>1910</v>
      </c>
      <c r="B1668" s="218">
        <v>657261.77731666353</v>
      </c>
      <c r="C1668" s="84">
        <v>473.22847966799776</v>
      </c>
      <c r="D1668" s="84">
        <v>193814.61920891766</v>
      </c>
      <c r="E1668" s="84">
        <v>-21017.236580000001</v>
      </c>
      <c r="F1668" s="84">
        <v>129216.21632800001</v>
      </c>
      <c r="G1668" s="84">
        <v>29255.038796078883</v>
      </c>
      <c r="H1668" s="86">
        <v>331268.63775299652</v>
      </c>
      <c r="I1668" s="84">
        <v>27893.76833333333</v>
      </c>
      <c r="J1668" s="84">
        <v>100687.58400000002</v>
      </c>
      <c r="K1668" s="84">
        <v>0</v>
      </c>
      <c r="L1668" s="218">
        <v>187765.28427161273</v>
      </c>
      <c r="M1668" s="218">
        <v>80633.405514739075</v>
      </c>
      <c r="N1668" s="218">
        <v>71460.131035686121</v>
      </c>
      <c r="O1668" s="218">
        <v>74827.898163257749</v>
      </c>
      <c r="P1668" s="218">
        <v>-3367.7671275716275</v>
      </c>
      <c r="Q1668" s="353">
        <v>0.96421599999999996</v>
      </c>
      <c r="R1668" s="84">
        <v>1145442.5</v>
      </c>
      <c r="S1668" s="218">
        <v>728248.67987268174</v>
      </c>
      <c r="T1668" s="218">
        <v>11566847.37532936</v>
      </c>
      <c r="U1668" s="84">
        <v>10061161.57</v>
      </c>
      <c r="V1668" s="287">
        <v>6.5326629807482911E-2</v>
      </c>
    </row>
    <row r="1669" spans="1:22">
      <c r="A1669" s="216" t="s">
        <v>588</v>
      </c>
      <c r="B1669" s="218">
        <v>885235.06118468766</v>
      </c>
      <c r="C1669" s="84">
        <v>637.3692440529752</v>
      </c>
      <c r="D1669" s="84">
        <v>55949.034095006988</v>
      </c>
      <c r="E1669" s="84">
        <v>-21066.465308999999</v>
      </c>
      <c r="F1669" s="84">
        <v>389276.002041</v>
      </c>
      <c r="G1669" s="84">
        <v>27887.490120835908</v>
      </c>
      <c r="H1669" s="86">
        <v>452046.0609478429</v>
      </c>
      <c r="I1669" s="84">
        <v>27893.76833333333</v>
      </c>
      <c r="J1669" s="84">
        <v>102436.33400000002</v>
      </c>
      <c r="K1669" s="84">
        <v>0</v>
      </c>
      <c r="L1669" s="218">
        <v>207488.54795819195</v>
      </c>
      <c r="M1669" s="218">
        <v>89103.309443377642</v>
      </c>
      <c r="N1669" s="218">
        <v>-5629.6712578888983</v>
      </c>
      <c r="O1669" s="218">
        <v>-85789.556244755629</v>
      </c>
      <c r="P1669" s="218">
        <v>80159.884986866731</v>
      </c>
      <c r="Q1669" s="353">
        <v>0.96421599999999996</v>
      </c>
      <c r="R1669" s="84">
        <v>-1313389.67</v>
      </c>
      <c r="S1669" s="218">
        <v>878968.02068274585</v>
      </c>
      <c r="T1669" s="218">
        <v>12651887.523425577</v>
      </c>
      <c r="U1669" s="84">
        <v>13552448.99</v>
      </c>
      <c r="V1669" s="287">
        <v>6.5319195212457881E-2</v>
      </c>
    </row>
    <row r="1670" spans="1:22">
      <c r="A1670" s="216" t="s">
        <v>598</v>
      </c>
      <c r="B1670" s="218">
        <v>921986.06293584476</v>
      </c>
      <c r="C1670" s="84">
        <v>663.82996531380832</v>
      </c>
      <c r="D1670" s="84">
        <v>21955.279394327739</v>
      </c>
      <c r="E1670" s="84">
        <v>-24577.299611000002</v>
      </c>
      <c r="F1670" s="84">
        <v>102597.38296099998</v>
      </c>
      <c r="G1670" s="84">
        <v>18434.754728663764</v>
      </c>
      <c r="H1670" s="86">
        <v>118410.11747299149</v>
      </c>
      <c r="I1670" s="84">
        <v>27893.76833333333</v>
      </c>
      <c r="J1670" s="84">
        <v>117172.97400000002</v>
      </c>
      <c r="K1670" s="84">
        <v>0</v>
      </c>
      <c r="L1670" s="218">
        <v>226971.39736626644</v>
      </c>
      <c r="M1670" s="218">
        <v>97469.970527709782</v>
      </c>
      <c r="N1670" s="218">
        <v>-333404.00527022989</v>
      </c>
      <c r="O1670" s="218">
        <v>-215057.51783673262</v>
      </c>
      <c r="P1670" s="218">
        <v>-118346.48743349727</v>
      </c>
      <c r="Q1670" s="353">
        <v>0.96421599999999996</v>
      </c>
      <c r="R1670" s="84">
        <v>-3566796.42</v>
      </c>
      <c r="S1670" s="218">
        <v>587918.2277003011</v>
      </c>
      <c r="T1670" s="218">
        <v>12119664.494762983</v>
      </c>
      <c r="U1670" s="84">
        <v>15291428.18</v>
      </c>
      <c r="V1670" s="287">
        <v>6.0294306854982382E-2</v>
      </c>
    </row>
    <row r="1671" spans="1:22">
      <c r="A1671" s="216" t="s">
        <v>609</v>
      </c>
      <c r="B1671" s="218">
        <v>972860.00829118956</v>
      </c>
      <c r="C1671" s="84">
        <v>700.45920596965652</v>
      </c>
      <c r="D1671" s="84">
        <v>69554.30431389912</v>
      </c>
      <c r="E1671" s="84">
        <v>-22512.128678000001</v>
      </c>
      <c r="F1671" s="84">
        <v>127684.752636</v>
      </c>
      <c r="G1671" s="84">
        <v>17324.036682590977</v>
      </c>
      <c r="H1671" s="86">
        <v>192050.9649544901</v>
      </c>
      <c r="I1671" s="84">
        <v>27893.76833333333</v>
      </c>
      <c r="J1671" s="84">
        <v>118685.12169999999</v>
      </c>
      <c r="K1671" s="84">
        <v>0</v>
      </c>
      <c r="L1671" s="218">
        <v>229254</v>
      </c>
      <c r="M1671" s="218">
        <v>98450</v>
      </c>
      <c r="N1671" s="218">
        <v>-305825.69409739645</v>
      </c>
      <c r="O1671" s="218">
        <v>-224308.7059607929</v>
      </c>
      <c r="P1671" s="218">
        <v>-81516.988136603555</v>
      </c>
      <c r="Q1671" s="353">
        <v>0.96421599999999996</v>
      </c>
      <c r="R1671" s="84">
        <v>-3819290.32</v>
      </c>
      <c r="S1671" s="218">
        <v>666333.8549878234</v>
      </c>
      <c r="T1671" s="218">
        <v>13105734.171886008</v>
      </c>
      <c r="U1671" s="84">
        <v>16564826.57</v>
      </c>
      <c r="V1671" s="268">
        <v>5.8730467486638439E-2</v>
      </c>
    </row>
    <row r="1672" spans="1:22">
      <c r="A1672" s="216" t="s">
        <v>618</v>
      </c>
      <c r="B1672" s="218">
        <v>888535.71013287292</v>
      </c>
      <c r="C1672" s="84">
        <v>639.74571129566857</v>
      </c>
      <c r="D1672" s="84">
        <v>171675.05735600108</v>
      </c>
      <c r="E1672" s="84">
        <v>-24313.873889000002</v>
      </c>
      <c r="F1672" s="84">
        <v>125823.12020800001</v>
      </c>
      <c r="G1672" s="84">
        <v>22918.261846167356</v>
      </c>
      <c r="H1672" s="86">
        <v>296102.56552116841</v>
      </c>
      <c r="I1672" s="84">
        <v>27893.76833333333</v>
      </c>
      <c r="J1672" s="84">
        <v>129822.77</v>
      </c>
      <c r="K1672" s="84">
        <v>0</v>
      </c>
      <c r="L1672" s="218">
        <v>230583</v>
      </c>
      <c r="M1672" s="218">
        <v>99021</v>
      </c>
      <c r="N1672" s="218">
        <v>-104472.86056707543</v>
      </c>
      <c r="O1672" s="218">
        <v>84586.816738313573</v>
      </c>
      <c r="P1672" s="218">
        <v>-189059.67730538902</v>
      </c>
      <c r="Q1672" s="353">
        <v>0.96421599999999996</v>
      </c>
      <c r="R1672" s="84">
        <v>1497846.03</v>
      </c>
      <c r="S1672" s="218">
        <v>783423.10385450174</v>
      </c>
      <c r="T1672" s="218">
        <v>17790506.856350008</v>
      </c>
      <c r="U1672" s="84">
        <v>15734008.41</v>
      </c>
      <c r="V1672" s="268">
        <v>5.6472304258344611E-2</v>
      </c>
    </row>
    <row r="1673" spans="1:22">
      <c r="A1673" s="216" t="s">
        <v>629</v>
      </c>
      <c r="B1673" s="218">
        <v>745674.79922319774</v>
      </c>
      <c r="C1673" s="84">
        <v>536.88585544070236</v>
      </c>
      <c r="D1673" s="84">
        <v>52392.888905326203</v>
      </c>
      <c r="E1673" s="84">
        <v>-20015.661733000001</v>
      </c>
      <c r="F1673" s="84">
        <v>122355.96077500001</v>
      </c>
      <c r="G1673" s="84">
        <v>18433.482198556983</v>
      </c>
      <c r="H1673" s="218">
        <v>173166.6701458832</v>
      </c>
      <c r="I1673" s="84">
        <v>27893.76833333333</v>
      </c>
      <c r="J1673" s="84">
        <v>123259.41161538464</v>
      </c>
      <c r="K1673" s="84">
        <v>0</v>
      </c>
      <c r="L1673" s="218">
        <v>232349</v>
      </c>
      <c r="M1673" s="218">
        <v>99779</v>
      </c>
      <c r="N1673" s="218">
        <v>-88690.063273155945</v>
      </c>
      <c r="O1673" s="218">
        <v>-73103.167179416996</v>
      </c>
      <c r="P1673" s="218">
        <v>-15586.896093738949</v>
      </c>
      <c r="Q1673" s="353">
        <v>0.96421599999999996</v>
      </c>
      <c r="R1673" s="84">
        <v>-1430715.28</v>
      </c>
      <c r="S1673" s="218">
        <v>656447.85009460116</v>
      </c>
      <c r="T1673" s="218">
        <v>13578344.713513391</v>
      </c>
      <c r="U1673" s="84">
        <v>14593736.09</v>
      </c>
      <c r="V1673" s="268">
        <v>5.109553815586354E-2</v>
      </c>
    </row>
    <row r="1674" spans="1:22">
      <c r="A1674" s="216" t="s">
        <v>639</v>
      </c>
      <c r="B1674" s="218">
        <v>567213.95964220853</v>
      </c>
      <c r="C1674" s="84">
        <v>408.39405094239015</v>
      </c>
      <c r="D1674" s="84">
        <v>83632.261268848757</v>
      </c>
      <c r="E1674" s="84">
        <v>-23085.010763999999</v>
      </c>
      <c r="F1674" s="84">
        <v>155176.35146600002</v>
      </c>
      <c r="G1674" s="84">
        <v>40956.659292488563</v>
      </c>
      <c r="H1674" s="218">
        <v>256680.26126333734</v>
      </c>
      <c r="I1674" s="84">
        <v>27893.76833333333</v>
      </c>
      <c r="J1674" s="84">
        <v>124629.53692307697</v>
      </c>
      <c r="K1674" s="84">
        <v>0</v>
      </c>
      <c r="L1674" s="218">
        <v>233533</v>
      </c>
      <c r="M1674" s="218">
        <v>100288</v>
      </c>
      <c r="N1674" s="218">
        <v>176219.00092848146</v>
      </c>
      <c r="O1674" s="218">
        <v>75106.697540731082</v>
      </c>
      <c r="P1674" s="218">
        <v>101112.30338775038</v>
      </c>
      <c r="Q1674" s="353">
        <v>0.96421599999999996</v>
      </c>
      <c r="R1674" s="84">
        <v>1460260.08</v>
      </c>
      <c r="S1674" s="218">
        <v>743024.5665197476</v>
      </c>
      <c r="T1674" s="218">
        <v>12891719.871214084</v>
      </c>
      <c r="U1674" s="84">
        <v>11028043.16</v>
      </c>
      <c r="V1674" s="268">
        <v>5.1433781262260544E-2</v>
      </c>
    </row>
    <row r="1675" spans="1:22">
      <c r="A1675" s="216" t="s">
        <v>649</v>
      </c>
      <c r="B1675" s="218">
        <v>505643.67280101078</v>
      </c>
      <c r="C1675" s="84">
        <v>364.0634444167278</v>
      </c>
      <c r="D1675" s="84">
        <v>152411.68454396821</v>
      </c>
      <c r="E1675" s="84">
        <v>-20134.832992</v>
      </c>
      <c r="F1675" s="84">
        <v>194907.50910699999</v>
      </c>
      <c r="G1675" s="84">
        <v>27130.542613630852</v>
      </c>
      <c r="H1675" s="218">
        <v>354314.9032725991</v>
      </c>
      <c r="I1675" s="84">
        <v>27893.76833333333</v>
      </c>
      <c r="J1675" s="84">
        <v>124902.95153846157</v>
      </c>
      <c r="K1675" s="84">
        <v>0</v>
      </c>
      <c r="L1675" s="218">
        <v>233677</v>
      </c>
      <c r="M1675" s="218">
        <v>100350</v>
      </c>
      <c r="N1675" s="218">
        <v>335859.01378779998</v>
      </c>
      <c r="O1675" s="218">
        <v>156295.17670009405</v>
      </c>
      <c r="P1675" s="218">
        <v>179563.83708770594</v>
      </c>
      <c r="Q1675" s="353">
        <v>0.96421599999999996</v>
      </c>
      <c r="R1675" s="84">
        <v>3029340.83</v>
      </c>
      <c r="S1675" s="218">
        <v>841138.62314439402</v>
      </c>
      <c r="T1675" s="218">
        <v>13271325.572074469</v>
      </c>
      <c r="U1675" s="84">
        <v>9800475.3300000001</v>
      </c>
      <c r="V1675" s="268">
        <v>5.1593790686171828E-2</v>
      </c>
    </row>
    <row r="1676" spans="1:22">
      <c r="A1676" s="216" t="s">
        <v>658</v>
      </c>
      <c r="B1676" s="218">
        <v>732915.12726398173</v>
      </c>
      <c r="C1676" s="84">
        <v>527.6988916300669</v>
      </c>
      <c r="D1676" s="84">
        <v>679678.80279311107</v>
      </c>
      <c r="E1676" s="84">
        <v>-13959.990700999999</v>
      </c>
      <c r="F1676" s="84">
        <v>395394.03786300001</v>
      </c>
      <c r="G1676" s="84">
        <v>36538.836236045761</v>
      </c>
      <c r="H1676" s="218">
        <v>1097651.6861911567</v>
      </c>
      <c r="I1676" s="84">
        <v>27893.76833333333</v>
      </c>
      <c r="J1676" s="84">
        <v>125314.42153846157</v>
      </c>
      <c r="K1676" s="84">
        <v>0</v>
      </c>
      <c r="L1676" s="218">
        <v>233254</v>
      </c>
      <c r="M1676" s="218">
        <v>100168</v>
      </c>
      <c r="N1676" s="218">
        <v>851894.44769059995</v>
      </c>
      <c r="O1676" s="218">
        <v>102917.66767264593</v>
      </c>
      <c r="P1676" s="218">
        <v>748976.78001795406</v>
      </c>
      <c r="Q1676" s="353">
        <v>0.96421599999999996</v>
      </c>
      <c r="R1676" s="84">
        <v>1836942.15</v>
      </c>
      <c r="S1676" s="218">
        <v>1584281.8760629515</v>
      </c>
      <c r="T1676" s="218">
        <v>15468837.794827469</v>
      </c>
      <c r="U1676" s="84">
        <v>13081550.720000001</v>
      </c>
      <c r="V1676" s="268">
        <v>5.6026624285716309E-2</v>
      </c>
    </row>
    <row r="1677" spans="1:22">
      <c r="A1677" s="216" t="s">
        <v>1557</v>
      </c>
      <c r="B1677" s="218">
        <v>637372.61396694218</v>
      </c>
      <c r="C1677" s="84">
        <v>458.9082820561984</v>
      </c>
      <c r="D1677" s="84">
        <v>208989.57</v>
      </c>
      <c r="E1677" s="84">
        <v>-19001.7</v>
      </c>
      <c r="F1677" s="84">
        <v>118394.73</v>
      </c>
      <c r="G1677" s="84">
        <v>0</v>
      </c>
      <c r="H1677" s="218">
        <v>308382.59999999998</v>
      </c>
      <c r="I1677" s="84">
        <v>26398.452499999999</v>
      </c>
      <c r="J1677" s="84">
        <v>125331.22</v>
      </c>
      <c r="K1677" s="84">
        <v>0</v>
      </c>
      <c r="L1677" s="218">
        <v>232254</v>
      </c>
      <c r="M1677" s="218">
        <v>99738</v>
      </c>
      <c r="N1677" s="218">
        <v>155190.566815114</v>
      </c>
      <c r="O1677" s="218">
        <v>-27167.277163423296</v>
      </c>
      <c r="P1677" s="218">
        <v>182357.8439785373</v>
      </c>
      <c r="Q1677" s="353">
        <v>0.96445820000000004</v>
      </c>
      <c r="R1677" s="84">
        <v>-512007.35</v>
      </c>
      <c r="S1677" s="218">
        <v>792104.27249999996</v>
      </c>
      <c r="T1677" s="218">
        <v>12272734.510723341</v>
      </c>
      <c r="U1677" s="84">
        <v>12012225.630000001</v>
      </c>
      <c r="V1677" s="268">
        <v>5.3060326503952135E-2</v>
      </c>
    </row>
    <row r="1678" spans="1:22">
      <c r="A1678" s="216" t="s">
        <v>679</v>
      </c>
      <c r="B1678" s="218">
        <v>631419.25952391187</v>
      </c>
      <c r="C1678" s="84">
        <v>454.62186685721656</v>
      </c>
      <c r="D1678" s="84">
        <v>84822.75</v>
      </c>
      <c r="E1678" s="84">
        <v>-21874.15</v>
      </c>
      <c r="F1678" s="84">
        <v>146756.93</v>
      </c>
      <c r="G1678" s="84">
        <v>0</v>
      </c>
      <c r="H1678" s="218">
        <v>209705.53</v>
      </c>
      <c r="I1678" s="84">
        <v>26398.45</v>
      </c>
      <c r="J1678" s="84">
        <v>125341.06</v>
      </c>
      <c r="K1678" s="84">
        <v>0</v>
      </c>
      <c r="L1678" s="218">
        <v>231638</v>
      </c>
      <c r="M1678" s="218">
        <v>99474</v>
      </c>
      <c r="N1678" s="218">
        <v>61592.402342945337</v>
      </c>
      <c r="O1678" s="218">
        <v>112968.47473252048</v>
      </c>
      <c r="P1678" s="218">
        <v>-51376.072389575143</v>
      </c>
      <c r="Q1678" s="353">
        <v>0.96445820000000004</v>
      </c>
      <c r="R1678" s="84">
        <v>1892574.79</v>
      </c>
      <c r="S1678" s="218">
        <v>692557.04</v>
      </c>
      <c r="T1678" s="218">
        <v>12874285.41</v>
      </c>
      <c r="U1678" s="84">
        <v>10578244.73</v>
      </c>
      <c r="V1678" s="268">
        <v>5.969036221417727E-2</v>
      </c>
    </row>
    <row r="1679" spans="1:22">
      <c r="A1679" s="216" t="s">
        <v>1557</v>
      </c>
      <c r="B1679" s="218">
        <v>598333.61624200852</v>
      </c>
      <c r="C1679" s="84">
        <v>430.80020369424614</v>
      </c>
      <c r="D1679" s="84">
        <v>154834.42000000001</v>
      </c>
      <c r="E1679" s="84">
        <v>-23259.56</v>
      </c>
      <c r="F1679" s="84">
        <v>153851.15</v>
      </c>
      <c r="G1679" s="84">
        <v>0</v>
      </c>
      <c r="H1679" s="218">
        <v>285426.01</v>
      </c>
      <c r="I1679" s="84">
        <v>26398.45</v>
      </c>
      <c r="J1679" s="84">
        <v>125434.38</v>
      </c>
      <c r="K1679" s="84">
        <v>0</v>
      </c>
      <c r="L1679" s="218">
        <v>231081</v>
      </c>
      <c r="M1679" s="218">
        <v>99235</v>
      </c>
      <c r="N1679" s="218">
        <v>169672.02396168583</v>
      </c>
      <c r="O1679" s="218">
        <v>117173.9318322199</v>
      </c>
      <c r="P1679" s="218">
        <v>52498.092129465935</v>
      </c>
      <c r="Q1679" s="353">
        <v>0.96445820000000004</v>
      </c>
      <c r="R1679" s="84">
        <v>1925107.77</v>
      </c>
      <c r="S1679" s="218">
        <v>767574.84000000008</v>
      </c>
      <c r="T1679" s="218">
        <v>12135943.560000001</v>
      </c>
      <c r="U1679" s="84">
        <v>9830315.2899999991</v>
      </c>
      <c r="V1679" s="268">
        <v>6.0866167420964644E-2</v>
      </c>
    </row>
    <row r="1680" spans="1:22">
      <c r="A1680" s="216"/>
      <c r="H1680" s="271"/>
      <c r="Q1680" s="353"/>
      <c r="R1680" s="218"/>
      <c r="S1680" s="218"/>
      <c r="T1680" s="218"/>
      <c r="U1680" s="218"/>
    </row>
    <row r="1681" spans="1:24" ht="13.5" thickBot="1">
      <c r="A1681" s="216" t="s">
        <v>1947</v>
      </c>
      <c r="B1681" s="311">
        <v>8744451.6685245186</v>
      </c>
      <c r="C1681" s="311">
        <v>6296.0052013376544</v>
      </c>
      <c r="D1681" s="311">
        <v>1929710.6718794068</v>
      </c>
      <c r="E1681" s="311">
        <v>-254817.91025700004</v>
      </c>
      <c r="F1681" s="311">
        <v>2161434.1433850001</v>
      </c>
      <c r="G1681" s="311">
        <v>238879.10251505903</v>
      </c>
      <c r="H1681" s="311">
        <v>4075206.0075224657</v>
      </c>
      <c r="I1681" s="311">
        <v>330239.26750000002</v>
      </c>
      <c r="J1681" s="311">
        <v>1443017.7653153846</v>
      </c>
      <c r="K1681" s="311">
        <v>0</v>
      </c>
      <c r="L1681" s="311">
        <v>2709848.2295960709</v>
      </c>
      <c r="M1681" s="311">
        <v>1163709.6854858263</v>
      </c>
      <c r="N1681" s="311">
        <v>983865.29209656606</v>
      </c>
      <c r="O1681" s="311">
        <v>98450.438994661381</v>
      </c>
      <c r="P1681" s="311">
        <v>885414.85310190474</v>
      </c>
      <c r="Q1681" s="354"/>
      <c r="R1681" s="311">
        <v>2145315.11</v>
      </c>
      <c r="S1681" s="311">
        <v>9722020.9554197472</v>
      </c>
      <c r="T1681" s="311">
        <v>159727831.85410669</v>
      </c>
      <c r="U1681" s="311">
        <v>152128464.66999999</v>
      </c>
      <c r="V1681" s="305"/>
    </row>
    <row r="1682" spans="1:24" ht="13.5" thickTop="1">
      <c r="Q1682" s="353"/>
      <c r="R1682" s="224" t="s">
        <v>2316</v>
      </c>
      <c r="S1682" s="218"/>
      <c r="T1682" s="218"/>
      <c r="U1682" s="218"/>
    </row>
    <row r="1683" spans="1:24">
      <c r="H1683" s="271"/>
      <c r="Q1683" s="353"/>
      <c r="R1683" s="224" t="s">
        <v>2317</v>
      </c>
      <c r="S1683" s="218"/>
      <c r="T1683" s="224" t="s">
        <v>2318</v>
      </c>
    </row>
    <row r="1684" spans="1:24">
      <c r="A1684" s="218" t="s">
        <v>1899</v>
      </c>
      <c r="B1684" s="218">
        <v>657261.77731666353</v>
      </c>
      <c r="C1684" s="218">
        <v>473.22847966799776</v>
      </c>
      <c r="D1684" s="218">
        <v>186879.15687514574</v>
      </c>
      <c r="E1684" s="218">
        <v>-20265.155786221279</v>
      </c>
      <c r="F1684" s="218">
        <v>124592.34324291885</v>
      </c>
      <c r="G1684" s="218">
        <v>28208.176487799996</v>
      </c>
      <c r="H1684" s="218">
        <v>319414.52081964328</v>
      </c>
      <c r="I1684" s="218">
        <v>26895.617727293327</v>
      </c>
      <c r="J1684" s="218">
        <v>97084.579494144011</v>
      </c>
      <c r="K1684" s="218">
        <v>0</v>
      </c>
      <c r="L1684" s="218">
        <v>181046.29133923733</v>
      </c>
      <c r="M1684" s="218">
        <v>77748.01973179965</v>
      </c>
      <c r="N1684" s="218">
        <v>45400.480275121983</v>
      </c>
      <c r="O1684" s="218">
        <v>74827.898163257749</v>
      </c>
      <c r="P1684" s="218">
        <v>-29427.417888135766</v>
      </c>
      <c r="Q1684" s="353">
        <v>0.96421599999999996</v>
      </c>
      <c r="R1684" s="84">
        <v>1150042.8600000001</v>
      </c>
      <c r="T1684" s="84">
        <v>-4600.3600000001024</v>
      </c>
    </row>
    <row r="1685" spans="1:24">
      <c r="A1685" s="218" t="s">
        <v>1910</v>
      </c>
      <c r="B1685" s="218">
        <v>885235.06118468766</v>
      </c>
      <c r="C1685" s="218">
        <v>637.3692440529752</v>
      </c>
      <c r="D1685" s="218">
        <v>53946.953858951252</v>
      </c>
      <c r="E1685" s="218">
        <v>-20312.622914382744</v>
      </c>
      <c r="F1685" s="218">
        <v>375346.14958396484</v>
      </c>
      <c r="G1685" s="218">
        <v>26889.564174351915</v>
      </c>
      <c r="H1685" s="218">
        <v>435870.04470288526</v>
      </c>
      <c r="I1685" s="218">
        <v>26895.617727293327</v>
      </c>
      <c r="J1685" s="218">
        <v>98770.752224144017</v>
      </c>
      <c r="K1685" s="218">
        <v>0</v>
      </c>
      <c r="L1685" s="218">
        <v>200063.77775805601</v>
      </c>
      <c r="M1685" s="218">
        <v>85914.836618255809</v>
      </c>
      <c r="N1685" s="218">
        <v>-37082.662910000305</v>
      </c>
      <c r="O1685" s="218">
        <v>-85789.556244755629</v>
      </c>
      <c r="P1685" s="218">
        <v>48706.893334755325</v>
      </c>
      <c r="Q1685" s="353">
        <v>0.96421599999999996</v>
      </c>
      <c r="R1685" s="84">
        <v>-1299713.75</v>
      </c>
      <c r="T1685" s="84">
        <v>-13675.919999999925</v>
      </c>
    </row>
    <row r="1686" spans="1:24">
      <c r="A1686" s="218" t="s">
        <v>588</v>
      </c>
      <c r="B1686" s="218">
        <v>921986.06293584476</v>
      </c>
      <c r="C1686" s="218">
        <v>663.82996531380832</v>
      </c>
      <c r="D1686" s="218">
        <v>21169.631676481116</v>
      </c>
      <c r="E1686" s="218">
        <v>-23697.825521719977</v>
      </c>
      <c r="F1686" s="218">
        <v>98926.038209123551</v>
      </c>
      <c r="G1686" s="218">
        <v>17775.08546545326</v>
      </c>
      <c r="H1686" s="218">
        <v>114172.92982933795</v>
      </c>
      <c r="I1686" s="218">
        <v>26895.617727293327</v>
      </c>
      <c r="J1686" s="218">
        <v>112980.05629838401</v>
      </c>
      <c r="K1686" s="218">
        <v>0</v>
      </c>
      <c r="L1686" s="218">
        <v>218849.45288291195</v>
      </c>
      <c r="M1686" s="218">
        <v>93982.105102346206</v>
      </c>
      <c r="N1686" s="218">
        <v>-354442.07113025757</v>
      </c>
      <c r="O1686" s="218">
        <v>-215057.51783673262</v>
      </c>
      <c r="P1686" s="218">
        <v>-139384.55329352495</v>
      </c>
      <c r="Q1686" s="353">
        <v>0.96421599999999996</v>
      </c>
      <c r="R1686" s="84">
        <v>-3558123.81</v>
      </c>
      <c r="T1686" s="84">
        <v>-8672.6099999998696</v>
      </c>
    </row>
    <row r="1687" spans="1:24">
      <c r="A1687" s="218" t="s">
        <v>598</v>
      </c>
      <c r="B1687" s="218">
        <v>972860.00829118956</v>
      </c>
      <c r="C1687" s="218">
        <v>700.45920596965652</v>
      </c>
      <c r="D1687" s="218">
        <v>67065.373088330554</v>
      </c>
      <c r="E1687" s="218">
        <v>-21706.554665386448</v>
      </c>
      <c r="F1687" s="218">
        <v>123115.68144767337</v>
      </c>
      <c r="G1687" s="218">
        <v>16704.113353941142</v>
      </c>
      <c r="H1687" s="218">
        <v>185178.61322455862</v>
      </c>
      <c r="I1687" s="218">
        <v>26895.617727293327</v>
      </c>
      <c r="J1687" s="218">
        <v>114438.09330508718</v>
      </c>
      <c r="K1687" s="218">
        <v>0</v>
      </c>
      <c r="L1687" s="218">
        <v>221050.37486399998</v>
      </c>
      <c r="M1687" s="218">
        <v>94927.065199999997</v>
      </c>
      <c r="N1687" s="218">
        <v>-329669.78476428089</v>
      </c>
      <c r="O1687" s="218">
        <v>-224308.7059607929</v>
      </c>
      <c r="P1687" s="218">
        <v>-105361.078803488</v>
      </c>
      <c r="Q1687" s="353">
        <v>0.96421599999999996</v>
      </c>
      <c r="R1687" s="84">
        <v>-3870532.54</v>
      </c>
      <c r="T1687" s="84">
        <v>51242.220000000205</v>
      </c>
    </row>
    <row r="1688" spans="1:24">
      <c r="A1688" s="218" t="s">
        <v>609</v>
      </c>
      <c r="B1688" s="218">
        <v>888535.71013287292</v>
      </c>
      <c r="C1688" s="218">
        <v>639.74571129566857</v>
      </c>
      <c r="D1688" s="218">
        <v>165531.83710357393</v>
      </c>
      <c r="E1688" s="218">
        <v>-23443.826225756024</v>
      </c>
      <c r="F1688" s="218">
        <v>121320.66567447693</v>
      </c>
      <c r="G1688" s="218">
        <v>22098.154764264102</v>
      </c>
      <c r="H1688" s="218">
        <v>285506.83131655894</v>
      </c>
      <c r="I1688" s="218">
        <v>26895.617727293327</v>
      </c>
      <c r="J1688" s="218">
        <v>125177.19199832001</v>
      </c>
      <c r="K1688" s="218">
        <v>0</v>
      </c>
      <c r="L1688" s="218">
        <v>222331.817928</v>
      </c>
      <c r="M1688" s="218">
        <v>95477.63253599999</v>
      </c>
      <c r="N1688" s="218">
        <v>-132506.87291540497</v>
      </c>
      <c r="O1688" s="218">
        <v>84586.816738313573</v>
      </c>
      <c r="P1688" s="218">
        <v>-217093.68965371855</v>
      </c>
      <c r="Q1688" s="353">
        <v>0.96421599999999996</v>
      </c>
      <c r="R1688" s="84">
        <v>1515821.18</v>
      </c>
      <c r="T1688" s="84">
        <v>-17975.149999999907</v>
      </c>
      <c r="W1688" s="216"/>
      <c r="X1688" s="218"/>
    </row>
    <row r="1689" spans="1:24">
      <c r="A1689" s="218" t="s">
        <v>618</v>
      </c>
      <c r="B1689" s="218">
        <v>745674.79922319774</v>
      </c>
      <c r="C1689" s="218">
        <v>536.88585544070236</v>
      </c>
      <c r="D1689" s="218">
        <v>50518.061768738007</v>
      </c>
      <c r="E1689" s="218">
        <v>-19299.421293546329</v>
      </c>
      <c r="F1689" s="218">
        <v>117977.57507462741</v>
      </c>
      <c r="G1689" s="218">
        <v>17773.858471563821</v>
      </c>
      <c r="H1689" s="218">
        <v>166970.0740213829</v>
      </c>
      <c r="I1689" s="218">
        <v>26895.617727293327</v>
      </c>
      <c r="J1689" s="218">
        <v>118848.69683013971</v>
      </c>
      <c r="K1689" s="218">
        <v>0</v>
      </c>
      <c r="L1689" s="218">
        <v>224034.62338399998</v>
      </c>
      <c r="M1689" s="218">
        <v>96208.508263999989</v>
      </c>
      <c r="N1689" s="218">
        <v>-112180.39314094116</v>
      </c>
      <c r="O1689" s="218">
        <v>-73103.167179416996</v>
      </c>
      <c r="P1689" s="218">
        <v>-39077.225961524164</v>
      </c>
      <c r="Q1689" s="353">
        <v>0.96421599999999996</v>
      </c>
      <c r="R1689" s="84">
        <v>-1486823.27</v>
      </c>
      <c r="T1689" s="84">
        <v>56107.989999999991</v>
      </c>
      <c r="W1689" s="216"/>
      <c r="X1689" s="218"/>
    </row>
    <row r="1690" spans="1:24">
      <c r="A1690" s="218" t="s">
        <v>629</v>
      </c>
      <c r="B1690" s="218">
        <v>567213.95964220853</v>
      </c>
      <c r="C1690" s="218">
        <v>408.39405094239015</v>
      </c>
      <c r="D1690" s="218">
        <v>80639.564431604274</v>
      </c>
      <c r="E1690" s="218">
        <v>-22258.936738821023</v>
      </c>
      <c r="F1690" s="218">
        <v>149623.52090514067</v>
      </c>
      <c r="G1690" s="218">
        <v>39491.066196366148</v>
      </c>
      <c r="H1690" s="218">
        <v>247495.21479429008</v>
      </c>
      <c r="I1690" s="218">
        <v>26895.617727293327</v>
      </c>
      <c r="J1690" s="218">
        <v>120169.79357382157</v>
      </c>
      <c r="K1690" s="218">
        <v>0</v>
      </c>
      <c r="L1690" s="218">
        <v>225176.25512799999</v>
      </c>
      <c r="M1690" s="218">
        <v>96699.294207999992</v>
      </c>
      <c r="N1690" s="218">
        <v>149630.6098401387</v>
      </c>
      <c r="O1690" s="218">
        <v>75106.697540731082</v>
      </c>
      <c r="P1690" s="218">
        <v>74523.912299407617</v>
      </c>
      <c r="Q1690" s="353">
        <v>0.96421599999999996</v>
      </c>
      <c r="R1690" s="84">
        <v>1442975.61</v>
      </c>
      <c r="T1690" s="84">
        <v>17284.469999999972</v>
      </c>
      <c r="W1690" s="216"/>
      <c r="X1690" s="218"/>
    </row>
    <row r="1691" spans="1:24">
      <c r="A1691" s="218" t="s">
        <v>639</v>
      </c>
      <c r="B1691" s="218">
        <v>505643.67280101078</v>
      </c>
      <c r="C1691" s="218">
        <v>364.0634444167278</v>
      </c>
      <c r="D1691" s="218">
        <v>146957.78482424683</v>
      </c>
      <c r="E1691" s="218">
        <v>-19414.328128214271</v>
      </c>
      <c r="F1691" s="218">
        <v>187932.93880111509</v>
      </c>
      <c r="G1691" s="218">
        <v>26159.703276744684</v>
      </c>
      <c r="H1691" s="218">
        <v>341636.09877389233</v>
      </c>
      <c r="I1691" s="218">
        <v>26895.617727293327</v>
      </c>
      <c r="J1691" s="218">
        <v>120433.42432060925</v>
      </c>
      <c r="K1691" s="218">
        <v>0</v>
      </c>
      <c r="L1691" s="218">
        <v>225315.102232</v>
      </c>
      <c r="M1691" s="218">
        <v>96759.075599999996</v>
      </c>
      <c r="N1691" s="218">
        <v>305759.7092972009</v>
      </c>
      <c r="O1691" s="218">
        <v>156295.17670009405</v>
      </c>
      <c r="P1691" s="218">
        <v>149464.53259710685</v>
      </c>
      <c r="Q1691" s="353">
        <v>0.96421599999999996</v>
      </c>
      <c r="R1691" s="84">
        <v>3122538.09</v>
      </c>
      <c r="T1691" s="84">
        <v>-93197.259999999776</v>
      </c>
    </row>
    <row r="1692" spans="1:24">
      <c r="A1692" s="218" t="s">
        <v>649</v>
      </c>
      <c r="B1692" s="218">
        <v>732915.12726398173</v>
      </c>
      <c r="C1692" s="218">
        <v>527.6988916300669</v>
      </c>
      <c r="D1692" s="218">
        <v>655357.17651396233</v>
      </c>
      <c r="E1692" s="218">
        <v>-13460.446393755414</v>
      </c>
      <c r="F1692" s="218">
        <v>381245.25761211041</v>
      </c>
      <c r="G1692" s="218">
        <v>35231.330520175099</v>
      </c>
      <c r="H1692" s="218">
        <v>1058373.3182524925</v>
      </c>
      <c r="I1692" s="218">
        <v>26895.617727293327</v>
      </c>
      <c r="J1692" s="218">
        <v>120830.17027812926</v>
      </c>
      <c r="K1692" s="218">
        <v>0</v>
      </c>
      <c r="L1692" s="218">
        <v>224907.23886399998</v>
      </c>
      <c r="M1692" s="218">
        <v>96583.588287999999</v>
      </c>
      <c r="N1692" s="218">
        <v>795202.5050375635</v>
      </c>
      <c r="O1692" s="218">
        <v>102917.66767264593</v>
      </c>
      <c r="P1692" s="218">
        <v>692284.83736491762</v>
      </c>
      <c r="Q1692" s="353">
        <v>0.96421599999999996</v>
      </c>
      <c r="R1692" s="84">
        <v>1824034.9</v>
      </c>
      <c r="T1692" s="84">
        <v>12907.25</v>
      </c>
    </row>
    <row r="1693" spans="1:24">
      <c r="A1693" s="218" t="s">
        <v>658</v>
      </c>
      <c r="B1693" s="218">
        <v>637372.61396694218</v>
      </c>
      <c r="C1693" s="218">
        <v>458.9082820561984</v>
      </c>
      <c r="D1693" s="218">
        <v>201561.70450097401</v>
      </c>
      <c r="E1693" s="218">
        <v>-18326.345378940001</v>
      </c>
      <c r="F1693" s="218">
        <v>114186.768185286</v>
      </c>
      <c r="G1693" s="218">
        <v>0</v>
      </c>
      <c r="H1693" s="218">
        <v>297422.12730732001</v>
      </c>
      <c r="I1693" s="218">
        <v>25460.203980935501</v>
      </c>
      <c r="J1693" s="218">
        <v>120876.72284500401</v>
      </c>
      <c r="K1693" s="218">
        <v>0</v>
      </c>
      <c r="L1693" s="218">
        <v>223999.2747828</v>
      </c>
      <c r="M1693" s="218">
        <v>96193.131951600008</v>
      </c>
      <c r="N1693" s="218">
        <v>127037.75518277357</v>
      </c>
      <c r="O1693" s="218">
        <v>-27167.277163423296</v>
      </c>
      <c r="P1693" s="218">
        <v>154205.03234619688</v>
      </c>
      <c r="Q1693" s="353">
        <v>0.96445820000000004</v>
      </c>
      <c r="R1693" s="84">
        <v>-158920.32000000001</v>
      </c>
      <c r="T1693" s="84">
        <v>-353087.02999999997</v>
      </c>
    </row>
    <row r="1694" spans="1:24">
      <c r="A1694" s="218" t="s">
        <v>669</v>
      </c>
      <c r="B1694" s="218">
        <v>631419.25952391187</v>
      </c>
      <c r="C1694" s="218">
        <v>454.62186685721656</v>
      </c>
      <c r="D1694" s="218">
        <v>81807.996784050003</v>
      </c>
      <c r="E1694" s="218">
        <v>-21096.703335530001</v>
      </c>
      <c r="F1694" s="218">
        <v>141540.92454532601</v>
      </c>
      <c r="G1694" s="218">
        <v>0</v>
      </c>
      <c r="H1694" s="218">
        <v>202252.21799384602</v>
      </c>
      <c r="I1694" s="218">
        <v>25460.201569790002</v>
      </c>
      <c r="J1694" s="218">
        <v>120886.21311369201</v>
      </c>
      <c r="K1694" s="218">
        <v>0</v>
      </c>
      <c r="L1694" s="218">
        <v>223405.16853160001</v>
      </c>
      <c r="M1694" s="218">
        <v>95938.514986800001</v>
      </c>
      <c r="N1694" s="218">
        <v>36977.678538673441</v>
      </c>
      <c r="O1694" s="218">
        <v>112968.47473252048</v>
      </c>
      <c r="P1694" s="218">
        <v>-75990.79619384704</v>
      </c>
      <c r="Q1694" s="353">
        <v>0.96445820000000004</v>
      </c>
      <c r="R1694" s="84">
        <v>1561648.43</v>
      </c>
      <c r="T1694" s="84">
        <v>330926.3600000001</v>
      </c>
    </row>
    <row r="1695" spans="1:24">
      <c r="A1695" s="218" t="s">
        <v>1557</v>
      </c>
      <c r="B1695" s="218">
        <v>598333.61624200852</v>
      </c>
      <c r="C1695" s="218">
        <v>430.80020369424614</v>
      </c>
      <c r="D1695" s="218">
        <v>149331.32601124403</v>
      </c>
      <c r="E1695" s="218">
        <v>-22432.873370392001</v>
      </c>
      <c r="F1695" s="218">
        <v>148383.00319692999</v>
      </c>
      <c r="G1695" s="218">
        <v>0</v>
      </c>
      <c r="H1695" s="218">
        <v>275281.45583778201</v>
      </c>
      <c r="I1695" s="218">
        <v>25460.201569790002</v>
      </c>
      <c r="J1695" s="218">
        <v>120976.21635291602</v>
      </c>
      <c r="K1695" s="218">
        <v>0</v>
      </c>
      <c r="L1695" s="218">
        <v>222867.9653142</v>
      </c>
      <c r="M1695" s="218">
        <v>95708.009477</v>
      </c>
      <c r="N1695" s="218">
        <v>142391.03251337376</v>
      </c>
      <c r="O1695" s="218">
        <v>117173.9318322199</v>
      </c>
      <c r="P1695" s="218">
        <v>25217.100681153868</v>
      </c>
      <c r="Q1695" s="353">
        <v>0.96445820000000004</v>
      </c>
      <c r="R1695" s="84">
        <v>1930544.51</v>
      </c>
      <c r="T1695" s="84">
        <v>-5436.7399999999907</v>
      </c>
    </row>
    <row r="1696" spans="1:24">
      <c r="H1696" s="218"/>
      <c r="Q1696" s="353"/>
      <c r="R1696" s="84"/>
      <c r="S1696" s="218"/>
    </row>
    <row r="1697" spans="1:28" ht="13.5" thickBot="1">
      <c r="A1697" s="216" t="s">
        <v>1947</v>
      </c>
      <c r="B1697" s="311">
        <v>8744451.6685245186</v>
      </c>
      <c r="C1697" s="311">
        <v>6296.0052013376544</v>
      </c>
      <c r="D1697" s="311">
        <v>1860766.5674373019</v>
      </c>
      <c r="E1697" s="311">
        <v>-245715.0397526655</v>
      </c>
      <c r="F1697" s="311">
        <v>2084190.8664786932</v>
      </c>
      <c r="G1697" s="311">
        <v>230331.05271066018</v>
      </c>
      <c r="H1697" s="311">
        <v>3929573.4468739899</v>
      </c>
      <c r="I1697" s="311">
        <v>318441.16666615556</v>
      </c>
      <c r="J1697" s="311">
        <v>1391471.9106343912</v>
      </c>
      <c r="K1697" s="311">
        <v>0</v>
      </c>
      <c r="L1697" s="311">
        <v>2613047.3430088055</v>
      </c>
      <c r="M1697" s="311">
        <v>1122139.7819638015</v>
      </c>
      <c r="N1697" s="311">
        <v>636517.98582396097</v>
      </c>
      <c r="O1697" s="311">
        <v>98450.438994661381</v>
      </c>
      <c r="P1697" s="311">
        <v>538067.54682929977</v>
      </c>
      <c r="Q1697" s="354"/>
      <c r="R1697" s="311">
        <v>2173491.8899999997</v>
      </c>
    </row>
    <row r="1698" spans="1:28" ht="13.5" thickTop="1">
      <c r="Q1698" s="353"/>
      <c r="R1698" s="218"/>
    </row>
    <row r="1699" spans="1:28">
      <c r="B1699" s="218"/>
      <c r="C1699" s="218"/>
      <c r="D1699" s="218"/>
      <c r="E1699" s="218"/>
      <c r="F1699" s="218"/>
      <c r="G1699" s="218"/>
      <c r="H1699" s="218"/>
      <c r="I1699" s="218"/>
      <c r="J1699" s="218"/>
      <c r="K1699" s="218"/>
      <c r="L1699" s="218"/>
      <c r="M1699" s="218"/>
      <c r="N1699" s="218"/>
      <c r="O1699" s="218"/>
      <c r="P1699" s="218"/>
      <c r="Q1699" s="218"/>
      <c r="R1699" s="218">
        <v>-28176.779999999795</v>
      </c>
      <c r="S1699" s="88" t="s">
        <v>3501</v>
      </c>
      <c r="T1699" s="218">
        <v>-28176.779999999271</v>
      </c>
    </row>
    <row r="1700" spans="1:28">
      <c r="A1700" s="216" t="s">
        <v>2603</v>
      </c>
      <c r="Q1700" s="353"/>
      <c r="R1700" s="218"/>
      <c r="T1700" s="218"/>
    </row>
    <row r="1701" spans="1:28">
      <c r="A1701" s="216" t="s">
        <v>2281</v>
      </c>
      <c r="Q1701" s="353"/>
      <c r="R1701" s="218"/>
      <c r="S1701" s="218"/>
      <c r="T1701" s="218"/>
    </row>
    <row r="1702" spans="1:28">
      <c r="A1702" s="216" t="s">
        <v>3723</v>
      </c>
      <c r="Q1702" s="353"/>
      <c r="R1702" s="218"/>
      <c r="S1702" s="218"/>
      <c r="T1702" s="218"/>
    </row>
    <row r="1703" spans="1:28">
      <c r="A1703" s="218" t="s">
        <v>1557</v>
      </c>
      <c r="Q1703" s="353"/>
      <c r="R1703" s="84"/>
      <c r="S1703" s="218"/>
      <c r="T1703" s="218"/>
    </row>
    <row r="1704" spans="1:28">
      <c r="D1704" s="84"/>
      <c r="Q1704" s="353"/>
      <c r="R1704" s="218"/>
      <c r="S1704" s="218"/>
      <c r="T1704" s="218"/>
    </row>
    <row r="1705" spans="1:28">
      <c r="Q1705" s="353"/>
      <c r="R1705" s="84"/>
      <c r="S1705" s="218"/>
      <c r="T1705" s="218"/>
    </row>
    <row r="1706" spans="1:28">
      <c r="A1706" s="216" t="s">
        <v>3723</v>
      </c>
      <c r="L1706" s="355"/>
      <c r="M1706" s="355"/>
      <c r="O1706" s="224" t="s">
        <v>2289</v>
      </c>
      <c r="P1706" s="224" t="s">
        <v>2290</v>
      </c>
      <c r="Q1706" s="353"/>
    </row>
    <row r="1707" spans="1:28">
      <c r="B1707" s="224" t="s">
        <v>2290</v>
      </c>
      <c r="N1707" s="224" t="s">
        <v>2291</v>
      </c>
      <c r="O1707" s="224" t="s">
        <v>2292</v>
      </c>
      <c r="P1707" s="224" t="s">
        <v>2293</v>
      </c>
      <c r="Q1707" s="356" t="s">
        <v>2294</v>
      </c>
      <c r="R1707" s="224" t="s">
        <v>2295</v>
      </c>
      <c r="S1707" s="298" t="s">
        <v>3723</v>
      </c>
      <c r="T1707" s="224" t="s">
        <v>2581</v>
      </c>
      <c r="V1707" s="298" t="s">
        <v>2319</v>
      </c>
      <c r="Y1707" s="215" t="s">
        <v>2320</v>
      </c>
      <c r="AB1707" s="215" t="s">
        <v>2321</v>
      </c>
    </row>
    <row r="1708" spans="1:28">
      <c r="B1708" s="224" t="s">
        <v>1984</v>
      </c>
      <c r="C1708" s="224" t="s">
        <v>2297</v>
      </c>
      <c r="D1708" s="224" t="s">
        <v>2298</v>
      </c>
      <c r="E1708" s="224" t="s">
        <v>2299</v>
      </c>
      <c r="F1708" s="224" t="s">
        <v>2300</v>
      </c>
      <c r="G1708" s="224" t="s">
        <v>2301</v>
      </c>
      <c r="H1708" s="224" t="s">
        <v>2581</v>
      </c>
      <c r="L1708" s="224" t="s">
        <v>2302</v>
      </c>
      <c r="M1708" s="224" t="s">
        <v>2675</v>
      </c>
      <c r="N1708" s="224" t="s">
        <v>2303</v>
      </c>
      <c r="O1708" s="224" t="s">
        <v>2304</v>
      </c>
      <c r="P1708" s="224" t="s">
        <v>2305</v>
      </c>
      <c r="Q1708" s="356" t="s">
        <v>2306</v>
      </c>
      <c r="R1708" s="224" t="s">
        <v>2304</v>
      </c>
      <c r="S1708" s="224" t="s">
        <v>2307</v>
      </c>
      <c r="T1708" s="224" t="s">
        <v>2290</v>
      </c>
      <c r="V1708" s="298" t="s">
        <v>2269</v>
      </c>
      <c r="X1708" s="357" t="s">
        <v>2322</v>
      </c>
      <c r="Y1708" s="255" t="s">
        <v>2322</v>
      </c>
      <c r="AA1708" s="357" t="s">
        <v>2323</v>
      </c>
      <c r="AB1708" s="255" t="s">
        <v>2323</v>
      </c>
    </row>
    <row r="1709" spans="1:28">
      <c r="B1709" s="293" t="s">
        <v>2666</v>
      </c>
      <c r="C1709" s="293" t="s">
        <v>1098</v>
      </c>
      <c r="D1709" s="293"/>
      <c r="E1709" s="293"/>
      <c r="F1709" s="293"/>
      <c r="G1709" s="293"/>
      <c r="H1709" s="293" t="s">
        <v>1492</v>
      </c>
      <c r="I1709" s="293"/>
      <c r="J1709" s="293"/>
      <c r="K1709" s="293" t="s">
        <v>2313</v>
      </c>
      <c r="L1709" s="293" t="s">
        <v>1474</v>
      </c>
      <c r="M1709" s="293" t="s">
        <v>1098</v>
      </c>
      <c r="N1709" s="293" t="s">
        <v>2314</v>
      </c>
      <c r="O1709" s="293" t="s">
        <v>1996</v>
      </c>
      <c r="P1709" s="293" t="s">
        <v>2666</v>
      </c>
      <c r="Q1709" s="358" t="s">
        <v>2123</v>
      </c>
      <c r="R1709" s="293" t="s">
        <v>1996</v>
      </c>
      <c r="S1709" s="293" t="s">
        <v>2674</v>
      </c>
      <c r="T1709" s="293" t="s">
        <v>2674</v>
      </c>
      <c r="U1709" s="231"/>
      <c r="V1709" s="352" t="s">
        <v>2315</v>
      </c>
      <c r="X1709" s="293" t="s">
        <v>2666</v>
      </c>
      <c r="Y1709" s="257" t="s">
        <v>2324</v>
      </c>
      <c r="AA1709" s="293" t="s">
        <v>2666</v>
      </c>
      <c r="AB1709" s="257" t="s">
        <v>2324</v>
      </c>
    </row>
    <row r="1710" spans="1:28">
      <c r="Q1710" s="353"/>
      <c r="R1710" s="218"/>
      <c r="S1710" s="218"/>
      <c r="T1710" s="218"/>
    </row>
    <row r="1711" spans="1:28">
      <c r="A1711" s="218" t="s">
        <v>1910</v>
      </c>
      <c r="B1711" s="218">
        <v>9403899.7926833406</v>
      </c>
      <c r="C1711" s="84">
        <v>6770.807850732006</v>
      </c>
      <c r="D1711" s="84">
        <v>1092429.2417420037</v>
      </c>
      <c r="E1711" s="84">
        <v>0</v>
      </c>
      <c r="F1711" s="84">
        <v>0</v>
      </c>
      <c r="G1711" s="84">
        <v>0</v>
      </c>
      <c r="H1711" s="218">
        <v>1092429.2417420037</v>
      </c>
      <c r="I1711" s="84">
        <v>13518.410714673662</v>
      </c>
      <c r="J1711" s="84">
        <v>2183512.9330000011</v>
      </c>
      <c r="K1711" s="84">
        <v>-9792.89</v>
      </c>
      <c r="L1711" s="218">
        <v>5288207</v>
      </c>
      <c r="M1711" s="218">
        <v>2270724</v>
      </c>
      <c r="N1711" s="86">
        <v>1449056.7297108881</v>
      </c>
      <c r="O1711" s="218">
        <v>1070614.6018367426</v>
      </c>
      <c r="P1711" s="218">
        <v>378442.12787414552</v>
      </c>
      <c r="Q1711" s="353">
        <v>0.96781300000000003</v>
      </c>
      <c r="R1711" s="218">
        <v>1145442.5</v>
      </c>
      <c r="S1711" s="218">
        <v>10838598.695456678</v>
      </c>
      <c r="T1711" s="218">
        <v>11566847.37532936</v>
      </c>
      <c r="V1711" s="268">
        <v>0.93467337019251739</v>
      </c>
      <c r="X1711" s="215">
        <v>36171.9</v>
      </c>
      <c r="Y1711" s="215">
        <v>4580.57</v>
      </c>
      <c r="AA1711" s="215">
        <v>290043.15999999997</v>
      </c>
      <c r="AB1711" s="215">
        <v>37310.53</v>
      </c>
    </row>
    <row r="1712" spans="1:28">
      <c r="A1712" s="218" t="s">
        <v>588</v>
      </c>
      <c r="B1712" s="218">
        <v>12667213.928815316</v>
      </c>
      <c r="C1712" s="84">
        <v>9120.3940287470286</v>
      </c>
      <c r="D1712" s="84">
        <v>2033123.549028157</v>
      </c>
      <c r="E1712" s="84">
        <v>0</v>
      </c>
      <c r="F1712" s="84">
        <v>0</v>
      </c>
      <c r="G1712" s="84">
        <v>0</v>
      </c>
      <c r="H1712" s="218">
        <v>2033123.549028157</v>
      </c>
      <c r="I1712" s="84">
        <v>13518.410714673662</v>
      </c>
      <c r="J1712" s="84">
        <v>2185535.4330000007</v>
      </c>
      <c r="K1712" s="84">
        <v>-9792.89</v>
      </c>
      <c r="L1712" s="218">
        <v>5282333</v>
      </c>
      <c r="M1712" s="218">
        <v>2268202</v>
      </c>
      <c r="N1712" s="86">
        <v>-876932.98839181848</v>
      </c>
      <c r="O1712" s="218">
        <v>-1227600.1137552448</v>
      </c>
      <c r="P1712" s="218">
        <v>350667.12536342628</v>
      </c>
      <c r="Q1712" s="353">
        <v>0.9686342</v>
      </c>
      <c r="R1712" s="218">
        <v>-1313389.67</v>
      </c>
      <c r="S1712" s="218">
        <v>11772919.502742831</v>
      </c>
      <c r="T1712" s="218">
        <v>12651887.523425577</v>
      </c>
      <c r="V1712" s="268">
        <v>0.93468080478754245</v>
      </c>
      <c r="X1712" s="215">
        <v>48155.85</v>
      </c>
      <c r="Y1712" s="215">
        <v>-4030.14</v>
      </c>
      <c r="AA1712" s="215">
        <v>378840.3</v>
      </c>
      <c r="AB1712" s="215">
        <v>-30282.15</v>
      </c>
    </row>
    <row r="1713" spans="1:28">
      <c r="A1713" s="218" t="s">
        <v>598</v>
      </c>
      <c r="B1713" s="218">
        <v>14369442.117064156</v>
      </c>
      <c r="C1713" s="84">
        <v>10345.998324286193</v>
      </c>
      <c r="D1713" s="84">
        <v>1784383.3093480086</v>
      </c>
      <c r="E1713" s="84">
        <v>0</v>
      </c>
      <c r="F1713" s="84">
        <v>0</v>
      </c>
      <c r="G1713" s="84">
        <v>0</v>
      </c>
      <c r="H1713" s="218">
        <v>1784383.3093480086</v>
      </c>
      <c r="I1713" s="84">
        <v>13518.410714673662</v>
      </c>
      <c r="J1713" s="84">
        <v>2193398.307000001</v>
      </c>
      <c r="K1713" s="84">
        <v>-10207.76</v>
      </c>
      <c r="L1713" s="218">
        <v>5282416</v>
      </c>
      <c r="M1713" s="218">
        <v>2268238</v>
      </c>
      <c r="N1713" s="86">
        <v>-2819277.6292902436</v>
      </c>
      <c r="O1713" s="218">
        <v>-3351738.9021632671</v>
      </c>
      <c r="P1713" s="218">
        <v>532461.27287302352</v>
      </c>
      <c r="Q1713" s="353">
        <v>0.96796409999999999</v>
      </c>
      <c r="R1713" s="218">
        <v>-3566796.42</v>
      </c>
      <c r="S1713" s="218">
        <v>11531746.267062683</v>
      </c>
      <c r="T1713" s="218">
        <v>12119664.494762983</v>
      </c>
      <c r="V1713" s="268">
        <v>0.93970569314501762</v>
      </c>
      <c r="X1713" s="215">
        <v>53727.87</v>
      </c>
      <c r="Y1713" s="215">
        <v>-11854.03</v>
      </c>
      <c r="AA1713" s="215">
        <v>437729.3</v>
      </c>
      <c r="AB1713" s="215">
        <v>-97463.07</v>
      </c>
    </row>
    <row r="1714" spans="1:28">
      <c r="A1714" s="218" t="s">
        <v>609</v>
      </c>
      <c r="B1714" s="218">
        <v>15591966.561708812</v>
      </c>
      <c r="C1714" s="84">
        <v>11226.215924430346</v>
      </c>
      <c r="D1714" s="84">
        <v>2695782.9761835095</v>
      </c>
      <c r="E1714" s="84">
        <v>0</v>
      </c>
      <c r="F1714" s="84">
        <v>0</v>
      </c>
      <c r="G1714" s="84">
        <v>0</v>
      </c>
      <c r="H1714" s="218">
        <v>2695782.9761835095</v>
      </c>
      <c r="I1714" s="84">
        <v>13518.410714673662</v>
      </c>
      <c r="J1714" s="84">
        <v>2194552.69</v>
      </c>
      <c r="K1714" s="84">
        <v>-10207.76</v>
      </c>
      <c r="L1714" s="218">
        <v>5278988</v>
      </c>
      <c r="M1714" s="218">
        <v>2266766</v>
      </c>
      <c r="N1714" s="86">
        <v>-3132632.4486643691</v>
      </c>
      <c r="O1714" s="218">
        <v>-3594981.6140392073</v>
      </c>
      <c r="P1714" s="218">
        <v>462349.16537483828</v>
      </c>
      <c r="Q1714" s="353">
        <v>0.96879530000000003</v>
      </c>
      <c r="R1714" s="218">
        <v>-3819290.32</v>
      </c>
      <c r="S1714" s="218">
        <v>12439400.316898184</v>
      </c>
      <c r="T1714" s="218">
        <v>13105734.171886008</v>
      </c>
      <c r="V1714" s="268">
        <v>0.94126953251336165</v>
      </c>
      <c r="W1714" s="287"/>
      <c r="X1714" s="215">
        <v>56312.08</v>
      </c>
      <c r="Y1714" s="215">
        <v>-12411.84</v>
      </c>
      <c r="AA1714" s="215">
        <v>461917.08</v>
      </c>
      <c r="AB1714" s="215">
        <v>-102153.89</v>
      </c>
    </row>
    <row r="1715" spans="1:28">
      <c r="A1715" s="218" t="s">
        <v>618</v>
      </c>
      <c r="B1715" s="218">
        <v>14845472.699867129</v>
      </c>
      <c r="C1715" s="84">
        <v>10688.740343904334</v>
      </c>
      <c r="D1715" s="84">
        <v>3086943.5827808315</v>
      </c>
      <c r="E1715" s="84">
        <v>0</v>
      </c>
      <c r="F1715" s="84">
        <v>0</v>
      </c>
      <c r="G1715" s="84">
        <v>0</v>
      </c>
      <c r="H1715" s="218">
        <v>3086943.5827808315</v>
      </c>
      <c r="I1715" s="84">
        <v>13518.410714673662</v>
      </c>
      <c r="J1715" s="84">
        <v>6408936.5189999975</v>
      </c>
      <c r="K1715" s="84">
        <v>-10207.76</v>
      </c>
      <c r="L1715" s="218">
        <v>5252501</v>
      </c>
      <c r="M1715" s="218">
        <v>2255392</v>
      </c>
      <c r="N1715" s="86">
        <v>2184204.7515990268</v>
      </c>
      <c r="O1715" s="218">
        <v>1413259.2132616867</v>
      </c>
      <c r="P1715" s="218">
        <v>770945.53833734011</v>
      </c>
      <c r="Q1715" s="353">
        <v>0.96738950000000001</v>
      </c>
      <c r="R1715" s="218">
        <v>1497846.03</v>
      </c>
      <c r="S1715" s="218">
        <v>17007083.752495505</v>
      </c>
      <c r="T1715" s="218">
        <v>17790506.856350008</v>
      </c>
      <c r="V1715" s="268">
        <v>0.94352769574165551</v>
      </c>
      <c r="W1715" s="287"/>
      <c r="X1715" s="215">
        <v>57501.13</v>
      </c>
      <c r="Y1715" s="215">
        <v>6463.39</v>
      </c>
      <c r="AA1715" s="215">
        <v>457614.94</v>
      </c>
      <c r="AB1715" s="215">
        <v>50989.64</v>
      </c>
    </row>
    <row r="1716" spans="1:28">
      <c r="A1716" s="218" t="s">
        <v>629</v>
      </c>
      <c r="B1716" s="218">
        <v>13848061.290776799</v>
      </c>
      <c r="C1716" s="84">
        <v>9970.6041293592953</v>
      </c>
      <c r="D1716" s="84">
        <v>2730590.4287041165</v>
      </c>
      <c r="E1716" s="84">
        <v>0</v>
      </c>
      <c r="F1716" s="84">
        <v>0</v>
      </c>
      <c r="G1716" s="84">
        <v>0</v>
      </c>
      <c r="H1716" s="218">
        <v>2730590.4287041165</v>
      </c>
      <c r="I1716" s="84">
        <v>13518.410714673662</v>
      </c>
      <c r="J1716" s="84">
        <v>2729159.7839999991</v>
      </c>
      <c r="K1716" s="84">
        <v>-10207.76</v>
      </c>
      <c r="L1716" s="218">
        <v>5218181</v>
      </c>
      <c r="M1716" s="218">
        <v>2240655</v>
      </c>
      <c r="N1716" s="86">
        <v>-907148.49542425759</v>
      </c>
      <c r="O1716" s="218">
        <v>-1357612.1128205827</v>
      </c>
      <c r="P1716" s="218">
        <v>450463.61739632511</v>
      </c>
      <c r="Q1716" s="353">
        <v>0.96818199999999999</v>
      </c>
      <c r="R1716" s="218">
        <v>-1430715.28</v>
      </c>
      <c r="S1716" s="218">
        <v>12921896.86341879</v>
      </c>
      <c r="T1716" s="218">
        <v>13578344.713513391</v>
      </c>
      <c r="V1716" s="268">
        <v>0.94890446184413624</v>
      </c>
      <c r="W1716" s="287"/>
      <c r="X1716" s="215">
        <v>51014.26</v>
      </c>
      <c r="Y1716" s="215">
        <v>-4242.04</v>
      </c>
      <c r="AA1716" s="215">
        <v>414964.74</v>
      </c>
      <c r="AB1716" s="215">
        <v>-34932.33</v>
      </c>
    </row>
    <row r="1717" spans="1:28">
      <c r="A1717" s="218" t="s">
        <v>639</v>
      </c>
      <c r="B1717" s="218">
        <v>10460829.200357787</v>
      </c>
      <c r="C1717" s="84">
        <v>7531.7970242576075</v>
      </c>
      <c r="D1717" s="84">
        <v>1981016.3689796627</v>
      </c>
      <c r="E1717" s="84">
        <v>0</v>
      </c>
      <c r="F1717" s="84">
        <v>0</v>
      </c>
      <c r="G1717" s="84">
        <v>0</v>
      </c>
      <c r="H1717" s="218">
        <v>1981016.3689796627</v>
      </c>
      <c r="I1717" s="84">
        <v>13518.410714673662</v>
      </c>
      <c r="J1717" s="84">
        <v>2725715.2849999992</v>
      </c>
      <c r="K1717" s="84">
        <v>-10207.76</v>
      </c>
      <c r="L1717" s="218">
        <v>5204061</v>
      </c>
      <c r="M1717" s="218">
        <v>2234592</v>
      </c>
      <c r="N1717" s="86">
        <v>1703901.9880740903</v>
      </c>
      <c r="O1717" s="218">
        <v>1385153.3824592684</v>
      </c>
      <c r="P1717" s="218">
        <v>318748.60561482189</v>
      </c>
      <c r="Q1717" s="353">
        <v>0.96764019999999995</v>
      </c>
      <c r="R1717" s="218">
        <v>1460260.08</v>
      </c>
      <c r="S1717" s="218">
        <v>12148695.304694336</v>
      </c>
      <c r="T1717" s="218">
        <v>12891719.871214084</v>
      </c>
      <c r="V1717" s="268">
        <v>0.94856621873773905</v>
      </c>
      <c r="W1717" s="287"/>
      <c r="X1717" s="215">
        <v>38670.18</v>
      </c>
      <c r="Y1717" s="215">
        <v>5663.65</v>
      </c>
      <c r="AA1717" s="215">
        <v>320394.36</v>
      </c>
      <c r="AB1717" s="215">
        <v>46519.63</v>
      </c>
    </row>
    <row r="1718" spans="1:28">
      <c r="A1718" s="218" t="s">
        <v>649</v>
      </c>
      <c r="B1718" s="218">
        <v>9294831.6571989898</v>
      </c>
      <c r="C1718" s="84">
        <v>6692.2787931832727</v>
      </c>
      <c r="D1718" s="84">
        <v>2273084.1582154008</v>
      </c>
      <c r="E1718" s="84">
        <v>0</v>
      </c>
      <c r="F1718" s="84">
        <v>0</v>
      </c>
      <c r="G1718" s="84">
        <v>0</v>
      </c>
      <c r="H1718" s="218">
        <v>2273084.1582154008</v>
      </c>
      <c r="I1718" s="84">
        <v>13518.410714673662</v>
      </c>
      <c r="J1718" s="84">
        <v>2734012.14</v>
      </c>
      <c r="K1718" s="84">
        <v>-10207.76</v>
      </c>
      <c r="L1718" s="218">
        <v>5190857</v>
      </c>
      <c r="M1718" s="218">
        <v>2228923</v>
      </c>
      <c r="N1718" s="86">
        <v>3150748.7013885193</v>
      </c>
      <c r="O1718" s="218">
        <v>2873045.6532999058</v>
      </c>
      <c r="P1718" s="218">
        <v>277703.04808861343</v>
      </c>
      <c r="Q1718" s="353">
        <v>0.96531509999999998</v>
      </c>
      <c r="R1718" s="218">
        <v>3029340.83</v>
      </c>
      <c r="S1718" s="218">
        <v>12430186.948930075</v>
      </c>
      <c r="T1718" s="218">
        <v>13271325.572074469</v>
      </c>
      <c r="V1718" s="268">
        <v>0.94840620931382813</v>
      </c>
      <c r="W1718" s="287"/>
      <c r="X1718" s="215">
        <v>35844.31</v>
      </c>
      <c r="Y1718" s="215">
        <v>11612.92</v>
      </c>
      <c r="AA1718" s="215">
        <v>307429.65000000002</v>
      </c>
      <c r="AB1718" s="215">
        <v>98427.05</v>
      </c>
    </row>
    <row r="1719" spans="1:28">
      <c r="A1719" s="218" t="s">
        <v>658</v>
      </c>
      <c r="B1719" s="218">
        <v>12348635.592736019</v>
      </c>
      <c r="C1719" s="84">
        <v>8891.0176267699335</v>
      </c>
      <c r="D1719" s="84">
        <v>3732528.7000498432</v>
      </c>
      <c r="E1719" s="84">
        <v>0</v>
      </c>
      <c r="F1719" s="84">
        <v>0</v>
      </c>
      <c r="G1719" s="84">
        <v>0</v>
      </c>
      <c r="H1719" s="218">
        <v>3732528.7000498432</v>
      </c>
      <c r="I1719" s="84">
        <v>13518.410714673662</v>
      </c>
      <c r="J1719" s="84">
        <v>2728645.5579999988</v>
      </c>
      <c r="K1719" s="84">
        <v>-10207.75</v>
      </c>
      <c r="L1719" s="218">
        <v>5191061</v>
      </c>
      <c r="M1719" s="218">
        <v>2229010</v>
      </c>
      <c r="N1719" s="86">
        <v>1554530.532798402</v>
      </c>
      <c r="O1719" s="218">
        <v>1734024.4823273541</v>
      </c>
      <c r="P1719" s="218">
        <v>-179493.94952895213</v>
      </c>
      <c r="Q1719" s="353">
        <v>0.96309460000000002</v>
      </c>
      <c r="R1719" s="218">
        <v>1836942.15</v>
      </c>
      <c r="S1719" s="218">
        <v>13884555.918764517</v>
      </c>
      <c r="T1719" s="218">
        <v>15468837.794827469</v>
      </c>
      <c r="V1719" s="268">
        <v>0.94397337571428375</v>
      </c>
      <c r="W1719" s="287"/>
      <c r="X1719" s="215">
        <v>49416.03</v>
      </c>
      <c r="Y1719" s="215">
        <v>6514.77</v>
      </c>
      <c r="AA1719" s="215">
        <v>445708.97</v>
      </c>
      <c r="AB1719" s="215">
        <v>56355.74</v>
      </c>
    </row>
    <row r="1720" spans="1:28">
      <c r="A1720" s="216" t="s">
        <v>1557</v>
      </c>
      <c r="B1720" s="218">
        <v>11374853.016033057</v>
      </c>
      <c r="C1720" s="84">
        <v>8189.8941715438013</v>
      </c>
      <c r="D1720" s="84">
        <v>1300889.08</v>
      </c>
      <c r="E1720" s="84">
        <v>0</v>
      </c>
      <c r="F1720" s="84">
        <v>0</v>
      </c>
      <c r="G1720" s="84">
        <v>0</v>
      </c>
      <c r="H1720" s="218">
        <v>1300889.08</v>
      </c>
      <c r="I1720" s="84">
        <v>12862.571223339992</v>
      </c>
      <c r="J1720" s="84">
        <v>2750014.6069999994</v>
      </c>
      <c r="K1720" s="84">
        <v>-9473.02</v>
      </c>
      <c r="L1720" s="218">
        <v>5195445</v>
      </c>
      <c r="M1720" s="218">
        <v>2230892</v>
      </c>
      <c r="N1720" s="86">
        <v>122003.55752858147</v>
      </c>
      <c r="O1720" s="218">
        <v>-484840.07283657661</v>
      </c>
      <c r="P1720" s="218">
        <v>606843.63036515808</v>
      </c>
      <c r="Q1720" s="353">
        <v>0.96232439999999997</v>
      </c>
      <c r="R1720" s="218">
        <v>-512007.35</v>
      </c>
      <c r="S1720" s="218">
        <v>11480630.23822334</v>
      </c>
      <c r="T1720" s="218">
        <v>12272734.510723341</v>
      </c>
      <c r="V1720" s="268">
        <v>0.94693967349604768</v>
      </c>
      <c r="X1720" s="215">
        <v>50252.67</v>
      </c>
      <c r="Y1720" s="215">
        <v>-4640.83</v>
      </c>
      <c r="AA1720" s="215">
        <v>432239.68</v>
      </c>
      <c r="AB1720" s="215">
        <v>-24589.61</v>
      </c>
    </row>
    <row r="1721" spans="1:28">
      <c r="A1721" s="218" t="s">
        <v>679</v>
      </c>
      <c r="B1721" s="218">
        <v>9946825.470476089</v>
      </c>
      <c r="C1721" s="84">
        <v>7161.714338742785</v>
      </c>
      <c r="D1721" s="84">
        <v>2009734.1</v>
      </c>
      <c r="E1721" s="84">
        <v>0</v>
      </c>
      <c r="F1721" s="84">
        <v>0</v>
      </c>
      <c r="G1721" s="84">
        <v>0</v>
      </c>
      <c r="H1721" s="218">
        <v>2009734.1</v>
      </c>
      <c r="I1721" s="84">
        <v>21616.48</v>
      </c>
      <c r="J1721" s="84">
        <v>2755751.81</v>
      </c>
      <c r="K1721" s="84">
        <v>-9473.02</v>
      </c>
      <c r="L1721" s="218">
        <v>5179887</v>
      </c>
      <c r="M1721" s="218">
        <v>2224212</v>
      </c>
      <c r="N1721" s="86">
        <v>2250591.8237216529</v>
      </c>
      <c r="O1721" s="218">
        <v>1779606.3152674797</v>
      </c>
      <c r="P1721" s="218">
        <v>470985.5084541731</v>
      </c>
      <c r="Q1721" s="353">
        <v>0.96759790000000001</v>
      </c>
      <c r="R1721" s="218">
        <v>1892574.79</v>
      </c>
      <c r="S1721" s="218">
        <v>12181728.370000001</v>
      </c>
      <c r="T1721" s="218">
        <v>12874285.41</v>
      </c>
      <c r="V1721" s="268">
        <v>0.94030963778582277</v>
      </c>
      <c r="X1721" s="215">
        <v>39006.730000000003</v>
      </c>
      <c r="Y1721" s="215">
        <v>2391.9499999999998</v>
      </c>
      <c r="AA1721" s="215">
        <v>326135.77</v>
      </c>
      <c r="AB1721" s="215">
        <v>31210.57</v>
      </c>
    </row>
    <row r="1722" spans="1:28">
      <c r="A1722" s="216" t="s">
        <v>1557</v>
      </c>
      <c r="B1722" s="218">
        <v>9231981.6737579908</v>
      </c>
      <c r="C1722" s="84">
        <v>6647.0268051057537</v>
      </c>
      <c r="D1722" s="84">
        <v>1219263.53</v>
      </c>
      <c r="E1722" s="84">
        <v>0</v>
      </c>
      <c r="F1722" s="84">
        <v>0</v>
      </c>
      <c r="G1722" s="84">
        <v>0</v>
      </c>
      <c r="H1722" s="218">
        <v>1219263.53</v>
      </c>
      <c r="I1722" s="84">
        <v>21616.48</v>
      </c>
      <c r="J1722" s="84">
        <v>2755956.03</v>
      </c>
      <c r="K1722" s="84">
        <v>-9722.32</v>
      </c>
      <c r="L1722" s="218">
        <v>5163905</v>
      </c>
      <c r="M1722" s="218">
        <v>2217350</v>
      </c>
      <c r="N1722" s="86">
        <v>2150991.9311511163</v>
      </c>
      <c r="O1722" s="218">
        <v>1807933.8381677801</v>
      </c>
      <c r="P1722" s="218">
        <v>343058.09298333619</v>
      </c>
      <c r="Q1722" s="353">
        <v>0.9676285</v>
      </c>
      <c r="R1722" s="218">
        <v>1925107.77</v>
      </c>
      <c r="S1722" s="218">
        <v>11368368.720000001</v>
      </c>
      <c r="T1722" s="218">
        <v>12135943.560000001</v>
      </c>
      <c r="V1722" s="268">
        <v>0.93913383257903538</v>
      </c>
      <c r="X1722" s="85">
        <v>38011.65</v>
      </c>
      <c r="Y1722" s="85">
        <v>4056.03</v>
      </c>
      <c r="AA1722" s="85">
        <v>300327.08</v>
      </c>
      <c r="AB1722" s="85">
        <v>45799.11</v>
      </c>
    </row>
    <row r="1723" spans="1:28">
      <c r="H1723" s="271"/>
      <c r="Q1723" s="353"/>
      <c r="R1723" s="218"/>
      <c r="S1723" s="218"/>
      <c r="T1723" s="218"/>
    </row>
    <row r="1724" spans="1:28" ht="13.5" thickBot="1">
      <c r="A1724" s="216" t="s">
        <v>1947</v>
      </c>
      <c r="B1724" s="311">
        <v>143384013.00147548</v>
      </c>
      <c r="C1724" s="311">
        <v>103236.48936106234</v>
      </c>
      <c r="D1724" s="311">
        <v>25939769.025031537</v>
      </c>
      <c r="E1724" s="311">
        <v>0</v>
      </c>
      <c r="F1724" s="311">
        <v>0</v>
      </c>
      <c r="G1724" s="311">
        <v>0</v>
      </c>
      <c r="H1724" s="311">
        <v>25939769.025031537</v>
      </c>
      <c r="I1724" s="311">
        <v>177761.22765540297</v>
      </c>
      <c r="J1724" s="311">
        <v>34345191.096000001</v>
      </c>
      <c r="K1724" s="311">
        <v>-119708.45000000001</v>
      </c>
      <c r="L1724" s="311">
        <v>62727842</v>
      </c>
      <c r="M1724" s="311">
        <v>26934956</v>
      </c>
      <c r="N1724" s="311">
        <v>6830038.4542015884</v>
      </c>
      <c r="O1724" s="311">
        <v>2046864.6710053391</v>
      </c>
      <c r="P1724" s="311">
        <v>4783173.783196249</v>
      </c>
      <c r="Q1724" s="354"/>
      <c r="R1724" s="311">
        <v>2145315.11</v>
      </c>
      <c r="S1724" s="311">
        <v>150005810.89868695</v>
      </c>
      <c r="T1724" s="311">
        <v>159727831.85410669</v>
      </c>
      <c r="X1724" s="311">
        <v>554084.65999999992</v>
      </c>
      <c r="Y1724" s="311">
        <v>4104.399999999996</v>
      </c>
      <c r="AA1724" s="311">
        <v>4573345.03</v>
      </c>
      <c r="AB1724" s="311">
        <v>77191.219999999987</v>
      </c>
    </row>
    <row r="1725" spans="1:28" ht="13.5" thickTop="1">
      <c r="Q1725" s="353"/>
      <c r="R1725" s="218"/>
      <c r="S1725" s="218"/>
      <c r="T1725" s="218"/>
    </row>
    <row r="1726" spans="1:28">
      <c r="Q1726" s="353"/>
      <c r="R1726" s="218"/>
      <c r="S1726" s="218"/>
      <c r="T1726" s="218"/>
    </row>
    <row r="1727" spans="1:28">
      <c r="A1727" s="218" t="s">
        <v>1899</v>
      </c>
      <c r="B1727" s="218">
        <v>9403899.7926833406</v>
      </c>
      <c r="C1727" s="218">
        <v>6770.807850732006</v>
      </c>
      <c r="D1727" s="218">
        <v>1057267.221738054</v>
      </c>
      <c r="E1727" s="218">
        <v>0</v>
      </c>
      <c r="F1727" s="218">
        <v>0</v>
      </c>
      <c r="G1727" s="218">
        <v>0</v>
      </c>
      <c r="H1727" s="218">
        <v>1057267.221738054</v>
      </c>
      <c r="I1727" s="218">
        <v>13083.293629000462</v>
      </c>
      <c r="J1727" s="218">
        <v>2113232.2022255301</v>
      </c>
      <c r="K1727" s="218">
        <v>-9477.6862495700007</v>
      </c>
      <c r="L1727" s="218">
        <v>5117995.4812909998</v>
      </c>
      <c r="M1727" s="218">
        <v>2197636.2066120002</v>
      </c>
      <c r="N1727" s="218">
        <v>1107293.3658203501</v>
      </c>
      <c r="O1727" s="218">
        <v>1070614.6018367426</v>
      </c>
      <c r="P1727" s="218">
        <v>36678.763983607525</v>
      </c>
      <c r="Q1727" s="353">
        <v>0.96781300000000003</v>
      </c>
      <c r="R1727" s="218"/>
      <c r="S1727" s="218"/>
      <c r="T1727" s="218">
        <v>7251.3460954717593</v>
      </c>
    </row>
    <row r="1728" spans="1:28">
      <c r="A1728" s="218" t="s">
        <v>1910</v>
      </c>
      <c r="B1728" s="218">
        <v>12667213.928815316</v>
      </c>
      <c r="C1728" s="218">
        <v>9120.3940287470286</v>
      </c>
      <c r="D1728" s="218">
        <v>1969353.0024140496</v>
      </c>
      <c r="E1728" s="218">
        <v>0</v>
      </c>
      <c r="F1728" s="218">
        <v>0</v>
      </c>
      <c r="G1728" s="218">
        <v>0</v>
      </c>
      <c r="H1728" s="218">
        <v>1969353.0024140496</v>
      </c>
      <c r="I1728" s="218">
        <v>13094.394947879351</v>
      </c>
      <c r="J1728" s="218">
        <v>2116984.3657156094</v>
      </c>
      <c r="K1728" s="218">
        <v>-9485.7281708379996</v>
      </c>
      <c r="L1728" s="218">
        <v>5116648.3995885998</v>
      </c>
      <c r="M1728" s="218">
        <v>2197058.0297083999</v>
      </c>
      <c r="N1728" s="218">
        <v>-1238475.9571329821</v>
      </c>
      <c r="O1728" s="218">
        <v>-1227600.1137552448</v>
      </c>
      <c r="P1728" s="218">
        <v>-10875.843377737328</v>
      </c>
      <c r="Q1728" s="353">
        <v>0.9686342</v>
      </c>
      <c r="R1728" s="218"/>
      <c r="S1728" s="218"/>
      <c r="T1728" s="218">
        <v>37831.049957017996</v>
      </c>
    </row>
    <row r="1729" spans="1:21">
      <c r="A1729" s="218" t="s">
        <v>588</v>
      </c>
      <c r="B1729" s="218">
        <v>14369442.117064156</v>
      </c>
      <c r="C1729" s="218">
        <v>10345.998324286193</v>
      </c>
      <c r="D1729" s="218">
        <v>1727218.9840880667</v>
      </c>
      <c r="E1729" s="218">
        <v>0</v>
      </c>
      <c r="F1729" s="218">
        <v>0</v>
      </c>
      <c r="G1729" s="218">
        <v>0</v>
      </c>
      <c r="H1729" s="218">
        <v>1727218.9840880667</v>
      </c>
      <c r="I1729" s="218">
        <v>13085.336260859449</v>
      </c>
      <c r="J1729" s="218">
        <v>2123130.8181767794</v>
      </c>
      <c r="K1729" s="218">
        <v>-9880.7452214160003</v>
      </c>
      <c r="L1729" s="218">
        <v>5113189.0492655998</v>
      </c>
      <c r="M1729" s="218">
        <v>2195572.9542557998</v>
      </c>
      <c r="N1729" s="218">
        <v>-3181152.4789586235</v>
      </c>
      <c r="O1729" s="218">
        <v>-3351738.9021632671</v>
      </c>
      <c r="P1729" s="218">
        <v>170586.42320464365</v>
      </c>
      <c r="Q1729" s="353">
        <v>0.96796409999999999</v>
      </c>
      <c r="R1729" s="218"/>
      <c r="S1729" s="218"/>
      <c r="T1729" s="218">
        <v>31201.869911118702</v>
      </c>
    </row>
    <row r="1730" spans="1:21">
      <c r="A1730" s="218" t="s">
        <v>598</v>
      </c>
      <c r="B1730" s="218">
        <v>15591966.561708812</v>
      </c>
      <c r="C1730" s="218">
        <v>11226.215924430346</v>
      </c>
      <c r="D1730" s="218">
        <v>2611661.8771465961</v>
      </c>
      <c r="E1730" s="218">
        <v>0</v>
      </c>
      <c r="F1730" s="218">
        <v>0</v>
      </c>
      <c r="G1730" s="218">
        <v>0</v>
      </c>
      <c r="H1730" s="218">
        <v>2611661.8771465961</v>
      </c>
      <c r="I1730" s="218">
        <v>13096.572763845485</v>
      </c>
      <c r="J1730" s="218">
        <v>2126072.3316743569</v>
      </c>
      <c r="K1730" s="218">
        <v>-9889.2299115280002</v>
      </c>
      <c r="L1730" s="218">
        <v>5114258.7631564001</v>
      </c>
      <c r="M1730" s="218">
        <v>2196032.2469998002</v>
      </c>
      <c r="N1730" s="218">
        <v>-3512636.0583683494</v>
      </c>
      <c r="O1730" s="218">
        <v>-3594981.6140392073</v>
      </c>
      <c r="P1730" s="218">
        <v>82345.555670857895</v>
      </c>
      <c r="Q1730" s="353">
        <v>0.96879530000000003</v>
      </c>
      <c r="R1730" s="218"/>
      <c r="S1730" s="216" t="s">
        <v>2325</v>
      </c>
      <c r="T1730" s="218">
        <v>-23015.5231326301</v>
      </c>
    </row>
    <row r="1731" spans="1:21">
      <c r="A1731" s="218" t="s">
        <v>609</v>
      </c>
      <c r="B1731" s="218">
        <v>14845472.699867129</v>
      </c>
      <c r="C1731" s="218">
        <v>10688.740343904334</v>
      </c>
      <c r="D1731" s="218">
        <v>2986276.8090745574</v>
      </c>
      <c r="E1731" s="218">
        <v>0</v>
      </c>
      <c r="F1731" s="218">
        <v>0</v>
      </c>
      <c r="G1731" s="218">
        <v>0</v>
      </c>
      <c r="H1731" s="218">
        <v>2986276.8090745574</v>
      </c>
      <c r="I1731" s="218">
        <v>13077.568582062797</v>
      </c>
      <c r="J1731" s="218">
        <v>6199937.8946471484</v>
      </c>
      <c r="K1731" s="218">
        <v>-9874.8798425200002</v>
      </c>
      <c r="L1731" s="218">
        <v>5081214.3161394997</v>
      </c>
      <c r="M1731" s="218">
        <v>2181842.5391839999</v>
      </c>
      <c r="N1731" s="218">
        <v>1640723.7522084229</v>
      </c>
      <c r="O1731" s="218">
        <v>1413259.2132616867</v>
      </c>
      <c r="P1731" s="218">
        <v>227464.53894673614</v>
      </c>
      <c r="Q1731" s="353">
        <v>0.96738950000000001</v>
      </c>
      <c r="R1731" s="218"/>
      <c r="S1731" s="216" t="s">
        <v>2326</v>
      </c>
      <c r="T1731" s="218">
        <v>10370.849293017585</v>
      </c>
    </row>
    <row r="1732" spans="1:21">
      <c r="A1732" s="218" t="s">
        <v>618</v>
      </c>
      <c r="B1732" s="218">
        <v>13848061.290776799</v>
      </c>
      <c r="C1732" s="218">
        <v>9970.6041293592953</v>
      </c>
      <c r="D1732" s="218">
        <v>2643708.5024436088</v>
      </c>
      <c r="E1732" s="218">
        <v>0</v>
      </c>
      <c r="F1732" s="218">
        <v>0</v>
      </c>
      <c r="G1732" s="218">
        <v>0</v>
      </c>
      <c r="H1732" s="218">
        <v>2643708.5024436088</v>
      </c>
      <c r="I1732" s="218">
        <v>13088.281922554175</v>
      </c>
      <c r="J1732" s="218">
        <v>2642323.3779926873</v>
      </c>
      <c r="K1732" s="218">
        <v>-9882.9694923200004</v>
      </c>
      <c r="L1732" s="218">
        <v>5052148.9169420004</v>
      </c>
      <c r="M1732" s="218">
        <v>2169361.8392099999</v>
      </c>
      <c r="N1732" s="218">
        <v>-1309827.6905002818</v>
      </c>
      <c r="O1732" s="218">
        <v>-1357612.1128205827</v>
      </c>
      <c r="P1732" s="218">
        <v>47784.422320300946</v>
      </c>
      <c r="Q1732" s="353">
        <v>0.96818199999999999</v>
      </c>
      <c r="R1732" s="218"/>
      <c r="S1732" s="216" t="s">
        <v>2327</v>
      </c>
      <c r="T1732" s="218">
        <v>8707.1963587767823</v>
      </c>
    </row>
    <row r="1733" spans="1:21">
      <c r="A1733" s="218" t="s">
        <v>629</v>
      </c>
      <c r="B1733" s="218">
        <v>10460829.200357787</v>
      </c>
      <c r="C1733" s="218">
        <v>7531.7970242576075</v>
      </c>
      <c r="D1733" s="218">
        <v>1916911.0754827545</v>
      </c>
      <c r="E1733" s="218">
        <v>0</v>
      </c>
      <c r="F1733" s="218">
        <v>0</v>
      </c>
      <c r="G1733" s="218">
        <v>0</v>
      </c>
      <c r="H1733" s="218">
        <v>1916911.0754827545</v>
      </c>
      <c r="I1733" s="218">
        <v>13080.957647628966</v>
      </c>
      <c r="J1733" s="218">
        <v>2637511.6835204563</v>
      </c>
      <c r="K1733" s="218">
        <v>-9877.4389279520001</v>
      </c>
      <c r="L1733" s="218">
        <v>5035658.6268521994</v>
      </c>
      <c r="M1733" s="218">
        <v>2162281.0497983997</v>
      </c>
      <c r="N1733" s="218">
        <v>1318726.3433760796</v>
      </c>
      <c r="O1733" s="218">
        <v>1385153.3824592684</v>
      </c>
      <c r="P1733" s="218">
        <v>-66427.039083188865</v>
      </c>
      <c r="Q1733" s="353">
        <v>0.96764019999999995</v>
      </c>
      <c r="R1733" s="218"/>
      <c r="T1733" s="218">
        <v>8096.8732162187516</v>
      </c>
    </row>
    <row r="1734" spans="1:21">
      <c r="A1734" s="218" t="s">
        <v>639</v>
      </c>
      <c r="B1734" s="218">
        <v>9294831.6571989898</v>
      </c>
      <c r="C1734" s="218">
        <v>6692.2787931832727</v>
      </c>
      <c r="D1734" s="218">
        <v>2194242.4614961152</v>
      </c>
      <c r="E1734" s="218">
        <v>0</v>
      </c>
      <c r="F1734" s="218">
        <v>0</v>
      </c>
      <c r="G1734" s="218">
        <v>0</v>
      </c>
      <c r="H1734" s="218">
        <v>2194242.4614961152</v>
      </c>
      <c r="I1734" s="218">
        <v>13049.525990876278</v>
      </c>
      <c r="J1734" s="218">
        <v>2639183.2023253143</v>
      </c>
      <c r="K1734" s="218">
        <v>-9853.7048651759997</v>
      </c>
      <c r="L1734" s="218">
        <v>5010812.6440407</v>
      </c>
      <c r="M1734" s="218">
        <v>2151613.0286372998</v>
      </c>
      <c r="N1734" s="218">
        <v>2727706.4452400003</v>
      </c>
      <c r="O1734" s="218">
        <v>2873045.6532999058</v>
      </c>
      <c r="P1734" s="218">
        <v>-145339.20805990556</v>
      </c>
      <c r="Q1734" s="353">
        <v>0.96531509999999998</v>
      </c>
      <c r="R1734" s="218"/>
      <c r="T1734" s="218">
        <v>4125.3245372012898</v>
      </c>
    </row>
    <row r="1735" spans="1:21">
      <c r="A1735" s="218" t="s">
        <v>649</v>
      </c>
      <c r="B1735" s="218">
        <v>12348635.592736019</v>
      </c>
      <c r="C1735" s="218">
        <v>8891.0176267699335</v>
      </c>
      <c r="D1735" s="218">
        <v>3594778.2353630238</v>
      </c>
      <c r="E1735" s="218">
        <v>0</v>
      </c>
      <c r="F1735" s="218">
        <v>0</v>
      </c>
      <c r="G1735" s="218">
        <v>0</v>
      </c>
      <c r="H1735" s="218">
        <v>3594778.2353630238</v>
      </c>
      <c r="I1735" s="218">
        <v>13019.508359884345</v>
      </c>
      <c r="J1735" s="218">
        <v>2627943.8022237858</v>
      </c>
      <c r="K1735" s="218">
        <v>-9831.0289031499997</v>
      </c>
      <c r="L1735" s="218">
        <v>4999482.8173706001</v>
      </c>
      <c r="M1735" s="218">
        <v>2146747.4943460003</v>
      </c>
      <c r="N1735" s="218">
        <v>1051117.2508111596</v>
      </c>
      <c r="O1735" s="218">
        <v>1734024.4823273541</v>
      </c>
      <c r="P1735" s="218">
        <v>-682907.23151619453</v>
      </c>
      <c r="Q1735" s="353">
        <v>0.96309460000000002</v>
      </c>
      <c r="R1735" s="218"/>
      <c r="T1735" s="218">
        <v>9377.6058487230912</v>
      </c>
    </row>
    <row r="1736" spans="1:21">
      <c r="A1736" s="218" t="s">
        <v>658</v>
      </c>
      <c r="B1736" s="218">
        <v>11374853.016033057</v>
      </c>
      <c r="C1736" s="218">
        <v>8189.8941715438013</v>
      </c>
      <c r="D1736" s="218">
        <v>1251877.303377552</v>
      </c>
      <c r="E1736" s="218">
        <v>0</v>
      </c>
      <c r="F1736" s="218">
        <v>0</v>
      </c>
      <c r="G1736" s="218">
        <v>0</v>
      </c>
      <c r="H1736" s="218">
        <v>1251877.303377552</v>
      </c>
      <c r="I1736" s="218">
        <v>12377.966134957924</v>
      </c>
      <c r="J1736" s="218">
        <v>2646406.1566725103</v>
      </c>
      <c r="K1736" s="218">
        <v>-9116.1182876879993</v>
      </c>
      <c r="L1736" s="218">
        <v>4999703.492358</v>
      </c>
      <c r="M1736" s="218">
        <v>2146841.8053648002</v>
      </c>
      <c r="N1736" s="218">
        <v>-303105.1893935129</v>
      </c>
      <c r="O1736" s="218">
        <v>-484840.07283657661</v>
      </c>
      <c r="P1736" s="218">
        <v>181734.88344306371</v>
      </c>
      <c r="Q1736" s="353">
        <v>0.96232439999999997</v>
      </c>
      <c r="R1736" s="218"/>
      <c r="T1736" s="218">
        <v>335939.91578926059</v>
      </c>
    </row>
    <row r="1737" spans="1:21">
      <c r="A1737" s="218" t="s">
        <v>669</v>
      </c>
      <c r="B1737" s="218">
        <v>9946825.470476089</v>
      </c>
      <c r="C1737" s="218">
        <v>7161.714338742785</v>
      </c>
      <c r="D1737" s="218">
        <v>1944614.4947183901</v>
      </c>
      <c r="E1737" s="218">
        <v>0</v>
      </c>
      <c r="F1737" s="218">
        <v>0</v>
      </c>
      <c r="G1737" s="218">
        <v>0</v>
      </c>
      <c r="H1737" s="218">
        <v>1944614.4947183901</v>
      </c>
      <c r="I1737" s="218">
        <v>20916.060653392</v>
      </c>
      <c r="J1737" s="218">
        <v>2666459.6642771992</v>
      </c>
      <c r="K1737" s="218">
        <v>-9166.074258658</v>
      </c>
      <c r="L1737" s="218">
        <v>5012047.7834373005</v>
      </c>
      <c r="M1737" s="218">
        <v>2152142.8603548002</v>
      </c>
      <c r="N1737" s="218">
        <v>1857252.1254679896</v>
      </c>
      <c r="O1737" s="218">
        <v>1779606.3152674797</v>
      </c>
      <c r="P1737" s="218">
        <v>77645.810200509848</v>
      </c>
      <c r="Q1737" s="353">
        <v>0.96759790000000001</v>
      </c>
      <c r="T1737" s="218">
        <v>1655.0140066628082</v>
      </c>
    </row>
    <row r="1738" spans="1:21">
      <c r="A1738" s="218" t="s">
        <v>1557</v>
      </c>
      <c r="B1738" s="218">
        <v>9231981.6737579908</v>
      </c>
      <c r="C1738" s="218">
        <v>6647.0268051057537</v>
      </c>
      <c r="D1738" s="218">
        <v>1179794.140638605</v>
      </c>
      <c r="E1738" s="218">
        <v>0</v>
      </c>
      <c r="F1738" s="218">
        <v>0</v>
      </c>
      <c r="G1738" s="218">
        <v>0</v>
      </c>
      <c r="H1738" s="218">
        <v>1179794.140638605</v>
      </c>
      <c r="I1738" s="218">
        <v>20916.722117680001</v>
      </c>
      <c r="J1738" s="218">
        <v>2666741.5993748549</v>
      </c>
      <c r="K1738" s="218">
        <v>-9407.5939181199992</v>
      </c>
      <c r="L1738" s="218">
        <v>4996741.6492924998</v>
      </c>
      <c r="M1738" s="218">
        <v>2145571.0544750001</v>
      </c>
      <c r="N1738" s="86">
        <v>1782723.17532802</v>
      </c>
      <c r="O1738" s="218">
        <v>1807933.8381677801</v>
      </c>
      <c r="P1738" s="218">
        <v>-25210.662839760073</v>
      </c>
      <c r="Q1738" s="353">
        <v>0.9676285</v>
      </c>
      <c r="T1738" s="218">
        <v>6.4378413937956793</v>
      </c>
      <c r="U1738" s="88" t="s">
        <v>3501</v>
      </c>
    </row>
    <row r="1739" spans="1:21">
      <c r="H1739" s="218"/>
    </row>
    <row r="1740" spans="1:21" ht="13.5" thickBot="1">
      <c r="A1740" s="216" t="s">
        <v>1947</v>
      </c>
      <c r="B1740" s="311">
        <v>143384013.00147548</v>
      </c>
      <c r="C1740" s="311">
        <v>103236.48936106234</v>
      </c>
      <c r="D1740" s="311">
        <v>25077704.107981373</v>
      </c>
      <c r="E1740" s="311">
        <v>0</v>
      </c>
      <c r="F1740" s="311">
        <v>0</v>
      </c>
      <c r="G1740" s="311">
        <v>0</v>
      </c>
      <c r="H1740" s="311">
        <v>25077704.107981373</v>
      </c>
      <c r="I1740" s="311">
        <v>171886.18901062125</v>
      </c>
      <c r="J1740" s="311">
        <v>33205927.09882623</v>
      </c>
      <c r="K1740" s="311">
        <v>-115743.198048936</v>
      </c>
      <c r="L1740" s="311">
        <v>60649901.939734399</v>
      </c>
      <c r="M1740" s="311">
        <v>26042701.108946301</v>
      </c>
      <c r="N1740" s="311">
        <v>1940345.0838982724</v>
      </c>
      <c r="O1740" s="311">
        <v>2046864.6710053391</v>
      </c>
      <c r="P1740" s="311">
        <v>-106519.58710706665</v>
      </c>
      <c r="Q1740" s="305"/>
      <c r="T1740" s="311">
        <v>431547.95972223306</v>
      </c>
    </row>
    <row r="1741" spans="1:21" ht="13.5" thickTop="1"/>
    <row r="1743" spans="1:21">
      <c r="A1743" s="216" t="s">
        <v>2581</v>
      </c>
    </row>
    <row r="1745" spans="1:16">
      <c r="A1745" s="216" t="s">
        <v>2279</v>
      </c>
      <c r="B1745" s="218">
        <v>9830315.2899999991</v>
      </c>
      <c r="C1745" s="218">
        <v>7077.8270087999999</v>
      </c>
      <c r="D1745" s="218">
        <v>1374097.95</v>
      </c>
      <c r="E1745" s="218">
        <v>-23259.56</v>
      </c>
      <c r="F1745" s="218">
        <v>153851.15</v>
      </c>
      <c r="G1745" s="218">
        <v>0</v>
      </c>
      <c r="H1745" s="218">
        <v>1504689.54</v>
      </c>
      <c r="I1745" s="218">
        <v>48014.93</v>
      </c>
      <c r="J1745" s="218">
        <v>2881390.4099999997</v>
      </c>
      <c r="K1745" s="218">
        <v>-9722.32</v>
      </c>
      <c r="L1745" s="218">
        <v>5394986</v>
      </c>
      <c r="M1745" s="218">
        <v>2316585</v>
      </c>
      <c r="N1745" s="218">
        <v>2320663.9551128019</v>
      </c>
      <c r="O1745" s="218">
        <v>1925107.77</v>
      </c>
      <c r="P1745" s="218">
        <v>395556.18511280214</v>
      </c>
    </row>
    <row r="1746" spans="1:16">
      <c r="A1746" s="216" t="s">
        <v>3712</v>
      </c>
      <c r="B1746" s="218">
        <v>152128464.67000002</v>
      </c>
      <c r="C1746" s="218">
        <v>109532.4945624</v>
      </c>
      <c r="D1746" s="218">
        <v>27869479.696910944</v>
      </c>
      <c r="E1746" s="218">
        <v>-254817.91025700004</v>
      </c>
      <c r="F1746" s="218">
        <v>2161434.1433850001</v>
      </c>
      <c r="G1746" s="218">
        <v>238879.10251505903</v>
      </c>
      <c r="H1746" s="218">
        <v>30014975.032554001</v>
      </c>
      <c r="I1746" s="218">
        <v>508000.49515540298</v>
      </c>
      <c r="J1746" s="218">
        <v>35788208.861315385</v>
      </c>
      <c r="K1746" s="218">
        <v>-119708.45000000001</v>
      </c>
      <c r="L1746" s="218">
        <v>65437690.229596071</v>
      </c>
      <c r="M1746" s="218">
        <v>28098665.685485825</v>
      </c>
      <c r="N1746" s="218">
        <v>7813903.7462981548</v>
      </c>
      <c r="O1746" s="218">
        <v>2145315.1100000003</v>
      </c>
      <c r="P1746" s="218">
        <v>5668588.6362981535</v>
      </c>
    </row>
    <row r="1747" spans="1:16">
      <c r="B1747" s="84"/>
    </row>
    <row r="1748" spans="1:16">
      <c r="A1748" s="216" t="s">
        <v>2328</v>
      </c>
      <c r="B1748" s="218">
        <v>9830315.2899999991</v>
      </c>
      <c r="C1748" s="218">
        <v>7077.8270087999999</v>
      </c>
      <c r="D1748" s="218">
        <v>1329125.466649849</v>
      </c>
      <c r="E1748" s="218">
        <v>-22432.873370392001</v>
      </c>
      <c r="F1748" s="218">
        <v>148383.00319692999</v>
      </c>
      <c r="G1748" s="218">
        <v>0</v>
      </c>
      <c r="H1748" s="218">
        <v>1455075.596476387</v>
      </c>
      <c r="I1748" s="218">
        <v>46376.92368747</v>
      </c>
      <c r="J1748" s="218">
        <v>2787717.8157277708</v>
      </c>
      <c r="K1748" s="218">
        <v>-9407.5939181199992</v>
      </c>
      <c r="L1748" s="218">
        <v>5219609.6146066999</v>
      </c>
      <c r="M1748" s="218">
        <v>2241279.0639520003</v>
      </c>
      <c r="N1748" s="218">
        <v>1925114.2078413938</v>
      </c>
      <c r="O1748" s="218">
        <v>1925107.77</v>
      </c>
      <c r="P1748" s="218">
        <v>6.4378413937956793</v>
      </c>
    </row>
    <row r="1749" spans="1:16">
      <c r="A1749" s="216" t="s">
        <v>2329</v>
      </c>
      <c r="B1749" s="218">
        <v>152128464.67000002</v>
      </c>
      <c r="C1749" s="218">
        <v>109532.4945624</v>
      </c>
      <c r="D1749" s="218">
        <v>26938470.675418675</v>
      </c>
      <c r="E1749" s="218">
        <v>-245715.0397526655</v>
      </c>
      <c r="F1749" s="218">
        <v>2084190.8664786932</v>
      </c>
      <c r="G1749" s="218">
        <v>230331.05271066018</v>
      </c>
      <c r="H1749" s="218">
        <v>29007277.554855362</v>
      </c>
      <c r="I1749" s="218">
        <v>490327.35567677685</v>
      </c>
      <c r="J1749" s="218">
        <v>34597399.009460621</v>
      </c>
      <c r="K1749" s="218">
        <v>-115743.198048936</v>
      </c>
      <c r="L1749" s="218">
        <v>63262949.282743208</v>
      </c>
      <c r="M1749" s="218">
        <v>27164840.890910104</v>
      </c>
      <c r="N1749" s="218">
        <v>2576863.0697222333</v>
      </c>
      <c r="O1749" s="218">
        <v>2145315.1100000003</v>
      </c>
      <c r="P1749" s="218">
        <v>431547.95972223312</v>
      </c>
    </row>
    <row r="1750" spans="1:16">
      <c r="E1750" s="84"/>
    </row>
    <row r="1751" spans="1:16">
      <c r="E1751" s="84"/>
    </row>
    <row r="1752" spans="1:16">
      <c r="A1752" s="216" t="s">
        <v>2329</v>
      </c>
      <c r="B1752" s="218">
        <v>152128464.67000002</v>
      </c>
      <c r="C1752" s="218">
        <v>109532.4945624</v>
      </c>
      <c r="D1752" s="86">
        <v>26956025.068294261</v>
      </c>
      <c r="E1752" s="86">
        <v>-245715.0397526655</v>
      </c>
      <c r="F1752" s="86">
        <v>2084190.8664786932</v>
      </c>
      <c r="G1752" s="86">
        <v>230331.05271066018</v>
      </c>
      <c r="H1752" s="86">
        <v>29024831.947730947</v>
      </c>
      <c r="I1752" s="86">
        <v>490447.67600908421</v>
      </c>
      <c r="J1752" s="86">
        <v>34620643.158429801</v>
      </c>
      <c r="K1752" s="86">
        <v>-115824.21828757024</v>
      </c>
      <c r="L1752" s="86">
        <v>63305404.214101017</v>
      </c>
      <c r="M1752" s="86">
        <v>27183070.781686366</v>
      </c>
      <c r="N1752" s="218">
        <v>2489641.3842320144</v>
      </c>
      <c r="O1752" s="218">
        <v>2145315.1100000003</v>
      </c>
      <c r="P1752" s="218">
        <v>431547.95972223312</v>
      </c>
    </row>
    <row r="1753" spans="1:16">
      <c r="A1753" s="216" t="s">
        <v>2330</v>
      </c>
      <c r="B1753" s="218">
        <v>9830315.2899999991</v>
      </c>
      <c r="C1753" s="218">
        <v>7077.8270087999999</v>
      </c>
      <c r="D1753" s="86">
        <v>1329951.3225482958</v>
      </c>
      <c r="E1753" s="359">
        <v>-17433.254477754752</v>
      </c>
      <c r="F1753" s="86">
        <v>148383.00319692999</v>
      </c>
      <c r="G1753" s="86">
        <v>0</v>
      </c>
      <c r="H1753" s="86">
        <v>1455901.4523748339</v>
      </c>
      <c r="I1753" s="86">
        <v>46391.565392952383</v>
      </c>
      <c r="J1753" s="86">
        <v>2789584.5348473331</v>
      </c>
      <c r="K1753" s="86">
        <v>-9414.1792338626819</v>
      </c>
      <c r="L1753" s="86">
        <v>5223107.333761204</v>
      </c>
      <c r="M1753" s="86">
        <v>2242780.9636901328</v>
      </c>
      <c r="N1753" s="218">
        <v>2489641.3842320144</v>
      </c>
      <c r="O1753" s="218">
        <v>1925107.77</v>
      </c>
      <c r="P1753" s="218">
        <v>6.4378413937956793</v>
      </c>
    </row>
    <row r="1754" spans="1:16">
      <c r="E1754" s="248">
        <v>-22432.873370392001</v>
      </c>
    </row>
    <row r="1755" spans="1:16">
      <c r="B1755" s="215">
        <v>10305806.02</v>
      </c>
      <c r="C1755" s="215">
        <v>162805.8138909</v>
      </c>
      <c r="D1755" s="215">
        <v>2390722.0382789001</v>
      </c>
      <c r="E1755" s="215">
        <v>-358823.26678480097</v>
      </c>
      <c r="F1755" s="215">
        <v>1221066.38438382</v>
      </c>
      <c r="G1755" s="215">
        <v>0</v>
      </c>
      <c r="H1755" s="215">
        <v>3252965.1558779199</v>
      </c>
      <c r="I1755" s="215">
        <v>448800.161187294</v>
      </c>
      <c r="J1755" s="215">
        <v>2375688.6339569301</v>
      </c>
      <c r="K1755" s="215">
        <v>-3812841.98273456</v>
      </c>
      <c r="L1755" s="215">
        <v>4260326.0205088602</v>
      </c>
      <c r="M1755" s="215">
        <v>1488532.09140809</v>
      </c>
      <c r="N1755" s="215">
        <v>-2129530.1259045699</v>
      </c>
      <c r="O1755" s="215">
        <v>-2129544.14</v>
      </c>
      <c r="P1755" s="215">
        <v>14.014095434628</v>
      </c>
    </row>
    <row r="1756" spans="1:16">
      <c r="B1756" s="215">
        <v>693749.32</v>
      </c>
      <c r="C1756" s="215">
        <v>10905.7393104</v>
      </c>
      <c r="D1756" s="215">
        <v>355194.596860105</v>
      </c>
      <c r="E1756" s="215">
        <v>-20964.8236254978</v>
      </c>
      <c r="F1756" s="215">
        <v>272897.57276103902</v>
      </c>
      <c r="G1756" s="215">
        <v>0</v>
      </c>
      <c r="H1756" s="215">
        <v>606646.21475257701</v>
      </c>
      <c r="I1756" s="215">
        <v>37292.031414261903</v>
      </c>
      <c r="J1756" s="215">
        <v>198406.10165089401</v>
      </c>
      <c r="K1756" s="215">
        <v>-27053.679971318601</v>
      </c>
      <c r="L1756" s="215">
        <v>349120.70007607102</v>
      </c>
      <c r="M1756" s="215">
        <v>121980.656723548</v>
      </c>
      <c r="N1756" s="215">
        <v>-2129530.1259045699</v>
      </c>
      <c r="O1756" s="215">
        <v>603547.51</v>
      </c>
      <c r="P1756" s="215">
        <v>0.93395643454277899</v>
      </c>
    </row>
    <row r="1758" spans="1:16">
      <c r="B1758" s="215">
        <v>141822658.65000001</v>
      </c>
      <c r="C1758" s="215">
        <v>-53273.319328500002</v>
      </c>
      <c r="D1758" s="215">
        <v>24565303.030015361</v>
      </c>
      <c r="E1758" s="215">
        <v>113108.22703213547</v>
      </c>
      <c r="F1758" s="215">
        <v>863124.48209487321</v>
      </c>
      <c r="G1758" s="215">
        <v>230331.05271066018</v>
      </c>
      <c r="H1758" s="215">
        <v>25771866.791853026</v>
      </c>
      <c r="I1758" s="215">
        <v>41647.514821790217</v>
      </c>
      <c r="J1758" s="215">
        <v>32244954.52447287</v>
      </c>
      <c r="K1758" s="215">
        <v>3697017.7644469896</v>
      </c>
      <c r="L1758" s="215">
        <v>59045078.193592153</v>
      </c>
      <c r="M1758" s="215">
        <v>25694538.690278277</v>
      </c>
      <c r="N1758" s="215">
        <v>4619171.5101365838</v>
      </c>
      <c r="O1758" s="215">
        <v>4274859.25</v>
      </c>
      <c r="P1758" s="215">
        <v>431533.94562679849</v>
      </c>
    </row>
    <row r="1759" spans="1:16">
      <c r="B1759" s="215">
        <v>9136565.9699999988</v>
      </c>
      <c r="C1759" s="215">
        <v>-3827.9123016000003</v>
      </c>
      <c r="D1759" s="215">
        <v>974756.7256881909</v>
      </c>
      <c r="E1759" s="215">
        <v>3531.5691477430482</v>
      </c>
      <c r="F1759" s="215">
        <v>-124514.56956410903</v>
      </c>
      <c r="G1759" s="215">
        <v>0</v>
      </c>
      <c r="H1759" s="215">
        <v>849255.23762225686</v>
      </c>
      <c r="I1759" s="215">
        <v>9099.5339786904806</v>
      </c>
      <c r="J1759" s="215">
        <v>2591178.4331964389</v>
      </c>
      <c r="K1759" s="215">
        <v>17639.500737455921</v>
      </c>
      <c r="L1759" s="215">
        <v>4873986.6336851334</v>
      </c>
      <c r="M1759" s="215">
        <v>2120800.3069665846</v>
      </c>
      <c r="N1759" s="215">
        <v>4619171.5101365838</v>
      </c>
      <c r="O1759" s="215">
        <v>1321560.26</v>
      </c>
      <c r="P1759" s="215">
        <v>5.5038849592529004</v>
      </c>
    </row>
    <row r="1763" spans="1:9">
      <c r="B1763" s="293" t="s">
        <v>2666</v>
      </c>
      <c r="C1763" s="293" t="s">
        <v>2331</v>
      </c>
      <c r="D1763" s="293" t="s">
        <v>2332</v>
      </c>
      <c r="E1763" s="293" t="s">
        <v>2333</v>
      </c>
      <c r="F1763" s="293" t="s">
        <v>2334</v>
      </c>
      <c r="G1763" s="293" t="s">
        <v>1617</v>
      </c>
      <c r="H1763" s="293" t="s">
        <v>2669</v>
      </c>
      <c r="I1763" s="293" t="s">
        <v>2335</v>
      </c>
    </row>
    <row r="1765" spans="1:9">
      <c r="A1765" s="218" t="s">
        <v>1910</v>
      </c>
      <c r="B1765" s="218">
        <v>10061161.570000004</v>
      </c>
      <c r="C1765" s="218">
        <v>1150042.8600000001</v>
      </c>
      <c r="D1765" s="218">
        <v>7244.0363304000039</v>
      </c>
      <c r="E1765" s="218">
        <v>1429562.4933912759</v>
      </c>
      <c r="F1765" s="248">
        <v>41430.495659087588</v>
      </c>
      <c r="G1765" s="218">
        <v>2284200.5170000009</v>
      </c>
      <c r="H1765" s="218">
        <v>-9806.1587607493966</v>
      </c>
      <c r="I1765" s="218">
        <v>7458573.0463799899</v>
      </c>
    </row>
    <row r="1766" spans="1:9">
      <c r="A1766" s="218" t="s">
        <v>588</v>
      </c>
      <c r="B1766" s="218">
        <v>13552448.990000004</v>
      </c>
      <c r="C1766" s="218">
        <v>-1299713.75</v>
      </c>
      <c r="D1766" s="218">
        <v>9757.7632728000044</v>
      </c>
      <c r="E1766" s="218">
        <v>2491671.3352943482</v>
      </c>
      <c r="F1766" s="218">
        <v>41430.511200934023</v>
      </c>
      <c r="G1766" s="218">
        <v>2287971.7670000005</v>
      </c>
      <c r="H1766" s="218">
        <v>-9806.1700194391724</v>
      </c>
      <c r="I1766" s="218">
        <v>7431710.0332513591</v>
      </c>
    </row>
    <row r="1767" spans="1:9">
      <c r="A1767" s="218" t="s">
        <v>598</v>
      </c>
      <c r="B1767" s="218">
        <v>15291428.18</v>
      </c>
      <c r="C1767" s="218">
        <v>-3558123.81</v>
      </c>
      <c r="D1767" s="218">
        <v>11009.828289600002</v>
      </c>
      <c r="E1767" s="218">
        <v>1909122.1948057085</v>
      </c>
      <c r="F1767" s="218">
        <v>41430.49851877219</v>
      </c>
      <c r="G1767" s="218">
        <v>2310571.2810000009</v>
      </c>
      <c r="H1767" s="218">
        <v>-10221.593043309982</v>
      </c>
      <c r="I1767" s="218">
        <v>7471392.1604292272</v>
      </c>
    </row>
    <row r="1768" spans="1:9">
      <c r="A1768" s="218" t="s">
        <v>609</v>
      </c>
      <c r="B1768" s="218">
        <v>16564826.57</v>
      </c>
      <c r="C1768" s="218">
        <v>-3870532.54</v>
      </c>
      <c r="D1768" s="218">
        <v>11926.675130400003</v>
      </c>
      <c r="E1768" s="218">
        <v>2894782.8902017064</v>
      </c>
      <c r="F1768" s="218">
        <v>41430.514249876374</v>
      </c>
      <c r="G1768" s="218">
        <v>2313237.8117</v>
      </c>
      <c r="H1768" s="218">
        <v>-10221.60492187614</v>
      </c>
      <c r="I1768" s="218">
        <v>7443137.7436398948</v>
      </c>
    </row>
    <row r="1769" spans="1:9">
      <c r="A1769" s="218" t="s">
        <v>618</v>
      </c>
      <c r="B1769" s="218">
        <v>15734008.410000002</v>
      </c>
      <c r="C1769" s="218">
        <v>1515821.18</v>
      </c>
      <c r="D1769" s="218">
        <v>11328.486055200003</v>
      </c>
      <c r="E1769" s="218">
        <v>3390224.2407649374</v>
      </c>
      <c r="F1769" s="218">
        <v>41430.48764402188</v>
      </c>
      <c r="G1769" s="218">
        <v>6538759.2889999971</v>
      </c>
      <c r="H1769" s="218">
        <v>-10221.584831779528</v>
      </c>
      <c r="I1769" s="218">
        <v>7278308.6713676266</v>
      </c>
    </row>
    <row r="1770" spans="1:9">
      <c r="A1770" s="218" t="s">
        <v>629</v>
      </c>
      <c r="B1770" s="218">
        <v>14593736.089999996</v>
      </c>
      <c r="C1770" s="218">
        <v>-1486823.27</v>
      </c>
      <c r="D1770" s="218">
        <v>10507.489984799997</v>
      </c>
      <c r="E1770" s="218">
        <v>2910666.2908712872</v>
      </c>
      <c r="F1770" s="218">
        <v>41430.502642698564</v>
      </c>
      <c r="G1770" s="218">
        <v>2852419.1956153838</v>
      </c>
      <c r="H1770" s="218">
        <v>-10221.596157289248</v>
      </c>
      <c r="I1770" s="218">
        <v>7302110.9370431174</v>
      </c>
    </row>
    <row r="1771" spans="1:9">
      <c r="A1771" s="218" t="s">
        <v>639</v>
      </c>
      <c r="B1771" s="218">
        <v>11028043.159999996</v>
      </c>
      <c r="C1771" s="218">
        <v>1442975.61</v>
      </c>
      <c r="D1771" s="218">
        <v>7940.1910751999976</v>
      </c>
      <c r="E1771" s="218">
        <v>2244080.5527599347</v>
      </c>
      <c r="F1771" s="218">
        <v>41430.492388713668</v>
      </c>
      <c r="G1771" s="218">
        <v>2850344.8219230762</v>
      </c>
      <c r="H1771" s="218">
        <v>-10221.588414499132</v>
      </c>
      <c r="I1771" s="218">
        <v>7337444.3002675707</v>
      </c>
    </row>
    <row r="1772" spans="1:9">
      <c r="A1772" s="218" t="s">
        <v>649</v>
      </c>
      <c r="B1772" s="218">
        <v>9800475.3300000001</v>
      </c>
      <c r="C1772" s="218">
        <v>3122538.09</v>
      </c>
      <c r="D1772" s="218">
        <v>7056.3422376000008</v>
      </c>
      <c r="E1772" s="218">
        <v>2633952.2387705012</v>
      </c>
      <c r="F1772" s="218">
        <v>41430.448384394214</v>
      </c>
      <c r="G1772" s="218">
        <v>2858915.0915384619</v>
      </c>
      <c r="H1772" s="218">
        <v>-10221.555186811247</v>
      </c>
      <c r="I1772" s="218">
        <v>7391880.8542558532</v>
      </c>
    </row>
    <row r="1773" spans="1:9">
      <c r="A1773" s="218" t="s">
        <v>658</v>
      </c>
      <c r="B1773" s="218">
        <v>13081550.720000001</v>
      </c>
      <c r="C1773" s="218">
        <v>1824034.9</v>
      </c>
      <c r="D1773" s="218">
        <v>9418.7165184000005</v>
      </c>
      <c r="E1773" s="218">
        <v>4837702.5938768089</v>
      </c>
      <c r="F1773" s="218">
        <v>41430.406359710825</v>
      </c>
      <c r="G1773" s="218">
        <v>2853959.9795384603</v>
      </c>
      <c r="H1773" s="218">
        <v>-10221.51344046441</v>
      </c>
      <c r="I1773" s="218">
        <v>7173295.4371470846</v>
      </c>
    </row>
    <row r="1774" spans="1:9">
      <c r="A1774" s="218" t="s">
        <v>1557</v>
      </c>
      <c r="B1774" s="218">
        <v>12012225.629999999</v>
      </c>
      <c r="C1774" s="218">
        <v>-158920.32000000001</v>
      </c>
      <c r="D1774" s="218">
        <v>8648.8024535999994</v>
      </c>
      <c r="E1774" s="218">
        <v>1615154.0776279662</v>
      </c>
      <c r="F1774" s="218">
        <v>39278.352875928933</v>
      </c>
      <c r="G1774" s="218">
        <v>2875345.8269999996</v>
      </c>
      <c r="H1774" s="218">
        <v>-9485.7825656027635</v>
      </c>
      <c r="I1774" s="218">
        <v>7324364.0326081067</v>
      </c>
    </row>
    <row r="1775" spans="1:9">
      <c r="A1775" s="218" t="s">
        <v>679</v>
      </c>
      <c r="B1775" s="218">
        <v>10578244.73</v>
      </c>
      <c r="C1775" s="218">
        <v>1561648.43</v>
      </c>
      <c r="D1775" s="218">
        <v>7616.3362056000014</v>
      </c>
      <c r="E1775" s="218">
        <v>2225819.3040503729</v>
      </c>
      <c r="F1775" s="218">
        <v>48044.212484914751</v>
      </c>
      <c r="G1775" s="218">
        <v>2881092.87</v>
      </c>
      <c r="H1775" s="218">
        <v>-9485.8525039621218</v>
      </c>
      <c r="I1775" s="218">
        <v>6986806.2897630744</v>
      </c>
    </row>
    <row r="1776" spans="1:9">
      <c r="A1776" s="218" t="s">
        <v>1557</v>
      </c>
      <c r="B1776" s="218">
        <v>9830315.2899999991</v>
      </c>
      <c r="C1776" s="218">
        <v>1930544.51</v>
      </c>
      <c r="D1776" s="218">
        <v>7077.8270087999999</v>
      </c>
      <c r="E1776" s="218">
        <v>1510518.514524309</v>
      </c>
      <c r="F1776" s="218">
        <v>48044.213410964752</v>
      </c>
      <c r="G1776" s="218">
        <v>2881390.4099999997</v>
      </c>
      <c r="H1776" s="218">
        <v>-9735.490631485367</v>
      </c>
      <c r="I1776" s="218">
        <v>7323564.3256874103</v>
      </c>
    </row>
    <row r="1778" spans="1:12" ht="13.5" thickBot="1">
      <c r="A1778" s="216" t="s">
        <v>1947</v>
      </c>
      <c r="B1778" s="311">
        <v>152128464.66999999</v>
      </c>
      <c r="C1778" s="311">
        <v>2173491.8899999997</v>
      </c>
      <c r="D1778" s="311">
        <v>109532.49456240002</v>
      </c>
      <c r="E1778" s="311">
        <v>30093256.726939157</v>
      </c>
      <c r="F1778" s="311">
        <v>508241.13582001778</v>
      </c>
      <c r="G1778" s="311">
        <v>35788208.861315385</v>
      </c>
      <c r="H1778" s="311">
        <v>-119870.49047726851</v>
      </c>
      <c r="I1778" s="311">
        <v>87922587.831840321</v>
      </c>
    </row>
    <row r="1779" spans="1:12" ht="13.5" thickTop="1"/>
    <row r="1780" spans="1:12">
      <c r="B1780" s="93" t="s">
        <v>2336</v>
      </c>
      <c r="G1780" s="93" t="s">
        <v>2337</v>
      </c>
    </row>
    <row r="1781" spans="1:12">
      <c r="B1781" s="306" t="s">
        <v>2308</v>
      </c>
      <c r="C1781" s="306" t="s">
        <v>2309</v>
      </c>
      <c r="D1781" s="306" t="s">
        <v>2310</v>
      </c>
      <c r="E1781" s="306" t="s">
        <v>1487</v>
      </c>
      <c r="F1781" s="306" t="s">
        <v>2581</v>
      </c>
      <c r="G1781" s="306" t="s">
        <v>2308</v>
      </c>
      <c r="H1781" s="306" t="s">
        <v>2309</v>
      </c>
      <c r="I1781" s="306" t="s">
        <v>2310</v>
      </c>
      <c r="J1781" s="306" t="s">
        <v>1487</v>
      </c>
      <c r="K1781" s="306" t="s">
        <v>2581</v>
      </c>
      <c r="L1781" s="293" t="s">
        <v>2334</v>
      </c>
    </row>
    <row r="1782" spans="1:12">
      <c r="A1782" s="218" t="s">
        <v>1910</v>
      </c>
      <c r="B1782" s="218">
        <v>1286983.948006138</v>
      </c>
      <c r="C1782" s="218">
        <v>-15892.70973894083</v>
      </c>
      <c r="D1782" s="218">
        <v>129216.21632800001</v>
      </c>
      <c r="E1782" s="218">
        <v>29255.038796078883</v>
      </c>
      <c r="F1782" s="218">
        <v>1429562.4933912759</v>
      </c>
      <c r="G1782" s="218">
        <v>1286243.8609509214</v>
      </c>
      <c r="H1782" s="218">
        <v>-21017.236580000001</v>
      </c>
      <c r="I1782" s="218">
        <v>129216.21632800001</v>
      </c>
      <c r="J1782" s="218">
        <v>29255.038796078883</v>
      </c>
      <c r="K1782" s="218">
        <v>1423697.8794950002</v>
      </c>
      <c r="L1782" s="248">
        <v>41412.17904800699</v>
      </c>
    </row>
    <row r="1783" spans="1:12">
      <c r="A1783" s="218" t="s">
        <v>588</v>
      </c>
      <c r="B1783" s="218">
        <v>2090451.1302248538</v>
      </c>
      <c r="C1783" s="218">
        <v>-15943.287092341743</v>
      </c>
      <c r="D1783" s="218">
        <v>389276.002041</v>
      </c>
      <c r="E1783" s="218">
        <v>27887.490120835908</v>
      </c>
      <c r="F1783" s="218">
        <v>2491671.3352943482</v>
      </c>
      <c r="G1783" s="218">
        <v>2089072.583123164</v>
      </c>
      <c r="H1783" s="218">
        <v>-21066.465308999999</v>
      </c>
      <c r="I1783" s="218">
        <v>389276.002041</v>
      </c>
      <c r="J1783" s="218">
        <v>27887.490120835908</v>
      </c>
      <c r="K1783" s="218">
        <v>2485169.6099760002</v>
      </c>
      <c r="L1783" s="248">
        <v>41412.17904800699</v>
      </c>
    </row>
    <row r="1784" spans="1:12">
      <c r="A1784" s="218" t="s">
        <v>598</v>
      </c>
      <c r="B1784" s="218">
        <v>1807547.6420311979</v>
      </c>
      <c r="C1784" s="218">
        <v>-19457.584915153297</v>
      </c>
      <c r="D1784" s="218">
        <v>102597.38296099998</v>
      </c>
      <c r="E1784" s="218">
        <v>18434.754728663764</v>
      </c>
      <c r="F1784" s="218">
        <v>1909122.1948057085</v>
      </c>
      <c r="G1784" s="218">
        <v>1806338.5887423363</v>
      </c>
      <c r="H1784" s="218">
        <v>-24577.299611000002</v>
      </c>
      <c r="I1784" s="218">
        <v>102597.38296099998</v>
      </c>
      <c r="J1784" s="218">
        <v>18434.754728663764</v>
      </c>
      <c r="K1784" s="218">
        <v>1902793.4268209999</v>
      </c>
      <c r="L1784" s="248">
        <v>41412.17904800699</v>
      </c>
    </row>
    <row r="1785" spans="1:12">
      <c r="A1785" s="218" t="s">
        <v>609</v>
      </c>
      <c r="B1785" s="218">
        <v>2767165.443811411</v>
      </c>
      <c r="C1785" s="218">
        <v>-17391.342928295686</v>
      </c>
      <c r="D1785" s="218">
        <v>127684.752636</v>
      </c>
      <c r="E1785" s="218">
        <v>17324.036682590977</v>
      </c>
      <c r="F1785" s="218">
        <v>2894782.8902017064</v>
      </c>
      <c r="G1785" s="218">
        <v>2765337.2804974085</v>
      </c>
      <c r="H1785" s="218">
        <v>-22512.128678000001</v>
      </c>
      <c r="I1785" s="218">
        <v>127684.752636</v>
      </c>
      <c r="J1785" s="218">
        <v>17324.036682590977</v>
      </c>
      <c r="K1785" s="218">
        <v>2887833.9411379993</v>
      </c>
      <c r="L1785" s="248">
        <v>41412.17904800699</v>
      </c>
    </row>
    <row r="1786" spans="1:12">
      <c r="A1786" s="218" t="s">
        <v>618</v>
      </c>
      <c r="B1786" s="218">
        <v>3260709.0339031843</v>
      </c>
      <c r="C1786" s="218">
        <v>-19226.175192414445</v>
      </c>
      <c r="D1786" s="218">
        <v>125823.12020800001</v>
      </c>
      <c r="E1786" s="218">
        <v>22918.261846167356</v>
      </c>
      <c r="F1786" s="218">
        <v>3390224.2407649374</v>
      </c>
      <c r="G1786" s="218">
        <v>3258618.6401368324</v>
      </c>
      <c r="H1786" s="218">
        <v>-24313.873889000002</v>
      </c>
      <c r="I1786" s="218">
        <v>125823.12020800001</v>
      </c>
      <c r="J1786" s="218">
        <v>22918.261846167356</v>
      </c>
      <c r="K1786" s="218">
        <v>3383046.1483019996</v>
      </c>
      <c r="L1786" s="248">
        <v>41412.17904800699</v>
      </c>
    </row>
    <row r="1787" spans="1:12">
      <c r="A1787" s="218" t="s">
        <v>629</v>
      </c>
      <c r="B1787" s="218">
        <v>2784833.9135611532</v>
      </c>
      <c r="C1787" s="218">
        <v>-14957.065663423087</v>
      </c>
      <c r="D1787" s="218">
        <v>122355.96077500001</v>
      </c>
      <c r="E1787" s="218">
        <v>18433.482198556983</v>
      </c>
      <c r="F1787" s="218">
        <v>2910666.2908712872</v>
      </c>
      <c r="G1787" s="218">
        <v>2782983.3176094429</v>
      </c>
      <c r="H1787" s="218">
        <v>-20015.661733000001</v>
      </c>
      <c r="I1787" s="218">
        <v>122355.96077500001</v>
      </c>
      <c r="J1787" s="218">
        <v>18433.482198556983</v>
      </c>
      <c r="K1787" s="218">
        <v>2903757.0988499997</v>
      </c>
      <c r="L1787" s="248">
        <v>41412.17904800699</v>
      </c>
    </row>
    <row r="1788" spans="1:12">
      <c r="A1788" s="218" t="s">
        <v>639</v>
      </c>
      <c r="B1788" s="218">
        <v>2065990.4680013494</v>
      </c>
      <c r="C1788" s="218">
        <v>-18042.925999903022</v>
      </c>
      <c r="D1788" s="218">
        <v>155176.35146600002</v>
      </c>
      <c r="E1788" s="218">
        <v>40956.659292488563</v>
      </c>
      <c r="F1788" s="86">
        <v>2244080.5527599347</v>
      </c>
      <c r="G1788" s="218">
        <v>2064648.6302485114</v>
      </c>
      <c r="H1788" s="218">
        <v>-23085.010763999999</v>
      </c>
      <c r="I1788" s="218">
        <v>155176.35146600002</v>
      </c>
      <c r="J1788" s="218">
        <v>40956.659292488563</v>
      </c>
      <c r="K1788" s="218">
        <v>2237696.6302429996</v>
      </c>
      <c r="L1788" s="248">
        <v>41412.17904800699</v>
      </c>
    </row>
    <row r="1789" spans="1:12">
      <c r="A1789" s="218" t="s">
        <v>649</v>
      </c>
      <c r="B1789" s="218">
        <v>2427031.8124824162</v>
      </c>
      <c r="C1789" s="218">
        <v>-15117.625432545788</v>
      </c>
      <c r="D1789" s="218">
        <v>194907.50910699999</v>
      </c>
      <c r="E1789" s="218">
        <v>27130.542613630852</v>
      </c>
      <c r="F1789" s="218">
        <v>2633952.2387705012</v>
      </c>
      <c r="G1789" s="218">
        <v>2425495.8427593689</v>
      </c>
      <c r="H1789" s="218">
        <v>-20134.832992</v>
      </c>
      <c r="I1789" s="218">
        <v>194907.50910699999</v>
      </c>
      <c r="J1789" s="218">
        <v>27130.542613630852</v>
      </c>
      <c r="K1789" s="218">
        <v>2627399.0614879997</v>
      </c>
      <c r="L1789" s="248">
        <v>41412.17904800699</v>
      </c>
    </row>
    <row r="1790" spans="1:12">
      <c r="A1790" s="218" t="s">
        <v>658</v>
      </c>
      <c r="B1790" s="218">
        <v>4414723.8476077085</v>
      </c>
      <c r="C1790" s="218">
        <v>-8954.127829945639</v>
      </c>
      <c r="D1790" s="218">
        <v>395394.03786300001</v>
      </c>
      <c r="E1790" s="218">
        <v>36538.836236045761</v>
      </c>
      <c r="F1790" s="218">
        <v>4837702.5938768089</v>
      </c>
      <c r="G1790" s="218">
        <v>4412207.5028429544</v>
      </c>
      <c r="H1790" s="218">
        <v>-13959.990700999999</v>
      </c>
      <c r="I1790" s="218">
        <v>395394.03786300001</v>
      </c>
      <c r="J1790" s="218">
        <v>36538.836236045761</v>
      </c>
      <c r="K1790" s="218">
        <v>4830180.3862410001</v>
      </c>
      <c r="L1790" s="248">
        <v>41412.17904800699</v>
      </c>
    </row>
    <row r="1791" spans="1:12">
      <c r="A1791" s="218" t="s">
        <v>1557</v>
      </c>
      <c r="B1791" s="218">
        <v>1510754.9641123645</v>
      </c>
      <c r="C1791" s="218">
        <v>-13995.616484398157</v>
      </c>
      <c r="D1791" s="218">
        <v>118394.73</v>
      </c>
      <c r="E1791" s="218">
        <v>0</v>
      </c>
      <c r="F1791" s="218">
        <v>1615154.0776279662</v>
      </c>
      <c r="G1791" s="218">
        <v>1509878.6500000001</v>
      </c>
      <c r="H1791" s="218">
        <v>-19001.7</v>
      </c>
      <c r="I1791" s="218">
        <v>118394.73</v>
      </c>
      <c r="J1791" s="218">
        <v>0</v>
      </c>
      <c r="K1791" s="218">
        <v>1609271.6800000002</v>
      </c>
      <c r="L1791" s="248">
        <v>39261.023723339989</v>
      </c>
    </row>
    <row r="1792" spans="1:12">
      <c r="A1792" s="218" t="s">
        <v>679</v>
      </c>
      <c r="B1792" s="86">
        <v>2095918.0801463029</v>
      </c>
      <c r="C1792" s="86">
        <v>-16855.706095930072</v>
      </c>
      <c r="D1792" s="86">
        <v>146756.93</v>
      </c>
      <c r="E1792" s="86">
        <v>0</v>
      </c>
      <c r="F1792" s="86">
        <v>2225819.3040503729</v>
      </c>
      <c r="G1792" s="218">
        <v>2094556.85</v>
      </c>
      <c r="H1792" s="218">
        <v>-21874.15</v>
      </c>
      <c r="I1792" s="218">
        <v>146756.93</v>
      </c>
      <c r="J1792" s="218">
        <v>0</v>
      </c>
      <c r="K1792" s="218">
        <v>2219439.6300000004</v>
      </c>
      <c r="L1792" s="248">
        <v>48014.93</v>
      </c>
    </row>
    <row r="1793" spans="1:13">
      <c r="A1793" s="218" t="s">
        <v>1557</v>
      </c>
      <c r="B1793" s="86">
        <v>1374923.8058984471</v>
      </c>
      <c r="C1793" s="86">
        <v>-18256.441374137907</v>
      </c>
      <c r="D1793" s="86">
        <v>153851.15</v>
      </c>
      <c r="E1793" s="86">
        <v>0</v>
      </c>
      <c r="F1793" s="86">
        <v>1510518.514524309</v>
      </c>
      <c r="G1793" s="218">
        <v>1374097.95</v>
      </c>
      <c r="H1793" s="218">
        <v>-23259.56</v>
      </c>
      <c r="I1793" s="218">
        <v>153851.15</v>
      </c>
      <c r="J1793" s="218">
        <v>0</v>
      </c>
      <c r="K1793" s="218">
        <v>1504689.5399999998</v>
      </c>
      <c r="L1793" s="248">
        <v>48014.93</v>
      </c>
    </row>
    <row r="1794" spans="1:13" ht="13.5" thickBot="1">
      <c r="B1794" s="311">
        <v>27887034.089786526</v>
      </c>
      <c r="C1794" s="311">
        <v>-194090.60874742971</v>
      </c>
      <c r="D1794" s="311">
        <v>2161434.1433850001</v>
      </c>
      <c r="E1794" s="311">
        <v>238879.10251505903</v>
      </c>
      <c r="F1794" s="311">
        <v>30093256.726939157</v>
      </c>
      <c r="G1794" s="311">
        <v>27869479.696910936</v>
      </c>
      <c r="H1794" s="311">
        <v>-254817.91025700004</v>
      </c>
      <c r="I1794" s="311">
        <v>2161434.1433850001</v>
      </c>
      <c r="J1794" s="311">
        <v>238879.10251505903</v>
      </c>
      <c r="K1794" s="311">
        <v>30014975.032553997</v>
      </c>
      <c r="L1794" s="311">
        <v>508000.49515540298</v>
      </c>
      <c r="M1794" s="215">
        <v>240.64066461479524</v>
      </c>
    </row>
    <row r="1795" spans="1:13" ht="13.5" thickTop="1"/>
    <row r="1800" spans="1:13">
      <c r="A1800" s="216" t="s">
        <v>2338</v>
      </c>
    </row>
    <row r="1801" spans="1:13">
      <c r="A1801" s="216" t="s">
        <v>2253</v>
      </c>
    </row>
    <row r="1802" spans="1:13">
      <c r="A1802" s="216" t="s">
        <v>2254</v>
      </c>
    </row>
    <row r="1803" spans="1:13">
      <c r="A1803" s="218" t="s">
        <v>1557</v>
      </c>
    </row>
    <row r="1806" spans="1:13">
      <c r="E1806" s="224" t="s">
        <v>2256</v>
      </c>
    </row>
    <row r="1807" spans="1:13">
      <c r="C1807" s="224" t="s">
        <v>32</v>
      </c>
      <c r="E1807" s="224" t="s">
        <v>1580</v>
      </c>
    </row>
    <row r="1808" spans="1:13">
      <c r="C1808" s="224" t="s">
        <v>1617</v>
      </c>
      <c r="D1808" s="224" t="s">
        <v>2657</v>
      </c>
      <c r="E1808" s="224" t="s">
        <v>2257</v>
      </c>
      <c r="F1808" s="224" t="s">
        <v>2657</v>
      </c>
      <c r="G1808" s="224" t="s">
        <v>2657</v>
      </c>
      <c r="H1808" s="224" t="s">
        <v>2258</v>
      </c>
    </row>
    <row r="1809" spans="1:17">
      <c r="B1809" s="224" t="s">
        <v>2260</v>
      </c>
      <c r="C1809" s="224" t="s">
        <v>2261</v>
      </c>
      <c r="D1809" s="224" t="s">
        <v>2260</v>
      </c>
      <c r="E1809" s="224" t="s">
        <v>2262</v>
      </c>
      <c r="F1809" s="224" t="s">
        <v>42</v>
      </c>
      <c r="G1809" s="224" t="s">
        <v>2263</v>
      </c>
      <c r="H1809" s="224" t="s">
        <v>2120</v>
      </c>
    </row>
    <row r="1811" spans="1:17">
      <c r="A1811" s="218" t="s">
        <v>1899</v>
      </c>
      <c r="B1811" s="84">
        <v>10374899.709999997</v>
      </c>
      <c r="C1811" s="84">
        <v>-522819.51272699999</v>
      </c>
      <c r="D1811" s="86">
        <v>10897719.222726997</v>
      </c>
      <c r="E1811" s="84">
        <v>130901.7</v>
      </c>
      <c r="F1811" s="86">
        <v>11028620.922726996</v>
      </c>
      <c r="G1811" s="84">
        <v>2054030.23</v>
      </c>
      <c r="H1811" s="218">
        <v>13082651.152726997</v>
      </c>
      <c r="K1811" s="344"/>
    </row>
    <row r="1812" spans="1:17">
      <c r="A1812" s="218" t="s">
        <v>1910</v>
      </c>
      <c r="B1812" s="84">
        <v>10379730.049999999</v>
      </c>
      <c r="C1812" s="84">
        <v>-643185.93272699986</v>
      </c>
      <c r="D1812" s="86">
        <v>11022915.982726999</v>
      </c>
      <c r="E1812" s="84">
        <v>2.7625901566352695E-11</v>
      </c>
      <c r="F1812" s="86">
        <v>11022915.982726999</v>
      </c>
      <c r="G1812" s="84">
        <v>2045010.95</v>
      </c>
      <c r="H1812" s="218">
        <v>13067926.932726998</v>
      </c>
      <c r="K1812" s="344"/>
      <c r="L1812" s="84"/>
      <c r="M1812" s="84"/>
      <c r="N1812" s="84"/>
      <c r="O1812" s="84"/>
    </row>
    <row r="1813" spans="1:17">
      <c r="A1813" s="218" t="s">
        <v>588</v>
      </c>
      <c r="B1813" s="84">
        <v>10456909.119999999</v>
      </c>
      <c r="C1813" s="84">
        <v>-618663.66272699984</v>
      </c>
      <c r="D1813" s="86">
        <v>11075572.782726999</v>
      </c>
      <c r="E1813" s="84">
        <v>2.7625901566352695E-11</v>
      </c>
      <c r="F1813" s="86">
        <v>11075572.782726999</v>
      </c>
      <c r="G1813" s="84">
        <v>2029884.13</v>
      </c>
      <c r="H1813" s="218">
        <v>13105456.912726998</v>
      </c>
      <c r="K1813" s="344"/>
      <c r="L1813" s="84"/>
      <c r="M1813" s="84"/>
      <c r="N1813" s="84"/>
      <c r="O1813" s="84"/>
    </row>
    <row r="1814" spans="1:17">
      <c r="A1814" s="218" t="s">
        <v>598</v>
      </c>
      <c r="B1814" s="84">
        <v>10489926.520000001</v>
      </c>
      <c r="C1814" s="84">
        <v>-700931.11272699991</v>
      </c>
      <c r="D1814" s="86">
        <v>11190857.632727001</v>
      </c>
      <c r="E1814" s="84">
        <v>2.7625901566352695E-11</v>
      </c>
      <c r="F1814" s="218">
        <v>11190857.632727001</v>
      </c>
      <c r="G1814" s="84">
        <v>1923094.26</v>
      </c>
      <c r="H1814" s="218">
        <v>13113951.892727001</v>
      </c>
      <c r="K1814" s="344"/>
      <c r="L1814" s="84"/>
      <c r="M1814" s="84"/>
      <c r="N1814" s="84"/>
      <c r="O1814" s="84"/>
    </row>
    <row r="1815" spans="1:17">
      <c r="A1815" s="218" t="s">
        <v>609</v>
      </c>
      <c r="B1815" s="84">
        <v>10636918.449999999</v>
      </c>
      <c r="C1815" s="84">
        <v>-637010.81272699998</v>
      </c>
      <c r="D1815" s="86">
        <v>11273929.262727</v>
      </c>
      <c r="E1815" s="84">
        <v>2.7625901566352695E-11</v>
      </c>
      <c r="F1815" s="218">
        <v>11273929.262727</v>
      </c>
      <c r="G1815" s="84">
        <v>1844110.34</v>
      </c>
      <c r="H1815" s="218">
        <v>13118039.602727</v>
      </c>
      <c r="K1815" s="344"/>
      <c r="L1815" s="84"/>
      <c r="M1815" s="84"/>
      <c r="N1815" s="84"/>
      <c r="O1815" s="84"/>
    </row>
    <row r="1816" spans="1:17">
      <c r="A1816" s="218" t="s">
        <v>618</v>
      </c>
      <c r="B1816" s="84">
        <v>10443849.399999999</v>
      </c>
      <c r="C1816" s="84">
        <v>-762781.73272699991</v>
      </c>
      <c r="D1816" s="86">
        <v>11206631.132726999</v>
      </c>
      <c r="E1816" s="84">
        <v>2.7625901566352695E-11</v>
      </c>
      <c r="F1816" s="218">
        <v>11206631.132726999</v>
      </c>
      <c r="G1816" s="84">
        <v>1825435.8</v>
      </c>
      <c r="H1816" s="218">
        <v>13032066.932727</v>
      </c>
      <c r="K1816" s="344"/>
      <c r="L1816" s="84"/>
      <c r="M1816" s="84"/>
      <c r="N1816" s="84"/>
      <c r="O1816" s="84"/>
    </row>
    <row r="1817" spans="1:17">
      <c r="A1817" s="218" t="s">
        <v>629</v>
      </c>
      <c r="B1817" s="84">
        <v>10523425.019999998</v>
      </c>
      <c r="C1817" s="84">
        <v>-836036.28272699995</v>
      </c>
      <c r="D1817" s="218">
        <v>11359461.302726997</v>
      </c>
      <c r="E1817" s="84">
        <v>2.7625901566352695E-11</v>
      </c>
      <c r="F1817" s="218">
        <v>11359461.302726997</v>
      </c>
      <c r="G1817" s="84">
        <v>1805049.31</v>
      </c>
      <c r="H1817" s="218">
        <v>13164510.612726998</v>
      </c>
      <c r="K1817" s="271"/>
      <c r="L1817" s="84"/>
      <c r="M1817" s="84"/>
      <c r="N1817" s="84"/>
      <c r="O1817" s="84"/>
    </row>
    <row r="1818" spans="1:17">
      <c r="A1818" s="218" t="s">
        <v>639</v>
      </c>
      <c r="B1818" s="84">
        <v>10391930.669999998</v>
      </c>
      <c r="C1818" s="84">
        <v>-889157.96272700001</v>
      </c>
      <c r="D1818" s="218">
        <v>11281088.632726997</v>
      </c>
      <c r="E1818" s="84">
        <v>2.7625901566352695E-11</v>
      </c>
      <c r="F1818" s="218">
        <v>11281088.632726997</v>
      </c>
      <c r="G1818" s="84">
        <v>1861043.31</v>
      </c>
      <c r="H1818" s="218">
        <v>13142131.942726998</v>
      </c>
      <c r="K1818" s="344"/>
      <c r="L1818" s="84"/>
      <c r="M1818" s="84"/>
      <c r="N1818" s="84"/>
      <c r="O1818" s="84"/>
      <c r="Q1818" s="84"/>
    </row>
    <row r="1819" spans="1:17">
      <c r="A1819" s="218" t="s">
        <v>649</v>
      </c>
      <c r="B1819" s="84">
        <v>10286147.489999998</v>
      </c>
      <c r="C1819" s="84">
        <v>-926743.20272699976</v>
      </c>
      <c r="D1819" s="218">
        <v>11212890.692726998</v>
      </c>
      <c r="E1819" s="84">
        <v>2.7625901566352695E-11</v>
      </c>
      <c r="F1819" s="218">
        <v>11212890.692726998</v>
      </c>
      <c r="G1819" s="84">
        <v>2209196.33</v>
      </c>
      <c r="H1819" s="218">
        <v>13422087.022726998</v>
      </c>
      <c r="K1819" s="344"/>
      <c r="L1819" s="84"/>
      <c r="M1819" s="84"/>
      <c r="N1819" s="84"/>
      <c r="O1819" s="84"/>
      <c r="Q1819" s="84"/>
    </row>
    <row r="1820" spans="1:17">
      <c r="A1820" s="218" t="s">
        <v>679</v>
      </c>
      <c r="B1820" s="84">
        <v>10204604.439999998</v>
      </c>
      <c r="C1820" s="84">
        <v>-986177.98272699991</v>
      </c>
      <c r="D1820" s="218">
        <v>11190782.422726998</v>
      </c>
      <c r="E1820" s="84">
        <v>2.7625901566352695E-11</v>
      </c>
      <c r="F1820" s="218">
        <v>11190782.422726998</v>
      </c>
      <c r="G1820" s="84">
        <v>2188645.2999999998</v>
      </c>
      <c r="H1820" s="218">
        <v>13379427.722726997</v>
      </c>
      <c r="K1820" s="344"/>
      <c r="L1820" s="84"/>
      <c r="M1820" s="84"/>
      <c r="N1820" s="84"/>
      <c r="O1820" s="84"/>
      <c r="P1820" s="84"/>
    </row>
    <row r="1821" spans="1:17">
      <c r="A1821" s="218" t="s">
        <v>1557</v>
      </c>
      <c r="B1821" s="84">
        <v>10137169.089999998</v>
      </c>
      <c r="C1821" s="84">
        <v>-1041509.1427269998</v>
      </c>
      <c r="D1821" s="218">
        <v>11178678.232726999</v>
      </c>
      <c r="E1821" s="84">
        <v>2.7625901566352695E-11</v>
      </c>
      <c r="F1821" s="218">
        <v>11178678.232726999</v>
      </c>
      <c r="G1821" s="84">
        <v>2218012.86</v>
      </c>
      <c r="H1821" s="218">
        <v>13396691.092726998</v>
      </c>
      <c r="K1821" s="271"/>
      <c r="N1821" s="84"/>
      <c r="O1821" s="84"/>
      <c r="P1821" s="84"/>
    </row>
    <row r="1822" spans="1:17">
      <c r="A1822" s="218" t="s">
        <v>679</v>
      </c>
      <c r="B1822" s="84">
        <v>10095138.819999998</v>
      </c>
      <c r="C1822" s="84">
        <v>-1121666.3427269999</v>
      </c>
      <c r="D1822" s="218">
        <v>11216805.162726998</v>
      </c>
      <c r="E1822" s="84">
        <v>2.7625901566352695E-11</v>
      </c>
      <c r="F1822" s="218">
        <v>11216805.162726998</v>
      </c>
      <c r="G1822" s="84">
        <v>2305579.9900000002</v>
      </c>
      <c r="H1822" s="218">
        <v>13522385.152726999</v>
      </c>
      <c r="K1822" s="344"/>
      <c r="L1822" s="84"/>
      <c r="M1822" s="84"/>
      <c r="N1822" s="84"/>
      <c r="O1822" s="84"/>
    </row>
    <row r="1823" spans="1:17">
      <c r="A1823" s="218" t="s">
        <v>1557</v>
      </c>
      <c r="B1823" s="84">
        <v>10113231.799999999</v>
      </c>
      <c r="C1823" s="84">
        <v>-1117787.5027269998</v>
      </c>
      <c r="D1823" s="218">
        <v>11231019.302726999</v>
      </c>
      <c r="E1823" s="84">
        <v>2.7625901566352695E-11</v>
      </c>
      <c r="F1823" s="218">
        <v>11231019.302726999</v>
      </c>
      <c r="G1823" s="84">
        <v>2170860.0099999998</v>
      </c>
      <c r="H1823" s="218">
        <v>13401879.312726999</v>
      </c>
      <c r="K1823" s="344"/>
      <c r="L1823" s="84"/>
      <c r="M1823" s="84"/>
      <c r="N1823" s="84"/>
      <c r="O1823" s="84"/>
    </row>
    <row r="1824" spans="1:17">
      <c r="B1824" s="231"/>
      <c r="C1824" s="231"/>
      <c r="D1824" s="231"/>
      <c r="E1824" s="231"/>
      <c r="F1824" s="231"/>
      <c r="G1824" s="231"/>
      <c r="H1824" s="231"/>
    </row>
    <row r="1825" spans="1:24">
      <c r="A1825" s="216" t="s">
        <v>2268</v>
      </c>
      <c r="B1825" s="218">
        <v>134533880.57999998</v>
      </c>
      <c r="C1825" s="218">
        <v>-10804471.185450999</v>
      </c>
      <c r="D1825" s="218">
        <v>145338351.76545095</v>
      </c>
      <c r="E1825" s="218">
        <v>130901.70000000035</v>
      </c>
      <c r="F1825" s="218">
        <v>145469253.465451</v>
      </c>
      <c r="G1825" s="218">
        <v>26479952.82</v>
      </c>
      <c r="H1825" s="218">
        <v>171949206.28545099</v>
      </c>
    </row>
    <row r="1826" spans="1:24" ht="13.5" thickBot="1">
      <c r="A1826" s="216" t="s">
        <v>2271</v>
      </c>
      <c r="B1826" s="294">
        <v>10348760.044615384</v>
      </c>
      <c r="C1826" s="294">
        <v>-831113.16811161535</v>
      </c>
      <c r="D1826" s="294">
        <v>11179873.212726997</v>
      </c>
      <c r="E1826" s="294">
        <v>10069.361538461566</v>
      </c>
      <c r="F1826" s="294">
        <v>11189942.574265461</v>
      </c>
      <c r="G1826" s="294">
        <v>2036919.4476923076</v>
      </c>
      <c r="H1826" s="294">
        <v>13226862.021957768</v>
      </c>
    </row>
    <row r="1827" spans="1:24" ht="13.5" thickTop="1">
      <c r="C1827" s="85"/>
    </row>
    <row r="1828" spans="1:24">
      <c r="A1828" s="216" t="s">
        <v>2338</v>
      </c>
    </row>
    <row r="1829" spans="1:24">
      <c r="A1829" s="216" t="s">
        <v>2281</v>
      </c>
      <c r="P1829" s="360">
        <v>6.5050000000000004E-3</v>
      </c>
      <c r="Q1829" s="360">
        <v>2.2460000000000002E-3</v>
      </c>
    </row>
    <row r="1830" spans="1:24">
      <c r="A1830" s="216" t="s">
        <v>2282</v>
      </c>
      <c r="C1830" s="84"/>
      <c r="P1830" s="254" t="s">
        <v>2339</v>
      </c>
      <c r="Q1830" s="254" t="s">
        <v>2288</v>
      </c>
    </row>
    <row r="1832" spans="1:24">
      <c r="A1832" s="218" t="s">
        <v>1557</v>
      </c>
      <c r="P1832" s="224" t="s">
        <v>2283</v>
      </c>
      <c r="Q1832" s="224" t="s">
        <v>2284</v>
      </c>
    </row>
    <row r="1833" spans="1:24">
      <c r="P1833" s="360">
        <v>6.5995833333333332E-3</v>
      </c>
      <c r="Q1833" s="360">
        <v>2.3059166666666666E-3</v>
      </c>
    </row>
    <row r="1834" spans="1:24">
      <c r="T1834" s="88" t="s">
        <v>2075</v>
      </c>
      <c r="U1834" s="224" t="s">
        <v>2340</v>
      </c>
    </row>
    <row r="1835" spans="1:24">
      <c r="B1835" s="224" t="s">
        <v>2340</v>
      </c>
      <c r="D1835" s="224" t="s">
        <v>2666</v>
      </c>
      <c r="Q1835" s="224" t="s">
        <v>2291</v>
      </c>
      <c r="R1835" s="224" t="s">
        <v>2341</v>
      </c>
      <c r="S1835" s="224" t="s">
        <v>2291</v>
      </c>
      <c r="T1835" s="224" t="s">
        <v>2342</v>
      </c>
      <c r="U1835" s="224" t="s">
        <v>2293</v>
      </c>
    </row>
    <row r="1836" spans="1:24">
      <c r="B1836" s="224" t="s">
        <v>1984</v>
      </c>
      <c r="C1836" s="224" t="s">
        <v>2297</v>
      </c>
      <c r="D1836" s="224" t="s">
        <v>1491</v>
      </c>
      <c r="E1836" s="224" t="s">
        <v>2298</v>
      </c>
      <c r="F1836" s="224" t="s">
        <v>2299</v>
      </c>
      <c r="G1836" s="224" t="s">
        <v>2300</v>
      </c>
      <c r="H1836" s="224" t="s">
        <v>2343</v>
      </c>
      <c r="I1836" s="224" t="s">
        <v>2301</v>
      </c>
      <c r="J1836" s="224" t="s">
        <v>2581</v>
      </c>
      <c r="K1836" s="224" t="s">
        <v>2344</v>
      </c>
      <c r="O1836" s="224" t="s">
        <v>2658</v>
      </c>
      <c r="P1836" s="224" t="s">
        <v>2302</v>
      </c>
      <c r="Q1836" s="224" t="s">
        <v>2675</v>
      </c>
      <c r="R1836" s="224" t="s">
        <v>2345</v>
      </c>
      <c r="S1836" s="224" t="s">
        <v>2303</v>
      </c>
      <c r="T1836" s="224" t="s">
        <v>2304</v>
      </c>
      <c r="U1836" s="224" t="s">
        <v>2305</v>
      </c>
      <c r="W1836" s="84"/>
    </row>
    <row r="1837" spans="1:24">
      <c r="B1837" s="224" t="s">
        <v>2666</v>
      </c>
      <c r="C1837" s="224" t="s">
        <v>1098</v>
      </c>
      <c r="D1837" s="224" t="s">
        <v>1098</v>
      </c>
      <c r="E1837" s="224" t="s">
        <v>2308</v>
      </c>
      <c r="F1837" s="224" t="s">
        <v>2309</v>
      </c>
      <c r="G1837" s="224" t="s">
        <v>2310</v>
      </c>
      <c r="H1837" s="224" t="s">
        <v>2346</v>
      </c>
      <c r="I1837" s="224" t="s">
        <v>1487</v>
      </c>
      <c r="J1837" s="224" t="s">
        <v>1492</v>
      </c>
      <c r="K1837" s="224" t="s">
        <v>1098</v>
      </c>
      <c r="L1837" s="224" t="s">
        <v>2311</v>
      </c>
      <c r="M1837" s="224" t="s">
        <v>2312</v>
      </c>
      <c r="N1837" s="224" t="s">
        <v>2313</v>
      </c>
      <c r="O1837" s="224" t="s">
        <v>1365</v>
      </c>
      <c r="P1837" s="224" t="s">
        <v>1474</v>
      </c>
      <c r="Q1837" s="224" t="s">
        <v>1098</v>
      </c>
      <c r="R1837" s="224" t="s">
        <v>3696</v>
      </c>
      <c r="S1837" s="224" t="s">
        <v>2314</v>
      </c>
      <c r="T1837" s="224" t="s">
        <v>1996</v>
      </c>
      <c r="U1837" s="224" t="s">
        <v>2666</v>
      </c>
      <c r="W1837" s="84"/>
    </row>
    <row r="1838" spans="1:24">
      <c r="W1838" s="84"/>
      <c r="X1838" s="84"/>
    </row>
    <row r="1839" spans="1:24">
      <c r="B1839" s="84"/>
      <c r="C1839" s="84"/>
      <c r="E1839" s="84"/>
      <c r="F1839" s="84"/>
      <c r="G1839" s="84"/>
      <c r="V1839" s="84"/>
      <c r="W1839" s="84"/>
      <c r="X1839" s="84"/>
    </row>
    <row r="1840" spans="1:24">
      <c r="A1840" s="218" t="s">
        <v>1910</v>
      </c>
      <c r="B1840" s="84">
        <v>799032.38</v>
      </c>
      <c r="C1840" s="86">
        <v>575.30331360000002</v>
      </c>
      <c r="D1840" s="86">
        <v>798457.07668639999</v>
      </c>
      <c r="E1840" s="84">
        <v>0</v>
      </c>
      <c r="F1840" s="84">
        <v>0</v>
      </c>
      <c r="G1840" s="84">
        <v>0</v>
      </c>
      <c r="H1840" s="84">
        <v>641302.54</v>
      </c>
      <c r="I1840" s="84">
        <v>68273.91</v>
      </c>
      <c r="J1840" s="345">
        <v>709576.45000000007</v>
      </c>
      <c r="K1840" s="84">
        <v>16435.88</v>
      </c>
      <c r="L1840" s="84">
        <v>9306.7099999999991</v>
      </c>
      <c r="M1840" s="84">
        <v>24812.18</v>
      </c>
      <c r="N1840" s="84">
        <v>0</v>
      </c>
      <c r="O1840" s="86">
        <v>760131.22000000009</v>
      </c>
      <c r="P1840" s="86">
        <v>86296</v>
      </c>
      <c r="Q1840" s="86">
        <v>37058.637969348994</v>
      </c>
      <c r="R1840" s="86">
        <v>883485.85796934913</v>
      </c>
      <c r="S1840" s="86">
        <v>-85028.781282949145</v>
      </c>
      <c r="T1840" s="84">
        <v>84986.5</v>
      </c>
      <c r="U1840" s="218">
        <v>-42.281282949144952</v>
      </c>
      <c r="V1840" s="84"/>
      <c r="W1840" s="84"/>
      <c r="X1840" s="84"/>
    </row>
    <row r="1841" spans="1:24">
      <c r="A1841" s="218" t="s">
        <v>588</v>
      </c>
      <c r="B1841" s="84">
        <v>1065883.05</v>
      </c>
      <c r="C1841" s="86">
        <v>767.4357960000001</v>
      </c>
      <c r="D1841" s="86">
        <v>1065115.614204</v>
      </c>
      <c r="E1841" s="84">
        <v>0</v>
      </c>
      <c r="F1841" s="84">
        <v>0</v>
      </c>
      <c r="G1841" s="84">
        <v>0</v>
      </c>
      <c r="H1841" s="84">
        <v>627412.04</v>
      </c>
      <c r="I1841" s="84">
        <v>32628.98</v>
      </c>
      <c r="J1841" s="345">
        <v>660041.02</v>
      </c>
      <c r="K1841" s="84">
        <v>15520.62</v>
      </c>
      <c r="L1841" s="84">
        <v>9306.7099999999991</v>
      </c>
      <c r="M1841" s="84">
        <v>24522.28</v>
      </c>
      <c r="N1841" s="84">
        <v>0</v>
      </c>
      <c r="O1841" s="86">
        <v>709390.63</v>
      </c>
      <c r="P1841" s="86">
        <v>86371</v>
      </c>
      <c r="Q1841" s="86">
        <v>37090.95658198899</v>
      </c>
      <c r="R1841" s="86">
        <v>832852.58658198896</v>
      </c>
      <c r="S1841" s="86">
        <v>232263.02762201102</v>
      </c>
      <c r="T1841" s="84">
        <v>-232307.21</v>
      </c>
      <c r="U1841" s="218">
        <v>-44.182377988967346</v>
      </c>
      <c r="V1841" s="84"/>
      <c r="W1841" s="84"/>
      <c r="X1841" s="84"/>
    </row>
    <row r="1842" spans="1:24">
      <c r="A1842" s="218" t="s">
        <v>598</v>
      </c>
      <c r="B1842" s="84">
        <v>1215247.07</v>
      </c>
      <c r="C1842" s="218">
        <v>874.97789040000009</v>
      </c>
      <c r="D1842" s="218">
        <v>1214372.0921096001</v>
      </c>
      <c r="E1842" s="84">
        <v>0</v>
      </c>
      <c r="F1842" s="84">
        <v>0</v>
      </c>
      <c r="G1842" s="84">
        <v>0</v>
      </c>
      <c r="H1842" s="84">
        <v>621041.74</v>
      </c>
      <c r="I1842" s="84">
        <v>86619.14</v>
      </c>
      <c r="J1842" s="271">
        <v>707660.88</v>
      </c>
      <c r="K1842" s="84">
        <v>15965.1</v>
      </c>
      <c r="L1842" s="84">
        <v>9306.7099999999991</v>
      </c>
      <c r="M1842" s="84">
        <v>24699.78</v>
      </c>
      <c r="N1842" s="84">
        <v>0</v>
      </c>
      <c r="O1842" s="218">
        <v>757632.47</v>
      </c>
      <c r="P1842" s="218">
        <v>86523</v>
      </c>
      <c r="Q1842" s="218">
        <v>37156.179703428999</v>
      </c>
      <c r="R1842" s="218">
        <v>881311.64970342896</v>
      </c>
      <c r="S1842" s="218">
        <v>333060.44240617112</v>
      </c>
      <c r="T1842" s="84">
        <v>-333113.88</v>
      </c>
      <c r="U1842" s="218">
        <v>-53.437593828886747</v>
      </c>
      <c r="V1842" s="84"/>
      <c r="W1842" s="361"/>
      <c r="X1842" s="84"/>
    </row>
    <row r="1843" spans="1:24">
      <c r="A1843" s="218" t="s">
        <v>609</v>
      </c>
      <c r="B1843" s="84">
        <v>1311341.8700000001</v>
      </c>
      <c r="C1843" s="218">
        <v>944.16614640000012</v>
      </c>
      <c r="D1843" s="218">
        <v>1310397.7038536002</v>
      </c>
      <c r="E1843" s="84">
        <v>0</v>
      </c>
      <c r="F1843" s="84">
        <v>0</v>
      </c>
      <c r="G1843" s="84">
        <v>0</v>
      </c>
      <c r="H1843" s="84">
        <v>605350.43000000005</v>
      </c>
      <c r="I1843" s="84">
        <v>62755.96</v>
      </c>
      <c r="J1843" s="271">
        <v>668106.39</v>
      </c>
      <c r="K1843" s="84">
        <v>15107.52</v>
      </c>
      <c r="L1843" s="84">
        <v>9306.7099999999991</v>
      </c>
      <c r="M1843" s="84">
        <v>24775.72</v>
      </c>
      <c r="N1843" s="84">
        <v>0</v>
      </c>
      <c r="O1843" s="218">
        <v>717296.34</v>
      </c>
      <c r="P1843" s="218">
        <v>86564</v>
      </c>
      <c r="Q1843" s="218">
        <v>37174</v>
      </c>
      <c r="R1843" s="218">
        <v>841034.34</v>
      </c>
      <c r="S1843" s="218">
        <v>469363.36385360023</v>
      </c>
      <c r="T1843" s="84">
        <v>-469417.43</v>
      </c>
      <c r="U1843" s="218">
        <v>-54.066146399767604</v>
      </c>
      <c r="V1843" s="84"/>
      <c r="W1843" s="84"/>
      <c r="X1843" s="84"/>
    </row>
    <row r="1844" spans="1:24">
      <c r="A1844" s="218" t="s">
        <v>618</v>
      </c>
      <c r="B1844" s="84">
        <v>1252834.77</v>
      </c>
      <c r="C1844" s="218">
        <v>902.04103440000006</v>
      </c>
      <c r="D1844" s="218">
        <v>1251932.7289656</v>
      </c>
      <c r="E1844" s="84">
        <v>0</v>
      </c>
      <c r="F1844" s="84">
        <v>0</v>
      </c>
      <c r="G1844" s="84">
        <v>0</v>
      </c>
      <c r="H1844" s="84">
        <v>584524.61</v>
      </c>
      <c r="I1844" s="84">
        <v>60544.52</v>
      </c>
      <c r="J1844" s="271">
        <v>645069.13</v>
      </c>
      <c r="K1844" s="84">
        <v>14575.15</v>
      </c>
      <c r="L1844" s="84">
        <v>9306.7099999999991</v>
      </c>
      <c r="M1844" s="84">
        <v>25113.8</v>
      </c>
      <c r="N1844" s="84">
        <v>0</v>
      </c>
      <c r="O1844" s="218">
        <v>694064.79</v>
      </c>
      <c r="P1844" s="218">
        <v>86294</v>
      </c>
      <c r="Q1844" s="218">
        <v>37058</v>
      </c>
      <c r="R1844" s="218">
        <v>817416.79</v>
      </c>
      <c r="S1844" s="218">
        <v>434515.93896559998</v>
      </c>
      <c r="T1844" s="84">
        <v>-434572.68</v>
      </c>
      <c r="U1844" s="218">
        <v>-56.741034400009084</v>
      </c>
      <c r="V1844" s="84"/>
      <c r="W1844" s="84"/>
      <c r="X1844" s="361"/>
    </row>
    <row r="1845" spans="1:24">
      <c r="A1845" s="218" t="s">
        <v>629</v>
      </c>
      <c r="B1845" s="84">
        <v>1162726.19</v>
      </c>
      <c r="C1845" s="218">
        <v>837.16285679999999</v>
      </c>
      <c r="D1845" s="218">
        <v>1161889.0271431999</v>
      </c>
      <c r="E1845" s="84">
        <v>0</v>
      </c>
      <c r="F1845" s="84">
        <v>0</v>
      </c>
      <c r="G1845" s="84">
        <v>0</v>
      </c>
      <c r="H1845" s="84">
        <v>579263.35</v>
      </c>
      <c r="I1845" s="84">
        <v>60749.75</v>
      </c>
      <c r="J1845" s="271">
        <v>640013.1</v>
      </c>
      <c r="K1845" s="84">
        <v>14624.56</v>
      </c>
      <c r="L1845" s="84">
        <v>9306.7099999999991</v>
      </c>
      <c r="M1845" s="84">
        <v>24669.74</v>
      </c>
      <c r="N1845" s="84">
        <v>0</v>
      </c>
      <c r="O1845" s="218">
        <v>688614.11</v>
      </c>
      <c r="P1845" s="218">
        <v>86448</v>
      </c>
      <c r="Q1845" s="218">
        <v>37124</v>
      </c>
      <c r="R1845" s="218">
        <v>812186.11</v>
      </c>
      <c r="S1845" s="218">
        <v>349702.91714319994</v>
      </c>
      <c r="T1845" s="84">
        <v>-349758.23</v>
      </c>
      <c r="U1845" s="218">
        <v>-55.312856800039299</v>
      </c>
      <c r="V1845" s="84"/>
      <c r="W1845" s="84"/>
      <c r="X1845" s="84"/>
    </row>
    <row r="1846" spans="1:24">
      <c r="A1846" s="218" t="s">
        <v>639</v>
      </c>
      <c r="B1846" s="84">
        <v>885009.52</v>
      </c>
      <c r="C1846" s="218">
        <v>637.2068544</v>
      </c>
      <c r="D1846" s="218">
        <v>884372.31314560003</v>
      </c>
      <c r="E1846" s="84">
        <v>0</v>
      </c>
      <c r="F1846" s="84">
        <v>0</v>
      </c>
      <c r="G1846" s="84">
        <v>0</v>
      </c>
      <c r="H1846" s="84">
        <v>637387.78</v>
      </c>
      <c r="I1846" s="84">
        <v>59478.64</v>
      </c>
      <c r="J1846" s="271">
        <v>696866.42</v>
      </c>
      <c r="K1846" s="84">
        <v>14318.56</v>
      </c>
      <c r="L1846" s="84">
        <v>9306.7099999999991</v>
      </c>
      <c r="M1846" s="84">
        <v>24852.77</v>
      </c>
      <c r="N1846" s="84">
        <v>0</v>
      </c>
      <c r="O1846" s="218">
        <v>745344.46000000008</v>
      </c>
      <c r="P1846" s="218">
        <v>86811</v>
      </c>
      <c r="Q1846" s="218">
        <v>37280</v>
      </c>
      <c r="R1846" s="218">
        <v>869435.46000000008</v>
      </c>
      <c r="S1846" s="218">
        <v>14936.853145599947</v>
      </c>
      <c r="T1846" s="84">
        <v>-14987.23</v>
      </c>
      <c r="U1846" s="218">
        <v>-50.376854400052252</v>
      </c>
      <c r="V1846" s="84"/>
      <c r="W1846" s="84"/>
      <c r="X1846" s="84"/>
    </row>
    <row r="1847" spans="1:24">
      <c r="A1847" s="218" t="s">
        <v>649</v>
      </c>
      <c r="B1847" s="84">
        <v>782454.67</v>
      </c>
      <c r="C1847" s="218">
        <v>563.36736240000005</v>
      </c>
      <c r="D1847" s="218">
        <v>781891.30263759999</v>
      </c>
      <c r="E1847" s="84">
        <v>0</v>
      </c>
      <c r="F1847" s="84">
        <v>0</v>
      </c>
      <c r="G1847" s="84">
        <v>0</v>
      </c>
      <c r="H1847" s="84">
        <v>716636.73</v>
      </c>
      <c r="I1847" s="84">
        <v>58576.52</v>
      </c>
      <c r="J1847" s="271">
        <v>775213.25</v>
      </c>
      <c r="K1847" s="84">
        <v>14101.39</v>
      </c>
      <c r="L1847" s="84">
        <v>9306.7099999999991</v>
      </c>
      <c r="M1847" s="84">
        <v>24550.33</v>
      </c>
      <c r="N1847" s="84">
        <v>0</v>
      </c>
      <c r="O1847" s="218">
        <v>823171.67999999993</v>
      </c>
      <c r="P1847" s="218">
        <v>87661</v>
      </c>
      <c r="Q1847" s="218">
        <v>37645</v>
      </c>
      <c r="R1847" s="218">
        <v>948477.67999999993</v>
      </c>
      <c r="S1847" s="218">
        <v>-166586.37736239994</v>
      </c>
      <c r="T1847" s="84">
        <v>166542.57999999999</v>
      </c>
      <c r="U1847" s="218">
        <v>-43.79736239995691</v>
      </c>
      <c r="V1847" s="84"/>
      <c r="W1847" s="84"/>
      <c r="X1847" s="84"/>
    </row>
    <row r="1848" spans="1:24">
      <c r="A1848" s="218" t="s">
        <v>658</v>
      </c>
      <c r="B1848" s="84">
        <v>926753.79</v>
      </c>
      <c r="C1848" s="218">
        <v>667.2627288000001</v>
      </c>
      <c r="D1848" s="218">
        <v>926086.52727120009</v>
      </c>
      <c r="E1848" s="84">
        <v>0</v>
      </c>
      <c r="F1848" s="84">
        <v>0</v>
      </c>
      <c r="G1848" s="84">
        <v>0</v>
      </c>
      <c r="H1848" s="84">
        <v>960238.39</v>
      </c>
      <c r="I1848" s="84">
        <v>61274.89</v>
      </c>
      <c r="J1848" s="271">
        <v>1021513.28</v>
      </c>
      <c r="K1848" s="84">
        <v>14750.98</v>
      </c>
      <c r="L1848" s="84">
        <v>9306.76</v>
      </c>
      <c r="M1848" s="84">
        <v>24307.03</v>
      </c>
      <c r="N1848" s="84">
        <v>0</v>
      </c>
      <c r="O1848" s="218">
        <v>1069878.05</v>
      </c>
      <c r="P1848" s="218">
        <v>88444</v>
      </c>
      <c r="Q1848" s="218">
        <v>37981</v>
      </c>
      <c r="R1848" s="218">
        <v>1196303.05</v>
      </c>
      <c r="S1848" s="218">
        <v>-270216.52272879996</v>
      </c>
      <c r="T1848" s="84">
        <v>270173.94</v>
      </c>
      <c r="U1848" s="218">
        <v>-42.582728799956385</v>
      </c>
      <c r="V1848" s="84"/>
      <c r="W1848" s="84"/>
      <c r="X1848" s="84"/>
    </row>
    <row r="1849" spans="1:24">
      <c r="A1849" s="218" t="s">
        <v>1557</v>
      </c>
      <c r="B1849" s="84">
        <v>750899.27</v>
      </c>
      <c r="C1849" s="218">
        <v>540.64747440000008</v>
      </c>
      <c r="D1849" s="218">
        <v>750358.62252560002</v>
      </c>
      <c r="E1849" s="84">
        <v>0</v>
      </c>
      <c r="F1849" s="84">
        <v>0</v>
      </c>
      <c r="G1849" s="84">
        <v>0</v>
      </c>
      <c r="H1849" s="84">
        <v>547105.51</v>
      </c>
      <c r="I1849" s="84">
        <v>68727.600000000006</v>
      </c>
      <c r="J1849" s="271">
        <v>615833.11</v>
      </c>
      <c r="K1849" s="84">
        <v>16545.099999999999</v>
      </c>
      <c r="L1849" s="84">
        <v>9778.9699999999993</v>
      </c>
      <c r="M1849" s="84">
        <v>24119.5</v>
      </c>
      <c r="N1849" s="84">
        <v>0</v>
      </c>
      <c r="O1849" s="218">
        <v>666276.67999999993</v>
      </c>
      <c r="P1849" s="218">
        <v>88360</v>
      </c>
      <c r="Q1849" s="218">
        <v>37945</v>
      </c>
      <c r="R1849" s="218">
        <v>792581.67999999993</v>
      </c>
      <c r="S1849" s="218">
        <v>-42223.057474399917</v>
      </c>
      <c r="T1849" s="84">
        <v>42178.9</v>
      </c>
      <c r="U1849" s="218">
        <v>-44.157474399915372</v>
      </c>
      <c r="V1849" s="84"/>
      <c r="W1849" s="84"/>
      <c r="X1849" s="84"/>
    </row>
    <row r="1850" spans="1:24">
      <c r="A1850" s="218" t="s">
        <v>679</v>
      </c>
      <c r="B1850" s="84">
        <v>663040.19999999995</v>
      </c>
      <c r="C1850" s="218">
        <v>477.38894399999998</v>
      </c>
      <c r="D1850" s="218">
        <v>662562.81105599995</v>
      </c>
      <c r="E1850" s="84">
        <v>0</v>
      </c>
      <c r="F1850" s="84">
        <v>0</v>
      </c>
      <c r="G1850" s="84">
        <v>0</v>
      </c>
      <c r="H1850" s="84">
        <v>674732.67</v>
      </c>
      <c r="I1850" s="84">
        <v>62401.2</v>
      </c>
      <c r="J1850" s="271">
        <v>737133.87</v>
      </c>
      <c r="K1850" s="84">
        <v>15885.42</v>
      </c>
      <c r="L1850" s="84">
        <v>9778.9699999999993</v>
      </c>
      <c r="M1850" s="84">
        <v>23964.400000000001</v>
      </c>
      <c r="N1850" s="84">
        <v>0</v>
      </c>
      <c r="O1850" s="218">
        <v>786762.66</v>
      </c>
      <c r="P1850" s="218">
        <v>88832</v>
      </c>
      <c r="Q1850" s="218">
        <v>38148</v>
      </c>
      <c r="R1850" s="218">
        <v>913742.66</v>
      </c>
      <c r="S1850" s="218">
        <v>-251179.84894400008</v>
      </c>
      <c r="T1850" s="84">
        <v>251136.53</v>
      </c>
      <c r="U1850" s="218">
        <v>-43.318944000086049</v>
      </c>
      <c r="V1850" s="84"/>
      <c r="W1850" s="84"/>
      <c r="X1850" s="84"/>
    </row>
    <row r="1851" spans="1:24">
      <c r="A1851" s="218" t="s">
        <v>1557</v>
      </c>
      <c r="B1851" s="84">
        <v>611757.71000000008</v>
      </c>
      <c r="C1851" s="218">
        <v>440.46555120000011</v>
      </c>
      <c r="D1851" s="218">
        <v>611317.24444880011</v>
      </c>
      <c r="E1851" s="84">
        <v>0</v>
      </c>
      <c r="F1851" s="84">
        <v>0</v>
      </c>
      <c r="G1851" s="84">
        <v>0</v>
      </c>
      <c r="H1851" s="84">
        <v>604779.49</v>
      </c>
      <c r="I1851" s="84">
        <v>48666.79</v>
      </c>
      <c r="J1851" s="271">
        <v>653446.28</v>
      </c>
      <c r="K1851" s="84">
        <v>14148.64</v>
      </c>
      <c r="L1851" s="84">
        <v>9778.9699999999993</v>
      </c>
      <c r="M1851" s="84">
        <v>23867.73</v>
      </c>
      <c r="N1851" s="84">
        <v>0</v>
      </c>
      <c r="O1851" s="218">
        <v>701241.62</v>
      </c>
      <c r="P1851" s="218">
        <v>88849</v>
      </c>
      <c r="Q1851" s="218">
        <v>38155</v>
      </c>
      <c r="R1851" s="218">
        <v>828245.62</v>
      </c>
      <c r="S1851" s="218">
        <v>-216928.37555119989</v>
      </c>
      <c r="T1851" s="84">
        <v>216887.98</v>
      </c>
      <c r="U1851" s="218">
        <v>-40.395551199879264</v>
      </c>
      <c r="V1851" s="362"/>
      <c r="W1851" s="84"/>
      <c r="X1851" s="84"/>
    </row>
    <row r="1852" spans="1:24">
      <c r="J1852" s="271"/>
      <c r="V1852" s="84"/>
      <c r="W1852" s="84"/>
      <c r="X1852" s="84"/>
    </row>
    <row r="1853" spans="1:24" ht="13.5" thickBot="1">
      <c r="A1853" s="216" t="s">
        <v>1947</v>
      </c>
      <c r="B1853" s="311">
        <v>11426980.489999998</v>
      </c>
      <c r="C1853" s="311">
        <v>8227.4259528000021</v>
      </c>
      <c r="D1853" s="311">
        <v>11418753.064047199</v>
      </c>
      <c r="E1853" s="311">
        <v>0</v>
      </c>
      <c r="F1853" s="311">
        <v>0</v>
      </c>
      <c r="G1853" s="311">
        <v>0</v>
      </c>
      <c r="H1853" s="311">
        <v>7799775.2800000003</v>
      </c>
      <c r="I1853" s="311">
        <v>730697.9</v>
      </c>
      <c r="J1853" s="363">
        <v>8530473.1800000016</v>
      </c>
      <c r="K1853" s="363">
        <v>181978.91999999998</v>
      </c>
      <c r="L1853" s="311">
        <v>113097.34999999999</v>
      </c>
      <c r="M1853" s="311">
        <v>294255.25999999995</v>
      </c>
      <c r="N1853" s="311">
        <v>0</v>
      </c>
      <c r="O1853" s="311">
        <v>9119804.709999999</v>
      </c>
      <c r="P1853" s="311">
        <v>1047453</v>
      </c>
      <c r="Q1853" s="311">
        <v>449815.77425476699</v>
      </c>
      <c r="R1853" s="311">
        <v>10617073.484254766</v>
      </c>
      <c r="S1853" s="311">
        <v>801679.57979243342</v>
      </c>
      <c r="T1853" s="311">
        <v>-802250.23</v>
      </c>
      <c r="U1853" s="311">
        <v>-570.65020756666127</v>
      </c>
      <c r="V1853" s="84"/>
      <c r="W1853" s="84"/>
      <c r="X1853" s="84"/>
    </row>
    <row r="1854" spans="1:24" ht="13.5" thickTop="1">
      <c r="B1854" s="84"/>
      <c r="T1854" s="84"/>
      <c r="V1854" s="84"/>
      <c r="W1854" s="84"/>
      <c r="X1854" s="84"/>
    </row>
    <row r="1855" spans="1:24">
      <c r="B1855" s="84"/>
      <c r="V1855" s="84"/>
      <c r="W1855" s="84"/>
      <c r="X1855" s="84"/>
    </row>
    <row r="1856" spans="1:24">
      <c r="H1856" s="84"/>
      <c r="I1856" s="84"/>
      <c r="V1856" s="84"/>
      <c r="W1856" s="84"/>
      <c r="X1856" s="84"/>
    </row>
    <row r="1857" spans="22:24">
      <c r="V1857" s="84"/>
      <c r="W1857" s="84"/>
      <c r="X1857" s="84"/>
    </row>
    <row r="1858" spans="22:24">
      <c r="V1858" s="84"/>
      <c r="W1858" s="84"/>
      <c r="X1858" s="84"/>
    </row>
    <row r="1859" spans="22:24">
      <c r="V1859" s="84"/>
      <c r="W1859" s="84"/>
      <c r="X1859" s="84"/>
    </row>
    <row r="1860" spans="22:24">
      <c r="V1860" s="84"/>
      <c r="W1860" s="84"/>
      <c r="X1860" s="84"/>
    </row>
    <row r="1861" spans="22:24">
      <c r="V1861" s="84"/>
      <c r="W1861" s="84"/>
      <c r="X1861" s="84"/>
    </row>
    <row r="1862" spans="22:24">
      <c r="V1862" s="84"/>
      <c r="W1862" s="84"/>
      <c r="X1862" s="84"/>
    </row>
    <row r="1863" spans="22:24">
      <c r="V1863" s="84"/>
      <c r="W1863" s="84"/>
      <c r="X1863" s="84"/>
    </row>
    <row r="1864" spans="22:24">
      <c r="V1864" s="84"/>
      <c r="W1864" s="84"/>
      <c r="X1864" s="84"/>
    </row>
    <row r="1865" spans="22:24">
      <c r="V1865" s="84"/>
      <c r="W1865" s="84"/>
      <c r="X1865" s="84"/>
    </row>
    <row r="1866" spans="22:24">
      <c r="V1866" s="84"/>
      <c r="W1866" s="84"/>
      <c r="X1866" s="84"/>
    </row>
    <row r="1867" spans="22:24">
      <c r="V1867" s="84"/>
      <c r="W1867" s="84"/>
      <c r="X1867" s="84"/>
    </row>
    <row r="1868" spans="22:24">
      <c r="V1868" s="84"/>
      <c r="X1868" s="84"/>
    </row>
    <row r="1869" spans="22:24">
      <c r="V1869" s="84"/>
      <c r="X1869" s="84"/>
    </row>
    <row r="1870" spans="22:24">
      <c r="V1870" s="84"/>
    </row>
    <row r="1905" spans="20:20">
      <c r="T1905" s="216"/>
    </row>
    <row r="1906" spans="20:20">
      <c r="T1906" s="216"/>
    </row>
    <row r="1907" spans="20:20">
      <c r="T1907" s="216"/>
    </row>
    <row r="1909" spans="20:20">
      <c r="T1909" s="218"/>
    </row>
    <row r="1910" spans="20:20">
      <c r="T1910" s="218"/>
    </row>
    <row r="1911" spans="20:20">
      <c r="T1911" s="218"/>
    </row>
    <row r="1912" spans="20:20">
      <c r="T1912" s="218"/>
    </row>
    <row r="1913" spans="20:20">
      <c r="T1913" s="218"/>
    </row>
    <row r="1914" spans="20:20">
      <c r="T1914" s="218"/>
    </row>
    <row r="1915" spans="20:20">
      <c r="T1915" s="218"/>
    </row>
    <row r="1916" spans="20:20">
      <c r="T1916" s="218"/>
    </row>
    <row r="1917" spans="20:20">
      <c r="T1917" s="218"/>
    </row>
    <row r="1918" spans="20:20">
      <c r="T1918" s="218"/>
    </row>
    <row r="1919" spans="20:20">
      <c r="T1919" s="218"/>
    </row>
    <row r="1920" spans="20:20">
      <c r="T1920" s="218"/>
    </row>
    <row r="1922" spans="8:20">
      <c r="T1922" s="218"/>
    </row>
    <row r="1925" spans="8:20">
      <c r="T1925" s="218"/>
    </row>
    <row r="1926" spans="8:20">
      <c r="T1926" s="218"/>
    </row>
    <row r="1927" spans="8:20">
      <c r="T1927" s="218"/>
    </row>
    <row r="1928" spans="8:20">
      <c r="H1928" s="271"/>
      <c r="Q1928" s="353"/>
      <c r="R1928" s="218"/>
      <c r="S1928" s="218"/>
      <c r="T1928" s="218"/>
    </row>
    <row r="1929" spans="8:20">
      <c r="H1929" s="271"/>
      <c r="Q1929" s="353"/>
      <c r="R1929" s="218"/>
      <c r="S1929" s="218"/>
      <c r="T1929" s="218"/>
    </row>
    <row r="1930" spans="8:20">
      <c r="H1930" s="271"/>
      <c r="Q1930" s="353"/>
      <c r="R1930" s="218"/>
      <c r="T1930" s="218"/>
    </row>
    <row r="1931" spans="8:20">
      <c r="H1931" s="271"/>
      <c r="Q1931" s="353"/>
      <c r="R1931" s="218"/>
      <c r="T1931" s="218"/>
    </row>
    <row r="1932" spans="8:20">
      <c r="H1932" s="271"/>
      <c r="Q1932" s="353"/>
      <c r="R1932" s="218"/>
      <c r="T1932" s="218"/>
    </row>
    <row r="1933" spans="8:20">
      <c r="H1933" s="271"/>
      <c r="Q1933" s="353"/>
      <c r="R1933" s="218"/>
      <c r="T1933" s="218"/>
    </row>
    <row r="1934" spans="8:20">
      <c r="H1934" s="271"/>
      <c r="Q1934" s="353"/>
      <c r="R1934" s="218"/>
      <c r="T1934" s="218"/>
    </row>
    <row r="1935" spans="8:20">
      <c r="H1935" s="271"/>
      <c r="Q1935" s="353"/>
      <c r="T1935" s="218"/>
    </row>
    <row r="1936" spans="8:20">
      <c r="H1936" s="271"/>
      <c r="Q1936" s="353"/>
      <c r="T1936" s="218"/>
    </row>
    <row r="1937" spans="8:20">
      <c r="H1937" s="271"/>
    </row>
    <row r="1938" spans="8:20">
      <c r="H1938" s="271"/>
      <c r="T1938" s="218"/>
    </row>
    <row r="3044" spans="1:20">
      <c r="A3044" s="216" t="s">
        <v>2347</v>
      </c>
    </row>
    <row r="3045" spans="1:20">
      <c r="A3045" s="218" t="s">
        <v>3431</v>
      </c>
    </row>
    <row r="3047" spans="1:20">
      <c r="C3047" s="224" t="s">
        <v>2581</v>
      </c>
      <c r="D3047" s="224" t="s">
        <v>2348</v>
      </c>
      <c r="E3047" s="224" t="s">
        <v>2348</v>
      </c>
      <c r="G3047" s="224" t="s">
        <v>2349</v>
      </c>
      <c r="I3047" s="224" t="s">
        <v>2350</v>
      </c>
      <c r="J3047" s="224" t="s">
        <v>1338</v>
      </c>
      <c r="K3047" s="224" t="s">
        <v>1371</v>
      </c>
      <c r="L3047" s="224" t="s">
        <v>1371</v>
      </c>
    </row>
    <row r="3048" spans="1:20">
      <c r="A3048" s="224" t="s">
        <v>2351</v>
      </c>
      <c r="C3048" s="224" t="s">
        <v>2352</v>
      </c>
      <c r="D3048" s="224" t="s">
        <v>1088</v>
      </c>
      <c r="E3048" s="224" t="s">
        <v>2353</v>
      </c>
      <c r="F3048" s="224" t="s">
        <v>2354</v>
      </c>
      <c r="G3048" s="224" t="s">
        <v>781</v>
      </c>
      <c r="H3048" s="224" t="s">
        <v>2354</v>
      </c>
      <c r="I3048" s="224" t="s">
        <v>2355</v>
      </c>
      <c r="J3048" s="224" t="s">
        <v>2356</v>
      </c>
      <c r="K3048" s="224" t="s">
        <v>2259</v>
      </c>
      <c r="L3048" s="224" t="s">
        <v>2356</v>
      </c>
    </row>
    <row r="3050" spans="1:20">
      <c r="A3050" s="216" t="s">
        <v>2357</v>
      </c>
      <c r="C3050" s="218">
        <v>2644718260.6899996</v>
      </c>
      <c r="D3050" s="218">
        <v>-14728264.209999999</v>
      </c>
      <c r="F3050" s="218">
        <v>2629989996.4799995</v>
      </c>
      <c r="G3050" s="218">
        <v>-252890410.92000002</v>
      </c>
      <c r="H3050" s="218">
        <v>2377099585.5599995</v>
      </c>
      <c r="O3050" s="218">
        <v>433040667.70999998</v>
      </c>
      <c r="P3050" s="218">
        <v>276199578.63999999</v>
      </c>
      <c r="Q3050" s="218">
        <v>276199578.63999999</v>
      </c>
      <c r="R3050" s="218">
        <v>0</v>
      </c>
      <c r="S3050" s="218">
        <v>0</v>
      </c>
      <c r="T3050" s="218">
        <v>358173130.94</v>
      </c>
    </row>
    <row r="3051" spans="1:20">
      <c r="A3051" s="216" t="s">
        <v>3443</v>
      </c>
      <c r="C3051" s="218">
        <v>113790650.84</v>
      </c>
      <c r="D3051" s="218">
        <v>-13381550.029999999</v>
      </c>
      <c r="F3051" s="218">
        <v>100409100.81</v>
      </c>
      <c r="H3051" s="218">
        <v>100409100.81</v>
      </c>
      <c r="O3051" s="218">
        <v>9512190.3599999994</v>
      </c>
      <c r="P3051" s="218">
        <v>86563058.700000003</v>
      </c>
      <c r="Q3051" s="218">
        <v>35913603.859999999</v>
      </c>
      <c r="R3051" s="218">
        <v>0</v>
      </c>
      <c r="S3051" s="218">
        <v>0</v>
      </c>
      <c r="T3051" s="218">
        <v>-105282720.02</v>
      </c>
    </row>
    <row r="3052" spans="1:20">
      <c r="A3052" s="216" t="s">
        <v>3431</v>
      </c>
      <c r="C3052" s="218">
        <v>468951058.20999998</v>
      </c>
      <c r="D3052" s="218">
        <v>-13293646.220000001</v>
      </c>
      <c r="F3052" s="218">
        <v>455657411.98999995</v>
      </c>
      <c r="G3052" s="218">
        <v>-10378455.343438916</v>
      </c>
      <c r="H3052" s="218">
        <v>445278956.64656103</v>
      </c>
      <c r="O3052" s="218">
        <v>15505203.810000001</v>
      </c>
      <c r="P3052" s="218">
        <v>35913603.859999999</v>
      </c>
      <c r="Q3052" s="218">
        <v>86563058.700000003</v>
      </c>
      <c r="R3052" s="218">
        <v>13293646.220000001</v>
      </c>
      <c r="T3052" s="218">
        <v>5797177.4799999995</v>
      </c>
    </row>
    <row r="3053" spans="1:20">
      <c r="A3053" s="216" t="s">
        <v>3448</v>
      </c>
      <c r="C3053" s="218">
        <v>45996976.670000002</v>
      </c>
      <c r="D3053" s="218">
        <v>0</v>
      </c>
      <c r="E3053" s="218">
        <v>0</v>
      </c>
      <c r="F3053" s="218">
        <v>45996976.670000002</v>
      </c>
      <c r="G3053" s="218">
        <v>-201343.09</v>
      </c>
      <c r="H3053" s="218">
        <v>45795633.579999998</v>
      </c>
      <c r="O3053" s="218">
        <v>72064613.930000007</v>
      </c>
      <c r="Q3053" s="218">
        <v>7445696.7200000007</v>
      </c>
      <c r="R3053" s="218">
        <v>0</v>
      </c>
      <c r="T3053" s="218">
        <v>2300162.79</v>
      </c>
    </row>
    <row r="3054" spans="1:20">
      <c r="A3054" s="216" t="s">
        <v>3436</v>
      </c>
      <c r="C3054" s="218">
        <v>-153722916.07999998</v>
      </c>
      <c r="D3054" s="218">
        <v>0</v>
      </c>
      <c r="F3054" s="218">
        <v>-153722916.07999998</v>
      </c>
      <c r="H3054" s="218">
        <v>-153722916.07999998</v>
      </c>
      <c r="O3054" s="218">
        <v>1224405702</v>
      </c>
      <c r="Q3054" s="218">
        <v>185879786.61999997</v>
      </c>
      <c r="T3054" s="218">
        <v>2281115.0734389164</v>
      </c>
    </row>
    <row r="3055" spans="1:20">
      <c r="A3055" s="216" t="s">
        <v>2358</v>
      </c>
      <c r="C3055" s="218">
        <v>-185879786.61999997</v>
      </c>
      <c r="F3055" s="218">
        <v>-185879786.61999997</v>
      </c>
      <c r="H3055" s="218">
        <v>-185879786.61999997</v>
      </c>
      <c r="T3055" s="218">
        <v>0</v>
      </c>
    </row>
    <row r="3056" spans="1:20">
      <c r="A3056" s="216" t="s">
        <v>2359</v>
      </c>
      <c r="C3056" s="218">
        <v>-7445696.7200000007</v>
      </c>
      <c r="D3056" s="218">
        <v>0</v>
      </c>
      <c r="F3056" s="218">
        <v>-7445696.7200000007</v>
      </c>
      <c r="H3056" s="218">
        <v>-7445696.7200000007</v>
      </c>
      <c r="T3056" s="218">
        <v>201343.09</v>
      </c>
    </row>
    <row r="3058" spans="1:15">
      <c r="C3058" s="218">
        <v>2926408546.9900002</v>
      </c>
      <c r="D3058" s="218">
        <v>-41403460.460000001</v>
      </c>
      <c r="E3058" s="218">
        <v>0</v>
      </c>
      <c r="F3058" s="218">
        <v>2885005086.5300002</v>
      </c>
      <c r="G3058" s="218">
        <v>-263470209.35343894</v>
      </c>
      <c r="H3058" s="218">
        <v>2621534877.1765609</v>
      </c>
      <c r="I3058" s="218">
        <v>-232496004.42999998</v>
      </c>
    </row>
    <row r="3060" spans="1:15">
      <c r="A3060" s="216" t="s">
        <v>2576</v>
      </c>
      <c r="C3060" s="218">
        <v>1113445382.6900001</v>
      </c>
      <c r="D3060" s="218">
        <v>-41403460.460000001</v>
      </c>
      <c r="E3060" s="218">
        <v>0</v>
      </c>
      <c r="F3060" s="218">
        <v>1072041922.23</v>
      </c>
      <c r="G3060" s="218">
        <v>-113347452</v>
      </c>
      <c r="H3060" s="218">
        <v>958694470.23000002</v>
      </c>
      <c r="I3060" s="218">
        <v>-84334042.79883559</v>
      </c>
      <c r="J3060" s="218">
        <v>874360427.43116438</v>
      </c>
      <c r="K3060" s="251">
        <v>0.97392219081617259</v>
      </c>
      <c r="L3060" s="218">
        <v>851559023.04672468</v>
      </c>
    </row>
    <row r="3061" spans="1:15">
      <c r="A3061" s="216" t="s">
        <v>2574</v>
      </c>
      <c r="C3061" s="218">
        <v>97998345.260000005</v>
      </c>
      <c r="F3061" s="218">
        <v>97998345.260000005</v>
      </c>
      <c r="G3061" s="218">
        <v>-10361407</v>
      </c>
      <c r="H3061" s="218">
        <v>87636938.260000005</v>
      </c>
      <c r="I3061" s="218">
        <v>-7709210.3182827728</v>
      </c>
      <c r="J3061" s="218">
        <v>79927727.941717237</v>
      </c>
      <c r="K3061" s="251">
        <v>0.97392219081617259</v>
      </c>
      <c r="L3061" s="218">
        <v>77843387.903956264</v>
      </c>
    </row>
    <row r="3062" spans="1:15">
      <c r="A3062" s="216" t="s">
        <v>2572</v>
      </c>
      <c r="C3062" s="218">
        <v>1199388307.8300002</v>
      </c>
      <c r="E3062" s="218">
        <v>0</v>
      </c>
      <c r="F3062" s="218">
        <v>1199388307.8300002</v>
      </c>
      <c r="G3062" s="218">
        <v>-126811840</v>
      </c>
      <c r="H3062" s="218">
        <v>1072576467.8300002</v>
      </c>
      <c r="I3062" s="218">
        <v>-94351967.756002799</v>
      </c>
      <c r="J3062" s="218">
        <v>978224500.07399738</v>
      </c>
      <c r="K3062" s="251">
        <v>0.97392219081617259</v>
      </c>
      <c r="L3062" s="218">
        <v>952714548.22212267</v>
      </c>
      <c r="O3062" s="218">
        <v>0</v>
      </c>
    </row>
    <row r="3063" spans="1:15">
      <c r="A3063" s="216" t="s">
        <v>3555</v>
      </c>
      <c r="C3063" s="218">
        <v>406766910.43000001</v>
      </c>
      <c r="F3063" s="218">
        <v>406766910.43000001</v>
      </c>
      <c r="G3063" s="218">
        <v>0</v>
      </c>
      <c r="H3063" s="218">
        <v>406766910.43000001</v>
      </c>
      <c r="I3063" s="218">
        <v>-35782305.101982921</v>
      </c>
      <c r="J3063" s="218">
        <v>370984605.32801712</v>
      </c>
      <c r="K3063" s="251">
        <v>0.97392219081617259</v>
      </c>
      <c r="L3063" s="218">
        <v>361310139.58013558</v>
      </c>
      <c r="O3063" s="218">
        <v>0</v>
      </c>
    </row>
    <row r="3064" spans="1:15">
      <c r="A3064" s="216" t="s">
        <v>2360</v>
      </c>
      <c r="C3064" s="218">
        <v>7771484</v>
      </c>
      <c r="F3064" s="218">
        <v>7771484</v>
      </c>
      <c r="G3064" s="218">
        <v>0</v>
      </c>
      <c r="H3064" s="218">
        <v>7771484</v>
      </c>
      <c r="I3064" s="218">
        <v>-683638.72392966773</v>
      </c>
      <c r="J3064" s="218">
        <v>7087845.2760703322</v>
      </c>
      <c r="K3064" s="251">
        <v>0.97392219081617259</v>
      </c>
      <c r="L3064" s="218">
        <v>6903009.7994364779</v>
      </c>
    </row>
    <row r="3065" spans="1:15">
      <c r="A3065" s="216" t="s">
        <v>2361</v>
      </c>
      <c r="C3065" s="218">
        <v>0</v>
      </c>
      <c r="F3065" s="218">
        <v>0</v>
      </c>
      <c r="G3065" s="218">
        <v>0</v>
      </c>
      <c r="H3065" s="218">
        <v>0</v>
      </c>
      <c r="I3065" s="218">
        <v>0</v>
      </c>
      <c r="J3065" s="218">
        <v>0</v>
      </c>
      <c r="K3065" s="251">
        <v>0.97392219081617259</v>
      </c>
      <c r="L3065" s="218">
        <v>0</v>
      </c>
    </row>
    <row r="3066" spans="1:15">
      <c r="A3066" s="216" t="s">
        <v>2575</v>
      </c>
      <c r="C3066" s="218">
        <v>35913603.859999999</v>
      </c>
      <c r="F3066" s="218">
        <v>35913603.859999999</v>
      </c>
      <c r="G3066" s="218">
        <v>-3797161</v>
      </c>
      <c r="H3066" s="218">
        <v>32116442.859999999</v>
      </c>
      <c r="I3066" s="218">
        <v>-2825206.1014306266</v>
      </c>
      <c r="J3066" s="218">
        <v>29291236.758569375</v>
      </c>
      <c r="K3066" s="251">
        <v>0.97392219081617259</v>
      </c>
      <c r="L3066" s="218">
        <v>28527385.475621093</v>
      </c>
    </row>
    <row r="3067" spans="1:15">
      <c r="A3067" s="216" t="s">
        <v>2573</v>
      </c>
      <c r="C3067" s="218">
        <v>86563058.700000003</v>
      </c>
      <c r="F3067" s="218">
        <v>86563058.700000003</v>
      </c>
      <c r="G3067" s="218">
        <v>-9152349</v>
      </c>
      <c r="H3067" s="218">
        <v>77410709.700000003</v>
      </c>
      <c r="I3067" s="218">
        <v>-6809633.6295356145</v>
      </c>
      <c r="J3067" s="218">
        <v>70601076.070464388</v>
      </c>
      <c r="K3067" s="251">
        <v>0.97392219081617259</v>
      </c>
      <c r="L3067" s="218">
        <v>68759954.680525929</v>
      </c>
    </row>
    <row r="3069" spans="1:15">
      <c r="C3069" s="218">
        <v>2947847092.77</v>
      </c>
      <c r="D3069" s="218">
        <v>-41403460.460000001</v>
      </c>
      <c r="E3069" s="218">
        <v>0</v>
      </c>
      <c r="F3069" s="218">
        <v>2906443632.3099999</v>
      </c>
      <c r="G3069" s="218">
        <v>-263470209.35343894</v>
      </c>
      <c r="H3069" s="218">
        <v>2642973423.3099999</v>
      </c>
      <c r="I3069" s="218">
        <v>-232496004.42999998</v>
      </c>
      <c r="J3069" s="218">
        <v>2410477418.8800001</v>
      </c>
      <c r="L3069" s="218">
        <v>2347617448.7085228</v>
      </c>
    </row>
    <row r="3070" spans="1:15">
      <c r="G3070" s="218">
        <v>-263470209</v>
      </c>
      <c r="I3070" s="218">
        <v>-232496004.42999998</v>
      </c>
    </row>
    <row r="3074" spans="1:12">
      <c r="A3074" s="216" t="s">
        <v>2362</v>
      </c>
    </row>
    <row r="3075" spans="1:12">
      <c r="A3075" s="218" t="s">
        <v>3431</v>
      </c>
    </row>
    <row r="3077" spans="1:12">
      <c r="C3077" s="224" t="s">
        <v>2581</v>
      </c>
      <c r="D3077" s="224" t="s">
        <v>2348</v>
      </c>
      <c r="E3077" s="224" t="s">
        <v>2348</v>
      </c>
      <c r="G3077" s="224" t="s">
        <v>2349</v>
      </c>
      <c r="I3077" s="224" t="s">
        <v>2350</v>
      </c>
      <c r="J3077" s="224" t="s">
        <v>1338</v>
      </c>
      <c r="K3077" s="224" t="s">
        <v>1371</v>
      </c>
      <c r="L3077" s="224" t="s">
        <v>1371</v>
      </c>
    </row>
    <row r="3078" spans="1:12">
      <c r="A3078" s="224" t="s">
        <v>2351</v>
      </c>
      <c r="C3078" s="224" t="s">
        <v>2352</v>
      </c>
      <c r="D3078" s="224" t="s">
        <v>1088</v>
      </c>
      <c r="E3078" s="224" t="s">
        <v>2353</v>
      </c>
      <c r="F3078" s="224" t="s">
        <v>2354</v>
      </c>
      <c r="G3078" s="224" t="s">
        <v>781</v>
      </c>
      <c r="H3078" s="224" t="s">
        <v>2354</v>
      </c>
      <c r="I3078" s="224" t="s">
        <v>2355</v>
      </c>
      <c r="J3078" s="224" t="s">
        <v>2356</v>
      </c>
      <c r="K3078" s="224" t="s">
        <v>2259</v>
      </c>
      <c r="L3078" s="224" t="s">
        <v>2356</v>
      </c>
    </row>
    <row r="3080" spans="1:12">
      <c r="A3080" s="216" t="s">
        <v>2357</v>
      </c>
      <c r="C3080" s="218">
        <v>2536948132</v>
      </c>
      <c r="D3080" s="218">
        <v>0</v>
      </c>
      <c r="F3080" s="218">
        <v>2536948132</v>
      </c>
      <c r="G3080" s="218">
        <v>-158266861.44076926</v>
      </c>
      <c r="H3080" s="218">
        <v>2378681270.5592308</v>
      </c>
    </row>
    <row r="3081" spans="1:12">
      <c r="A3081" s="216" t="s">
        <v>3443</v>
      </c>
      <c r="C3081" s="218">
        <v>35089846</v>
      </c>
      <c r="D3081" s="218">
        <v>0</v>
      </c>
      <c r="F3081" s="218">
        <v>35089846</v>
      </c>
      <c r="H3081" s="218">
        <v>35089846</v>
      </c>
    </row>
    <row r="3082" spans="1:12">
      <c r="A3082" s="216" t="s">
        <v>3431</v>
      </c>
      <c r="C3082" s="218">
        <v>505060483</v>
      </c>
      <c r="D3082" s="218">
        <v>0</v>
      </c>
      <c r="F3082" s="218">
        <v>505060483</v>
      </c>
      <c r="G3082" s="218">
        <v>-9693389.2191046532</v>
      </c>
      <c r="H3082" s="218">
        <v>495367093.78089535</v>
      </c>
    </row>
    <row r="3083" spans="1:12">
      <c r="A3083" s="216" t="s">
        <v>3448</v>
      </c>
      <c r="C3083" s="218">
        <v>279610495</v>
      </c>
      <c r="D3083" s="218">
        <v>0</v>
      </c>
      <c r="E3083" s="218">
        <v>-1104854093.3538461</v>
      </c>
      <c r="F3083" s="218">
        <v>-825243598.35384607</v>
      </c>
      <c r="G3083" s="218">
        <v>-273022</v>
      </c>
      <c r="H3083" s="218">
        <v>-825516620.35384607</v>
      </c>
    </row>
    <row r="3084" spans="1:12">
      <c r="A3084" s="216" t="s">
        <v>3436</v>
      </c>
      <c r="C3084" s="218">
        <v>-185430122</v>
      </c>
      <c r="D3084" s="218">
        <v>0</v>
      </c>
      <c r="F3084" s="218">
        <v>-185430122</v>
      </c>
      <c r="H3084" s="218">
        <v>-185430122</v>
      </c>
    </row>
    <row r="3085" spans="1:12">
      <c r="A3085" s="216" t="s">
        <v>2358</v>
      </c>
      <c r="C3085" s="218">
        <v>-193496964</v>
      </c>
      <c r="F3085" s="218">
        <v>-193496964</v>
      </c>
      <c r="H3085" s="218">
        <v>-193496964</v>
      </c>
    </row>
    <row r="3086" spans="1:12">
      <c r="A3086" s="216" t="s">
        <v>2359</v>
      </c>
      <c r="C3086" s="218">
        <v>-254215062</v>
      </c>
      <c r="D3086" s="218">
        <v>0</v>
      </c>
      <c r="F3086" s="218">
        <v>-254215062</v>
      </c>
      <c r="H3086" s="218">
        <v>-254215062</v>
      </c>
    </row>
    <row r="3088" spans="1:12">
      <c r="C3088" s="218">
        <v>2723566808</v>
      </c>
      <c r="D3088" s="218">
        <v>0</v>
      </c>
      <c r="E3088" s="218">
        <v>-1104854093.3538461</v>
      </c>
      <c r="F3088" s="218">
        <v>1618712714.6461539</v>
      </c>
      <c r="G3088" s="218">
        <v>-168233272.6598739</v>
      </c>
      <c r="H3088" s="218">
        <v>1450479441.98628</v>
      </c>
      <c r="I3088" s="218">
        <v>-1578038635.9239647</v>
      </c>
    </row>
    <row r="3090" spans="1:12">
      <c r="A3090" s="216" t="s">
        <v>2576</v>
      </c>
      <c r="C3090" s="218">
        <v>-4.1260706400000013E-2</v>
      </c>
      <c r="D3090" s="218">
        <v>0</v>
      </c>
      <c r="E3090" s="218">
        <v>-1100063832.6600001</v>
      </c>
      <c r="F3090" s="218">
        <v>-1100063832.7012608</v>
      </c>
      <c r="G3090" s="218">
        <v>-320275134</v>
      </c>
      <c r="H3090" s="218">
        <v>-1420338966.7012608</v>
      </c>
      <c r="I3090" s="218">
        <v>-1760562412.9760849</v>
      </c>
      <c r="J3090" s="218">
        <v>-3180901379.6773458</v>
      </c>
      <c r="K3090" s="251">
        <v>2.2860932300000001E-2</v>
      </c>
      <c r="L3090" s="218">
        <v>-72718371.093780398</v>
      </c>
    </row>
    <row r="3091" spans="1:12">
      <c r="A3091" s="216" t="s">
        <v>2574</v>
      </c>
      <c r="C3091" s="218" t="s">
        <v>1183</v>
      </c>
      <c r="F3091" s="218">
        <v>0</v>
      </c>
      <c r="G3091" s="218">
        <v>0</v>
      </c>
      <c r="H3091" s="218">
        <v>0</v>
      </c>
      <c r="I3091" s="218">
        <v>0</v>
      </c>
      <c r="J3091" s="218">
        <v>0</v>
      </c>
      <c r="K3091" s="251">
        <v>2.2860932300000001E-2</v>
      </c>
      <c r="L3091" s="218">
        <v>0</v>
      </c>
    </row>
    <row r="3092" spans="1:12">
      <c r="A3092" s="216" t="s">
        <v>2572</v>
      </c>
      <c r="C3092" s="218" t="s">
        <v>1180</v>
      </c>
      <c r="E3092" s="218">
        <v>-4790260.6938459873</v>
      </c>
      <c r="F3092" s="218">
        <v>-4790260.6938459873</v>
      </c>
      <c r="G3092" s="218">
        <v>-1394648</v>
      </c>
      <c r="H3092" s="218">
        <v>-6184908.6938459873</v>
      </c>
      <c r="I3092" s="218">
        <v>-7666421.9100907883</v>
      </c>
      <c r="J3092" s="218">
        <v>-13851330.603936777</v>
      </c>
      <c r="K3092" s="251">
        <v>2.2860932300000001E-2</v>
      </c>
      <c r="L3092" s="218">
        <v>-316654.33120151679</v>
      </c>
    </row>
    <row r="3093" spans="1:12">
      <c r="A3093" s="216" t="s">
        <v>3555</v>
      </c>
      <c r="C3093" s="218">
        <v>4.57767969E-2</v>
      </c>
      <c r="F3093" s="218">
        <v>4.57767969E-2</v>
      </c>
      <c r="G3093" s="218">
        <v>138556150</v>
      </c>
      <c r="H3093" s="218">
        <v>138556150.04577678</v>
      </c>
      <c r="I3093" s="218">
        <v>171745446.38721886</v>
      </c>
      <c r="J3093" s="218">
        <v>310301596.43299568</v>
      </c>
      <c r="K3093" s="251">
        <v>2.2860932300000001E-2</v>
      </c>
      <c r="L3093" s="218">
        <v>7093783.788636636</v>
      </c>
    </row>
    <row r="3094" spans="1:12">
      <c r="A3094" s="216" t="s">
        <v>2360</v>
      </c>
      <c r="C3094" s="218">
        <v>1.88672865E-2</v>
      </c>
      <c r="F3094" s="218">
        <v>1.88672865E-2</v>
      </c>
      <c r="G3094" s="218">
        <v>2647184</v>
      </c>
      <c r="H3094" s="218">
        <v>2647184.0188672864</v>
      </c>
      <c r="I3094" s="218">
        <v>3281281.9989532591</v>
      </c>
      <c r="J3094" s="218">
        <v>5928466.0178205455</v>
      </c>
      <c r="K3094" s="251">
        <v>2.2860932300000001E-2</v>
      </c>
      <c r="L3094" s="218">
        <v>135530.26027624609</v>
      </c>
    </row>
    <row r="3095" spans="1:12">
      <c r="A3095" s="216" t="s">
        <v>2361</v>
      </c>
      <c r="C3095" s="218" t="s">
        <v>1180</v>
      </c>
      <c r="F3095" s="218">
        <v>0</v>
      </c>
      <c r="G3095" s="218">
        <v>0</v>
      </c>
      <c r="H3095" s="218">
        <v>0</v>
      </c>
      <c r="I3095" s="218">
        <v>0</v>
      </c>
      <c r="J3095" s="218">
        <v>0</v>
      </c>
      <c r="K3095" s="251">
        <v>2.2860932300000001E-2</v>
      </c>
      <c r="L3095" s="218">
        <v>0</v>
      </c>
    </row>
    <row r="3096" spans="1:12">
      <c r="A3096" s="216" t="s">
        <v>2575</v>
      </c>
      <c r="C3096" s="218">
        <v>0</v>
      </c>
      <c r="F3096" s="218">
        <v>0</v>
      </c>
      <c r="G3096" s="218">
        <v>12233175</v>
      </c>
      <c r="H3096" s="218">
        <v>12233175</v>
      </c>
      <c r="I3096" s="218">
        <v>15163470.552651985</v>
      </c>
      <c r="J3096" s="218">
        <v>27396645.552651986</v>
      </c>
      <c r="K3096" s="251">
        <v>2.2860932300000001E-2</v>
      </c>
      <c r="L3096" s="218">
        <v>626312.85922627314</v>
      </c>
    </row>
    <row r="3097" spans="1:12">
      <c r="A3097" s="216" t="s">
        <v>2573</v>
      </c>
      <c r="C3097" s="218">
        <v>1.88672865E-2</v>
      </c>
      <c r="F3097" s="218">
        <v>1.88672865E-2</v>
      </c>
      <c r="G3097" s="218">
        <v>0</v>
      </c>
      <c r="H3097" s="218">
        <v>1.88672865E-2</v>
      </c>
      <c r="I3097" s="218">
        <v>2.3386695870139872E-2</v>
      </c>
      <c r="J3097" s="218">
        <v>4.2253982370139873E-2</v>
      </c>
      <c r="K3097" s="251">
        <v>2.2860932300000001E-2</v>
      </c>
      <c r="L3097" s="218">
        <v>9.6596543036916126E-4</v>
      </c>
    </row>
    <row r="3099" spans="1:12">
      <c r="C3099" s="218">
        <v>4.2250663499999987E-2</v>
      </c>
      <c r="D3099" s="218">
        <v>0</v>
      </c>
      <c r="E3099" s="218">
        <v>-1104854093.3538461</v>
      </c>
      <c r="F3099" s="218">
        <v>-1104854093.3115954</v>
      </c>
      <c r="G3099" s="218">
        <v>-168233272.6598739</v>
      </c>
      <c r="H3099" s="218">
        <v>-1273087366.3115954</v>
      </c>
      <c r="I3099" s="218">
        <v>-1578038635.9239647</v>
      </c>
      <c r="J3099" s="218">
        <v>-2851126002.2355604</v>
      </c>
      <c r="L3099" s="218">
        <v>-65179398.5158768</v>
      </c>
    </row>
    <row r="3100" spans="1:12">
      <c r="G3100" s="218">
        <v>-168233273</v>
      </c>
      <c r="I3100" s="218">
        <v>-1578038635.9239647</v>
      </c>
      <c r="L3100" s="218">
        <v>-65179398.5158768</v>
      </c>
    </row>
    <row r="3103" spans="1:12">
      <c r="C3103" s="218">
        <v>185430122</v>
      </c>
      <c r="D3103" s="218">
        <v>0</v>
      </c>
      <c r="E3103" s="218">
        <v>4790260.6938459873</v>
      </c>
      <c r="G3103" s="218">
        <v>261726489.90307695</v>
      </c>
    </row>
    <row r="3104" spans="1:12">
      <c r="C3104" s="218">
        <v>254215062</v>
      </c>
      <c r="D3104" s="218">
        <v>0</v>
      </c>
      <c r="G3104" s="218">
        <v>-103459628.46230771</v>
      </c>
    </row>
    <row r="3105" spans="3:7">
      <c r="C3105" s="218">
        <v>193496964</v>
      </c>
      <c r="D3105" s="218">
        <v>0</v>
      </c>
      <c r="G3105" s="218">
        <v>5754077.557692308</v>
      </c>
    </row>
    <row r="3106" spans="3:7">
      <c r="D3106" s="218">
        <v>0</v>
      </c>
      <c r="G3106" s="218">
        <v>2088659.4784615384</v>
      </c>
    </row>
    <row r="3107" spans="3:7">
      <c r="D3107" s="218">
        <v>0</v>
      </c>
      <c r="G3107" s="218">
        <v>1850652.182950807</v>
      </c>
    </row>
    <row r="3108" spans="3:7">
      <c r="G3108" s="218">
        <v>0</v>
      </c>
    </row>
    <row r="3109" spans="3:7">
      <c r="G3109" s="218">
        <v>273022</v>
      </c>
    </row>
    <row r="3123" spans="1:9">
      <c r="A3123" s="218" t="s">
        <v>1557</v>
      </c>
    </row>
    <row r="3124" spans="1:9">
      <c r="A3124" s="216" t="s">
        <v>2363</v>
      </c>
      <c r="D3124" s="224" t="s">
        <v>1216</v>
      </c>
      <c r="E3124" s="224" t="s">
        <v>2364</v>
      </c>
    </row>
    <row r="3126" spans="1:9">
      <c r="A3126" s="216" t="s">
        <v>2365</v>
      </c>
      <c r="D3126" s="218">
        <v>-1</v>
      </c>
      <c r="E3126" s="218">
        <v>83460030.810000002</v>
      </c>
      <c r="F3126" s="218">
        <v>100409100.81</v>
      </c>
      <c r="G3126" s="218">
        <v>0</v>
      </c>
      <c r="H3126" s="218">
        <v>16949070</v>
      </c>
      <c r="I3126" s="218">
        <v>0</v>
      </c>
    </row>
    <row r="3127" spans="1:9">
      <c r="A3127" s="216" t="s">
        <v>2366</v>
      </c>
      <c r="D3127" s="218">
        <v>335213</v>
      </c>
      <c r="E3127" s="218">
        <v>0</v>
      </c>
    </row>
    <row r="3128" spans="1:9">
      <c r="A3128" s="216" t="s">
        <v>2367</v>
      </c>
      <c r="D3128" s="218">
        <v>57877</v>
      </c>
      <c r="E3128" s="218">
        <v>48633.780000000006</v>
      </c>
      <c r="F3128" s="218">
        <v>48633.780000000006</v>
      </c>
      <c r="G3128" s="218">
        <v>0</v>
      </c>
    </row>
    <row r="3129" spans="1:9">
      <c r="A3129" s="216" t="s">
        <v>2368</v>
      </c>
      <c r="D3129" s="218">
        <v>319850</v>
      </c>
      <c r="E3129" s="218">
        <v>318673</v>
      </c>
    </row>
    <row r="3130" spans="1:9">
      <c r="A3130" s="216" t="s">
        <v>2369</v>
      </c>
      <c r="D3130" s="218">
        <v>0</v>
      </c>
      <c r="E3130" s="218">
        <v>0</v>
      </c>
    </row>
    <row r="3131" spans="1:9">
      <c r="A3131" s="216" t="s">
        <v>2370</v>
      </c>
      <c r="D3131" s="218">
        <v>2036919</v>
      </c>
      <c r="E3131" s="218">
        <v>4250014.83</v>
      </c>
    </row>
    <row r="3132" spans="1:9">
      <c r="A3132" s="216" t="s">
        <v>2371</v>
      </c>
      <c r="D3132" s="218">
        <v>0</v>
      </c>
      <c r="E3132" s="218">
        <v>0</v>
      </c>
    </row>
    <row r="3133" spans="1:9">
      <c r="A3133" s="216" t="s">
        <v>2372</v>
      </c>
      <c r="D3133" s="218">
        <v>15102690</v>
      </c>
      <c r="E3133" s="218">
        <v>-1204250.9400000051</v>
      </c>
      <c r="F3133" s="218">
        <v>19801897.059999999</v>
      </c>
      <c r="G3133" s="218">
        <v>21006148.000000004</v>
      </c>
    </row>
    <row r="3134" spans="1:9">
      <c r="A3134" s="216" t="s">
        <v>2373</v>
      </c>
      <c r="D3134" s="218">
        <v>-173403</v>
      </c>
      <c r="E3134" s="218">
        <v>0</v>
      </c>
      <c r="F3134" s="218">
        <v>0</v>
      </c>
    </row>
    <row r="3135" spans="1:9">
      <c r="A3135" s="216" t="s">
        <v>2374</v>
      </c>
      <c r="D3135" s="218">
        <v>0</v>
      </c>
      <c r="E3135" s="218">
        <v>0</v>
      </c>
    </row>
    <row r="3136" spans="1:9">
      <c r="A3136" s="216" t="s">
        <v>2375</v>
      </c>
      <c r="D3136" s="218">
        <v>-34034</v>
      </c>
      <c r="E3136" s="218">
        <v>0</v>
      </c>
      <c r="F3136" s="218">
        <v>0</v>
      </c>
      <c r="G3136" s="218">
        <v>0</v>
      </c>
    </row>
    <row r="3137" spans="1:9">
      <c r="A3137" s="216" t="s">
        <v>2376</v>
      </c>
      <c r="D3137" s="218">
        <v>14148096</v>
      </c>
      <c r="E3137" s="218">
        <v>0</v>
      </c>
    </row>
    <row r="3138" spans="1:9">
      <c r="A3138" s="216" t="s">
        <v>2377</v>
      </c>
      <c r="D3138" s="218">
        <v>0</v>
      </c>
      <c r="E3138" s="218">
        <v>0</v>
      </c>
      <c r="F3138" s="218">
        <v>0</v>
      </c>
      <c r="G3138" s="218">
        <v>0</v>
      </c>
    </row>
    <row r="3139" spans="1:9">
      <c r="A3139" s="216" t="s">
        <v>1516</v>
      </c>
      <c r="D3139" s="218">
        <v>142922573</v>
      </c>
      <c r="E3139" s="218">
        <v>126660324.16999997</v>
      </c>
      <c r="F3139" s="218">
        <v>0</v>
      </c>
      <c r="G3139" s="218">
        <v>0</v>
      </c>
    </row>
    <row r="3140" spans="1:9">
      <c r="A3140" s="216" t="s">
        <v>2378</v>
      </c>
      <c r="D3140" s="218">
        <v>0</v>
      </c>
      <c r="E3140" s="218">
        <v>0</v>
      </c>
    </row>
    <row r="3141" spans="1:9">
      <c r="A3141" s="216" t="s">
        <v>2379</v>
      </c>
      <c r="D3141" s="218">
        <v>0</v>
      </c>
      <c r="E3141" s="218">
        <v>0</v>
      </c>
    </row>
    <row r="3142" spans="1:9">
      <c r="D3142" s="218">
        <v>174715780</v>
      </c>
      <c r="E3142" s="218">
        <v>213533425.64999998</v>
      </c>
    </row>
    <row r="3145" spans="1:9">
      <c r="A3145" s="216" t="s">
        <v>2380</v>
      </c>
      <c r="D3145" s="218">
        <v>0</v>
      </c>
      <c r="E3145" s="218">
        <v>0</v>
      </c>
    </row>
    <row r="3146" spans="1:9">
      <c r="A3146" s="216" t="s">
        <v>2381</v>
      </c>
      <c r="D3146" s="218">
        <v>629</v>
      </c>
      <c r="E3146" s="218">
        <v>0</v>
      </c>
      <c r="F3146" s="218">
        <v>0</v>
      </c>
      <c r="G3146" s="218">
        <v>0</v>
      </c>
    </row>
    <row r="3147" spans="1:9">
      <c r="A3147" s="216" t="s">
        <v>2382</v>
      </c>
      <c r="D3147" s="218">
        <v>0</v>
      </c>
      <c r="E3147" s="218">
        <v>0</v>
      </c>
    </row>
    <row r="3148" spans="1:9">
      <c r="A3148" s="216" t="s">
        <v>2383</v>
      </c>
      <c r="D3148" s="218">
        <v>0</v>
      </c>
      <c r="E3148" s="218">
        <v>0</v>
      </c>
    </row>
    <row r="3149" spans="1:9">
      <c r="A3149" s="216" t="s">
        <v>2384</v>
      </c>
      <c r="D3149" s="218">
        <v>0</v>
      </c>
      <c r="E3149" s="218">
        <v>0</v>
      </c>
      <c r="F3149" s="218">
        <v>0</v>
      </c>
      <c r="G3149" s="218">
        <v>0</v>
      </c>
      <c r="H3149" s="218">
        <v>0</v>
      </c>
      <c r="I3149" s="218">
        <v>0</v>
      </c>
    </row>
    <row r="3150" spans="1:9">
      <c r="A3150" s="216" t="s">
        <v>2385</v>
      </c>
      <c r="D3150" s="218">
        <v>0</v>
      </c>
      <c r="E3150" s="218">
        <v>0</v>
      </c>
      <c r="F3150" s="218">
        <v>0</v>
      </c>
      <c r="G3150" s="218">
        <v>0</v>
      </c>
      <c r="H3150" s="218">
        <v>0</v>
      </c>
      <c r="I3150" s="218">
        <v>0</v>
      </c>
    </row>
    <row r="3151" spans="1:9">
      <c r="A3151" s="216" t="s">
        <v>2386</v>
      </c>
      <c r="D3151" s="218">
        <v>12446388</v>
      </c>
      <c r="E3151" s="218">
        <v>18962578.780000001</v>
      </c>
      <c r="F3151" s="218"/>
      <c r="G3151" s="218">
        <v>18962578.780000001</v>
      </c>
      <c r="H3151" s="218"/>
      <c r="I3151" s="218"/>
    </row>
    <row r="3152" spans="1:9">
      <c r="D3152" s="218">
        <v>629</v>
      </c>
      <c r="E3152" s="218">
        <v>18962578.780000001</v>
      </c>
    </row>
    <row r="3154" spans="1:5">
      <c r="A3154" s="216" t="s">
        <v>2387</v>
      </c>
      <c r="D3154" s="218">
        <v>174716409</v>
      </c>
      <c r="E3154" s="218">
        <v>232496004.42999998</v>
      </c>
    </row>
    <row r="3158" spans="1:5">
      <c r="A3158" s="216" t="s">
        <v>2388</v>
      </c>
    </row>
    <row r="3160" spans="1:5">
      <c r="A3160" s="216" t="s">
        <v>2389</v>
      </c>
      <c r="D3160" s="218">
        <v>0</v>
      </c>
      <c r="E3160" s="218">
        <v>0</v>
      </c>
    </row>
    <row r="3161" spans="1:5">
      <c r="A3161" s="216" t="s">
        <v>2390</v>
      </c>
      <c r="D3161" s="218">
        <v>0</v>
      </c>
      <c r="E3161" s="218">
        <v>0</v>
      </c>
    </row>
    <row r="3162" spans="1:5">
      <c r="A3162" s="216" t="s">
        <v>2391</v>
      </c>
      <c r="D3162" s="218">
        <v>0</v>
      </c>
      <c r="E3162" s="218">
        <v>0</v>
      </c>
    </row>
    <row r="3164" spans="1:5">
      <c r="C3164" s="216" t="s">
        <v>2392</v>
      </c>
      <c r="D3164" s="218">
        <v>0</v>
      </c>
      <c r="E3164" s="218">
        <v>0</v>
      </c>
    </row>
    <row r="3166" spans="1:5">
      <c r="A3166" s="216" t="s">
        <v>2393</v>
      </c>
      <c r="D3166" s="218">
        <v>0</v>
      </c>
      <c r="E3166" s="218">
        <v>0</v>
      </c>
    </row>
    <row r="3167" spans="1:5">
      <c r="A3167" s="216" t="s">
        <v>2394</v>
      </c>
      <c r="D3167" s="218">
        <v>0</v>
      </c>
      <c r="E3167" s="218">
        <v>0</v>
      </c>
    </row>
    <row r="3168" spans="1:5">
      <c r="A3168" s="216" t="s">
        <v>2395</v>
      </c>
      <c r="D3168" s="218">
        <v>0</v>
      </c>
      <c r="E3168" s="218">
        <v>0</v>
      </c>
    </row>
    <row r="3170" spans="3:5">
      <c r="C3170" s="216" t="s">
        <v>2392</v>
      </c>
      <c r="D3170" s="218">
        <v>0</v>
      </c>
      <c r="E3170" s="218">
        <v>0</v>
      </c>
    </row>
    <row r="3174" spans="3:5">
      <c r="C3174" s="216" t="s">
        <v>2396</v>
      </c>
      <c r="D3174" s="218">
        <v>0</v>
      </c>
      <c r="E3174" s="218">
        <v>0</v>
      </c>
    </row>
  </sheetData>
  <phoneticPr fontId="49" type="noConversion"/>
  <printOptions headings="1"/>
  <pageMargins left="0.19" right="0.18" top="0.25" bottom="0.25" header="0.36" footer="0.34"/>
  <pageSetup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">
    <pageSetUpPr fitToPage="1"/>
  </sheetPr>
  <dimension ref="A1:IV409"/>
  <sheetViews>
    <sheetView zoomScale="70" workbookViewId="0">
      <selection activeCell="E38" sqref="E38"/>
    </sheetView>
  </sheetViews>
  <sheetFormatPr defaultColWidth="21.28515625" defaultRowHeight="12"/>
  <cols>
    <col min="1" max="16384" width="21.28515625" style="73"/>
  </cols>
  <sheetData>
    <row r="1" spans="1:35">
      <c r="A1" s="72" t="s">
        <v>2155</v>
      </c>
      <c r="C1" s="70"/>
      <c r="S1" s="71"/>
      <c r="U1" s="72" t="s">
        <v>2397</v>
      </c>
      <c r="V1" s="72" t="s">
        <v>2398</v>
      </c>
      <c r="AA1" s="72"/>
      <c r="AC1" s="72"/>
      <c r="AD1" s="72"/>
    </row>
    <row r="2" spans="1:35" ht="12.75" thickBot="1">
      <c r="A2" s="72" t="s">
        <v>2399</v>
      </c>
      <c r="S2" s="448"/>
      <c r="U2" s="72" t="s">
        <v>2400</v>
      </c>
      <c r="V2" s="72" t="s">
        <v>2401</v>
      </c>
      <c r="AA2" s="443"/>
      <c r="AD2" s="72"/>
      <c r="AE2" s="72"/>
      <c r="AF2" s="72"/>
      <c r="AG2" s="72"/>
    </row>
    <row r="3" spans="1:35" ht="12.75" thickTop="1">
      <c r="A3" s="72" t="s">
        <v>1557</v>
      </c>
      <c r="H3" s="70"/>
      <c r="Q3" s="70"/>
      <c r="U3" s="72" t="s">
        <v>2402</v>
      </c>
      <c r="V3" s="72" t="s">
        <v>2403</v>
      </c>
      <c r="AA3" s="72"/>
      <c r="AD3" s="72"/>
      <c r="AE3" s="72"/>
      <c r="AF3" s="72"/>
      <c r="AG3" s="72"/>
    </row>
    <row r="4" spans="1:35">
      <c r="A4" s="72" t="s">
        <v>2404</v>
      </c>
      <c r="C4" s="183" t="s">
        <v>2159</v>
      </c>
      <c r="D4" s="183" t="s">
        <v>2160</v>
      </c>
      <c r="E4" s="183" t="s">
        <v>2161</v>
      </c>
      <c r="F4" s="183" t="s">
        <v>2162</v>
      </c>
      <c r="U4" s="72" t="s">
        <v>2668</v>
      </c>
      <c r="V4" s="72" t="s">
        <v>2405</v>
      </c>
      <c r="AA4" s="72"/>
      <c r="AE4" s="72"/>
      <c r="AF4" s="72"/>
      <c r="AG4" s="72"/>
    </row>
    <row r="5" spans="1:35">
      <c r="A5" s="72" t="s">
        <v>2406</v>
      </c>
      <c r="B5" s="183" t="s">
        <v>2158</v>
      </c>
      <c r="C5" s="183" t="s">
        <v>2407</v>
      </c>
      <c r="D5" s="183" t="s">
        <v>2408</v>
      </c>
      <c r="E5" s="183" t="s">
        <v>2409</v>
      </c>
      <c r="F5" s="183" t="s">
        <v>2251</v>
      </c>
      <c r="U5" s="72" t="s">
        <v>2410</v>
      </c>
      <c r="V5" s="72" t="s">
        <v>2411</v>
      </c>
      <c r="AA5" s="443"/>
      <c r="AE5" s="72"/>
      <c r="AF5" s="72"/>
      <c r="AG5" s="72"/>
    </row>
    <row r="6" spans="1:35">
      <c r="B6" s="183" t="s">
        <v>2412</v>
      </c>
      <c r="C6" s="450" t="s">
        <v>2413</v>
      </c>
      <c r="D6" s="72" t="s">
        <v>2414</v>
      </c>
      <c r="E6" s="183" t="s">
        <v>2415</v>
      </c>
      <c r="F6" s="183" t="s">
        <v>3723</v>
      </c>
      <c r="G6" s="183" t="s">
        <v>2581</v>
      </c>
      <c r="U6" s="72" t="s">
        <v>2416</v>
      </c>
      <c r="V6" s="72" t="s">
        <v>2417</v>
      </c>
      <c r="AE6" s="72"/>
      <c r="AF6" s="72"/>
    </row>
    <row r="7" spans="1:35">
      <c r="B7" s="183" t="s">
        <v>2418</v>
      </c>
      <c r="C7" s="183" t="s">
        <v>2419</v>
      </c>
      <c r="D7" s="72" t="s">
        <v>2420</v>
      </c>
      <c r="E7" s="183" t="s">
        <v>2421</v>
      </c>
      <c r="F7" s="183" t="s">
        <v>2252</v>
      </c>
      <c r="N7" s="487"/>
      <c r="U7" s="72" t="s">
        <v>2422</v>
      </c>
      <c r="V7" s="72" t="s">
        <v>2423</v>
      </c>
      <c r="AA7" s="72"/>
      <c r="AE7" s="72"/>
      <c r="AF7" s="72"/>
    </row>
    <row r="8" spans="1:35">
      <c r="B8" s="72" t="s">
        <v>1073</v>
      </c>
      <c r="C8" s="72" t="s">
        <v>1073</v>
      </c>
      <c r="D8" s="72" t="s">
        <v>1073</v>
      </c>
      <c r="E8" s="72" t="s">
        <v>1073</v>
      </c>
      <c r="F8" s="72" t="s">
        <v>1073</v>
      </c>
      <c r="G8" s="72" t="s">
        <v>1073</v>
      </c>
      <c r="N8" s="487"/>
      <c r="P8" s="183"/>
      <c r="U8" s="72" t="s">
        <v>2424</v>
      </c>
      <c r="V8" s="72" t="s">
        <v>2425</v>
      </c>
      <c r="AA8" s="72"/>
    </row>
    <row r="9" spans="1:35">
      <c r="A9" s="72" t="s">
        <v>1910</v>
      </c>
      <c r="B9" s="70">
        <v>0</v>
      </c>
      <c r="C9" s="70">
        <v>0</v>
      </c>
      <c r="D9" s="70">
        <v>0</v>
      </c>
      <c r="E9" s="75">
        <v>921937.25</v>
      </c>
      <c r="F9" s="71">
        <v>-1744.17</v>
      </c>
      <c r="N9" s="487"/>
      <c r="P9" s="183"/>
      <c r="S9" s="70"/>
      <c r="U9" s="72" t="s">
        <v>2426</v>
      </c>
      <c r="V9" s="72" t="s">
        <v>2427</v>
      </c>
      <c r="AA9" s="72"/>
      <c r="AC9" s="72"/>
      <c r="AD9" s="72"/>
    </row>
    <row r="10" spans="1:35">
      <c r="A10" s="72" t="s">
        <v>588</v>
      </c>
      <c r="B10" s="70">
        <v>0</v>
      </c>
      <c r="C10" s="70">
        <v>0</v>
      </c>
      <c r="D10" s="70">
        <v>0</v>
      </c>
      <c r="E10" s="75">
        <v>921937.25</v>
      </c>
      <c r="F10" s="71">
        <v>78464.78</v>
      </c>
      <c r="H10" s="70"/>
      <c r="I10" s="70"/>
      <c r="J10" s="70"/>
      <c r="P10" s="183"/>
      <c r="S10" s="70"/>
      <c r="U10" s="72" t="s">
        <v>2428</v>
      </c>
      <c r="V10" s="72" t="s">
        <v>2429</v>
      </c>
      <c r="AA10" s="72"/>
      <c r="AD10" s="72"/>
      <c r="AE10" s="72"/>
      <c r="AF10" s="72"/>
      <c r="AG10" s="72"/>
      <c r="AH10" s="72"/>
      <c r="AI10" s="72"/>
    </row>
    <row r="11" spans="1:35">
      <c r="A11" s="72" t="s">
        <v>598</v>
      </c>
      <c r="B11" s="70">
        <v>0</v>
      </c>
      <c r="C11" s="70">
        <v>0</v>
      </c>
      <c r="D11" s="70">
        <v>0</v>
      </c>
      <c r="E11" s="75">
        <v>921937.25</v>
      </c>
      <c r="F11" s="71">
        <v>113751.75</v>
      </c>
      <c r="N11" s="487"/>
      <c r="P11" s="183"/>
      <c r="S11" s="70"/>
      <c r="U11" s="72" t="s">
        <v>2430</v>
      </c>
      <c r="V11" s="72" t="s">
        <v>2431</v>
      </c>
      <c r="AA11" s="72"/>
      <c r="AD11" s="72"/>
      <c r="AE11" s="72"/>
      <c r="AF11" s="72"/>
      <c r="AG11" s="72"/>
      <c r="AH11" s="72"/>
      <c r="AI11" s="72"/>
    </row>
    <row r="12" spans="1:35">
      <c r="A12" s="72" t="s">
        <v>609</v>
      </c>
      <c r="B12" s="70">
        <v>0</v>
      </c>
      <c r="C12" s="70">
        <v>0</v>
      </c>
      <c r="D12" s="70">
        <v>0</v>
      </c>
      <c r="E12" s="75">
        <v>921937.25</v>
      </c>
      <c r="F12" s="71">
        <v>95701.169999999911</v>
      </c>
      <c r="P12" s="443"/>
      <c r="S12" s="70"/>
      <c r="U12" s="72" t="s">
        <v>2432</v>
      </c>
      <c r="V12" s="72" t="s">
        <v>2433</v>
      </c>
      <c r="AA12" s="72"/>
      <c r="AD12" s="72"/>
      <c r="AE12" s="72"/>
      <c r="AF12" s="72"/>
      <c r="AG12" s="72"/>
      <c r="AH12" s="72"/>
      <c r="AI12" s="72"/>
    </row>
    <row r="13" spans="1:35">
      <c r="A13" s="72" t="s">
        <v>618</v>
      </c>
      <c r="B13" s="70">
        <v>0</v>
      </c>
      <c r="C13" s="70">
        <v>0</v>
      </c>
      <c r="D13" s="70">
        <v>0</v>
      </c>
      <c r="E13" s="75">
        <v>921937.25</v>
      </c>
      <c r="F13" s="71">
        <v>184229.52</v>
      </c>
      <c r="N13" s="72"/>
      <c r="P13" s="71"/>
      <c r="U13" s="72" t="s">
        <v>2434</v>
      </c>
      <c r="V13" s="72" t="s">
        <v>2435</v>
      </c>
      <c r="AA13" s="72"/>
      <c r="AE13" s="72"/>
      <c r="AF13" s="72"/>
      <c r="AG13" s="72"/>
      <c r="AH13" s="72"/>
      <c r="AI13" s="72"/>
    </row>
    <row r="14" spans="1:35">
      <c r="A14" s="72" t="s">
        <v>629</v>
      </c>
      <c r="B14" s="70">
        <v>0</v>
      </c>
      <c r="C14" s="70">
        <v>0</v>
      </c>
      <c r="D14" s="70">
        <v>0</v>
      </c>
      <c r="E14" s="75">
        <v>921937.25</v>
      </c>
      <c r="F14" s="71">
        <v>28142.139999999941</v>
      </c>
      <c r="H14" s="487"/>
      <c r="I14" s="487"/>
      <c r="J14" s="487"/>
      <c r="K14" s="487"/>
      <c r="L14" s="487"/>
      <c r="M14" s="487"/>
      <c r="N14" s="72"/>
      <c r="O14" s="487"/>
      <c r="P14" s="71"/>
      <c r="U14" s="72" t="s">
        <v>2436</v>
      </c>
      <c r="V14" s="72" t="s">
        <v>2437</v>
      </c>
      <c r="AA14" s="72"/>
      <c r="AE14" s="72"/>
      <c r="AF14" s="72"/>
      <c r="AG14" s="72"/>
      <c r="AH14" s="72"/>
      <c r="AI14" s="72"/>
    </row>
    <row r="15" spans="1:35">
      <c r="A15" s="72" t="s">
        <v>639</v>
      </c>
      <c r="B15" s="70">
        <v>0</v>
      </c>
      <c r="C15" s="70">
        <v>0</v>
      </c>
      <c r="D15" s="70">
        <v>0</v>
      </c>
      <c r="E15" s="75">
        <v>921937.25</v>
      </c>
      <c r="F15" s="71">
        <v>10517.13</v>
      </c>
      <c r="H15" s="487"/>
      <c r="I15" s="487"/>
      <c r="J15" s="487"/>
      <c r="K15" s="487"/>
      <c r="L15" s="487"/>
      <c r="M15" s="487"/>
      <c r="N15" s="72"/>
      <c r="O15" s="487"/>
      <c r="P15" s="71"/>
      <c r="S15" s="70"/>
      <c r="U15" s="72" t="s">
        <v>2438</v>
      </c>
      <c r="V15" s="72" t="s">
        <v>2439</v>
      </c>
      <c r="AA15" s="72"/>
      <c r="AG15" s="72"/>
      <c r="AH15" s="72"/>
      <c r="AI15" s="72"/>
    </row>
    <row r="16" spans="1:35">
      <c r="A16" s="72" t="s">
        <v>649</v>
      </c>
      <c r="B16" s="70">
        <v>0</v>
      </c>
      <c r="C16" s="70">
        <v>0</v>
      </c>
      <c r="D16" s="70">
        <v>0</v>
      </c>
      <c r="E16" s="75">
        <v>921937.25</v>
      </c>
      <c r="F16" s="71">
        <v>18527.91</v>
      </c>
      <c r="H16" s="487"/>
      <c r="I16" s="487"/>
      <c r="J16" s="487"/>
      <c r="K16" s="487"/>
      <c r="L16" s="487"/>
      <c r="M16" s="487"/>
      <c r="N16" s="72"/>
      <c r="O16" s="487"/>
      <c r="P16" s="71"/>
      <c r="S16" s="70"/>
      <c r="U16" s="72" t="s">
        <v>2440</v>
      </c>
      <c r="V16" s="72" t="s">
        <v>2441</v>
      </c>
      <c r="AG16" s="72"/>
      <c r="AI16" s="72"/>
    </row>
    <row r="17" spans="1:35">
      <c r="A17" s="72" t="s">
        <v>658</v>
      </c>
      <c r="B17" s="70">
        <v>0</v>
      </c>
      <c r="C17" s="70">
        <v>0</v>
      </c>
      <c r="D17" s="70">
        <v>0</v>
      </c>
      <c r="E17" s="75">
        <v>921937.25</v>
      </c>
      <c r="F17" s="71">
        <v>105213.3</v>
      </c>
      <c r="I17" s="487"/>
      <c r="K17" s="487"/>
      <c r="L17" s="487"/>
      <c r="N17" s="72"/>
      <c r="O17" s="487"/>
      <c r="P17" s="71"/>
      <c r="S17" s="70"/>
      <c r="U17" s="72" t="s">
        <v>2442</v>
      </c>
      <c r="V17" s="72" t="s">
        <v>2443</v>
      </c>
      <c r="AG17" s="72"/>
      <c r="AI17" s="72"/>
    </row>
    <row r="18" spans="1:35">
      <c r="A18" s="72" t="s">
        <v>669</v>
      </c>
      <c r="B18" s="70">
        <v>0</v>
      </c>
      <c r="C18" s="70">
        <v>0</v>
      </c>
      <c r="D18" s="70">
        <v>0</v>
      </c>
      <c r="E18" s="75">
        <v>888800.7</v>
      </c>
      <c r="F18" s="71">
        <v>43421.03</v>
      </c>
      <c r="H18" s="487"/>
      <c r="I18" s="487"/>
      <c r="J18" s="487"/>
      <c r="K18" s="487"/>
      <c r="L18" s="487"/>
      <c r="N18" s="72"/>
      <c r="O18" s="487"/>
      <c r="P18" s="71"/>
      <c r="U18" s="72" t="s">
        <v>2444</v>
      </c>
      <c r="V18" s="72" t="s">
        <v>2445</v>
      </c>
      <c r="AG18" s="72"/>
      <c r="AI18" s="72"/>
    </row>
    <row r="19" spans="1:35">
      <c r="A19" s="72" t="s">
        <v>679</v>
      </c>
      <c r="B19" s="70">
        <v>0</v>
      </c>
      <c r="C19" s="70">
        <v>0</v>
      </c>
      <c r="D19" s="70">
        <v>0</v>
      </c>
      <c r="E19" s="75">
        <v>888800.7</v>
      </c>
      <c r="F19" s="71">
        <v>5367.75</v>
      </c>
      <c r="H19" s="487"/>
      <c r="I19" s="487"/>
      <c r="J19" s="487"/>
      <c r="K19" s="487"/>
      <c r="L19" s="487"/>
      <c r="N19" s="72"/>
      <c r="O19" s="487"/>
      <c r="P19" s="71"/>
      <c r="U19" s="72" t="s">
        <v>2446</v>
      </c>
      <c r="V19" s="72" t="s">
        <v>2447</v>
      </c>
      <c r="AA19" s="72"/>
      <c r="AG19" s="72"/>
      <c r="AI19" s="72"/>
    </row>
    <row r="20" spans="1:35">
      <c r="A20" s="72" t="s">
        <v>1557</v>
      </c>
      <c r="B20" s="70">
        <v>0</v>
      </c>
      <c r="C20" s="70">
        <v>0</v>
      </c>
      <c r="D20" s="70">
        <v>0</v>
      </c>
      <c r="E20" s="75">
        <v>888800.7</v>
      </c>
      <c r="F20" s="71">
        <v>28020.52</v>
      </c>
      <c r="G20" s="170" t="s">
        <v>3501</v>
      </c>
      <c r="H20" s="180">
        <v>888800.8900000006</v>
      </c>
      <c r="I20" s="180">
        <v>-0.19000000064261258</v>
      </c>
      <c r="J20" s="487"/>
      <c r="K20" s="487"/>
      <c r="L20" s="487"/>
      <c r="N20" s="72"/>
      <c r="O20" s="487"/>
      <c r="P20" s="71"/>
      <c r="U20" s="72" t="s">
        <v>2448</v>
      </c>
      <c r="V20" s="72" t="s">
        <v>2449</v>
      </c>
      <c r="AA20" s="443"/>
      <c r="AG20" s="72"/>
      <c r="AI20" s="72"/>
    </row>
    <row r="21" spans="1:35">
      <c r="B21" s="72" t="s">
        <v>1073</v>
      </c>
      <c r="C21" s="72" t="s">
        <v>1073</v>
      </c>
      <c r="D21" s="72" t="s">
        <v>1073</v>
      </c>
      <c r="E21" s="72" t="s">
        <v>1073</v>
      </c>
      <c r="F21" s="72" t="s">
        <v>1073</v>
      </c>
      <c r="G21" s="72" t="s">
        <v>1073</v>
      </c>
      <c r="H21" s="487"/>
      <c r="I21" s="487"/>
      <c r="J21" s="487"/>
      <c r="K21" s="487"/>
      <c r="N21" s="72"/>
      <c r="O21" s="487"/>
      <c r="P21" s="71"/>
      <c r="S21" s="70"/>
      <c r="U21" s="72" t="s">
        <v>2450</v>
      </c>
      <c r="V21" s="72" t="s">
        <v>2451</v>
      </c>
      <c r="AA21" s="72"/>
      <c r="AG21" s="72"/>
      <c r="AI21" s="72"/>
    </row>
    <row r="22" spans="1:35">
      <c r="A22" s="72" t="s">
        <v>2452</v>
      </c>
      <c r="B22" s="180">
        <v>0</v>
      </c>
      <c r="C22" s="180">
        <v>0</v>
      </c>
      <c r="D22" s="180">
        <v>0</v>
      </c>
      <c r="E22" s="180">
        <v>10963837.349999998</v>
      </c>
      <c r="F22" s="180">
        <v>709612.83</v>
      </c>
      <c r="G22" s="180">
        <v>10963837.349999998</v>
      </c>
      <c r="H22" s="488" t="s">
        <v>2453</v>
      </c>
      <c r="J22" s="487"/>
      <c r="N22" s="72"/>
      <c r="P22" s="71"/>
      <c r="U22" s="72" t="s">
        <v>2454</v>
      </c>
      <c r="V22" s="72" t="s">
        <v>2447</v>
      </c>
      <c r="AA22" s="72"/>
      <c r="AG22" s="72"/>
      <c r="AI22" s="72"/>
    </row>
    <row r="23" spans="1:35">
      <c r="H23" s="487"/>
      <c r="J23" s="487"/>
      <c r="N23" s="72"/>
      <c r="P23" s="71"/>
      <c r="U23" s="72" t="s">
        <v>2455</v>
      </c>
      <c r="V23" s="72" t="s">
        <v>2456</v>
      </c>
      <c r="AA23" s="443"/>
      <c r="AG23" s="72"/>
      <c r="AI23" s="72"/>
    </row>
    <row r="24" spans="1:35">
      <c r="F24" s="476" t="s">
        <v>2457</v>
      </c>
      <c r="G24" s="71">
        <v>10970292.743896008</v>
      </c>
      <c r="H24" s="170" t="s">
        <v>3501</v>
      </c>
      <c r="I24" s="71">
        <v>10970292.743896008</v>
      </c>
      <c r="N24" s="72"/>
      <c r="P24" s="70"/>
      <c r="AG24" s="72"/>
      <c r="AI24" s="72"/>
    </row>
    <row r="25" spans="1:35">
      <c r="A25" s="178"/>
      <c r="G25" s="72" t="s">
        <v>1073</v>
      </c>
      <c r="P25" s="443"/>
      <c r="S25" s="70"/>
      <c r="AA25" s="72"/>
      <c r="AC25" s="178"/>
      <c r="AG25" s="72"/>
      <c r="AI25" s="72"/>
    </row>
    <row r="26" spans="1:35">
      <c r="A26" s="178"/>
      <c r="F26" s="476" t="s">
        <v>2419</v>
      </c>
      <c r="G26" s="71">
        <v>-6455.393896009773</v>
      </c>
      <c r="H26" s="489"/>
      <c r="I26" s="73">
        <v>-6455.393896009773</v>
      </c>
      <c r="N26" s="72"/>
      <c r="P26" s="180"/>
      <c r="S26" s="70"/>
      <c r="AA26" s="72"/>
      <c r="AC26" s="70"/>
      <c r="AE26" s="72"/>
      <c r="AF26" s="72"/>
      <c r="AG26" s="72"/>
      <c r="AI26" s="72"/>
    </row>
    <row r="27" spans="1:35">
      <c r="G27" s="70"/>
      <c r="P27" s="443"/>
      <c r="S27" s="70"/>
      <c r="AA27" s="72"/>
      <c r="AC27" s="178"/>
      <c r="AE27" s="72"/>
      <c r="AF27" s="72"/>
      <c r="AG27" s="72"/>
      <c r="AI27" s="72"/>
    </row>
    <row r="28" spans="1:35">
      <c r="E28" s="72" t="s">
        <v>2458</v>
      </c>
      <c r="S28" s="70"/>
      <c r="AA28" s="72"/>
      <c r="AC28" s="70"/>
      <c r="AE28" s="72"/>
      <c r="AF28" s="72"/>
      <c r="AI28" s="72"/>
    </row>
    <row r="29" spans="1:35">
      <c r="E29" s="72" t="s">
        <v>2459</v>
      </c>
      <c r="S29" s="70"/>
      <c r="U29" s="70"/>
      <c r="AA29" s="72"/>
      <c r="AC29" s="178"/>
      <c r="AE29" s="72"/>
      <c r="AF29" s="72"/>
      <c r="AI29" s="72"/>
    </row>
    <row r="30" spans="1:35">
      <c r="E30" s="72" t="s">
        <v>2460</v>
      </c>
      <c r="S30" s="70"/>
      <c r="U30" s="70"/>
      <c r="AA30" s="72"/>
      <c r="AC30" s="70"/>
      <c r="AE30" s="72"/>
      <c r="AF30" s="72"/>
      <c r="AI30" s="72"/>
    </row>
    <row r="31" spans="1:35">
      <c r="B31" s="490" t="s">
        <v>2461</v>
      </c>
      <c r="C31" s="455"/>
      <c r="D31" s="491">
        <v>0</v>
      </c>
      <c r="G31" s="78"/>
      <c r="S31" s="70"/>
      <c r="AA31" s="72"/>
      <c r="AC31" s="178"/>
      <c r="AE31" s="72"/>
      <c r="AF31" s="72"/>
    </row>
    <row r="32" spans="1:35">
      <c r="B32" s="492"/>
      <c r="C32" s="493" t="s">
        <v>2462</v>
      </c>
      <c r="D32" s="494">
        <v>6455.393896009773</v>
      </c>
      <c r="G32" s="78"/>
      <c r="AA32" s="72"/>
      <c r="AC32" s="70"/>
      <c r="AE32" s="72"/>
      <c r="AF32" s="72"/>
    </row>
    <row r="33" spans="1:33">
      <c r="A33" s="72" t="s">
        <v>766</v>
      </c>
      <c r="B33" s="495"/>
      <c r="C33" s="458"/>
      <c r="D33" s="496">
        <v>-6455.393896009773</v>
      </c>
      <c r="G33" s="78"/>
      <c r="AA33" s="72"/>
      <c r="AC33" s="178"/>
      <c r="AE33" s="72"/>
      <c r="AF33" s="72"/>
      <c r="AG33" s="178"/>
    </row>
    <row r="34" spans="1:33">
      <c r="G34" s="78"/>
      <c r="AA34" s="72"/>
      <c r="AC34" s="70"/>
      <c r="AE34" s="72"/>
      <c r="AF34" s="72"/>
    </row>
    <row r="35" spans="1:33">
      <c r="A35" s="72" t="s">
        <v>2463</v>
      </c>
      <c r="G35" s="78"/>
      <c r="S35" s="70"/>
      <c r="U35" s="70"/>
      <c r="AA35" s="72"/>
      <c r="AC35" s="70"/>
      <c r="AE35" s="72"/>
      <c r="AF35" s="72"/>
    </row>
    <row r="36" spans="1:33">
      <c r="A36" s="72" t="s">
        <v>2464</v>
      </c>
      <c r="S36" s="70"/>
      <c r="AA36" s="72"/>
      <c r="AC36" s="70"/>
      <c r="AE36" s="72"/>
      <c r="AF36" s="72"/>
    </row>
    <row r="37" spans="1:33">
      <c r="A37" s="72" t="s">
        <v>2465</v>
      </c>
      <c r="S37" s="70"/>
      <c r="AA37" s="72"/>
      <c r="AC37" s="70"/>
      <c r="AE37" s="72"/>
      <c r="AF37" s="72"/>
    </row>
    <row r="38" spans="1:33">
      <c r="A38" s="72" t="s">
        <v>2466</v>
      </c>
      <c r="S38" s="70"/>
      <c r="AA38" s="72"/>
      <c r="AC38" s="70"/>
      <c r="AE38" s="72"/>
      <c r="AF38" s="72"/>
    </row>
    <row r="39" spans="1:33">
      <c r="A39" s="72" t="s">
        <v>2682</v>
      </c>
      <c r="S39" s="70"/>
      <c r="T39" s="70"/>
      <c r="AA39" s="72"/>
      <c r="AC39" s="178"/>
      <c r="AE39" s="72"/>
      <c r="AF39" s="72"/>
    </row>
    <row r="40" spans="1:33">
      <c r="A40" s="72" t="s">
        <v>2683</v>
      </c>
      <c r="U40" s="70"/>
      <c r="AA40" s="72"/>
      <c r="AC40" s="70"/>
      <c r="AD40" s="70"/>
      <c r="AE40" s="72"/>
      <c r="AF40" s="72"/>
    </row>
    <row r="41" spans="1:33">
      <c r="A41" s="476" t="s">
        <v>2684</v>
      </c>
      <c r="AA41" s="72"/>
      <c r="AC41" s="178"/>
    </row>
    <row r="42" spans="1:33">
      <c r="AA42" s="72"/>
      <c r="AC42" s="70"/>
    </row>
    <row r="43" spans="1:33">
      <c r="C43" s="70"/>
      <c r="AA43" s="72"/>
      <c r="AC43" s="178"/>
    </row>
    <row r="44" spans="1:33">
      <c r="AA44" s="72"/>
      <c r="AC44" s="70"/>
    </row>
    <row r="45" spans="1:33">
      <c r="AA45" s="72"/>
      <c r="AC45" s="178"/>
    </row>
    <row r="46" spans="1:33">
      <c r="AA46" s="72"/>
      <c r="AC46" s="70"/>
    </row>
    <row r="47" spans="1:33">
      <c r="AA47" s="72"/>
      <c r="AC47" s="178"/>
    </row>
    <row r="48" spans="1:33">
      <c r="AA48" s="72"/>
      <c r="AC48" s="70"/>
    </row>
    <row r="49" spans="1:29">
      <c r="AA49" s="72"/>
      <c r="AC49" s="178"/>
    </row>
    <row r="50" spans="1:29">
      <c r="AA50" s="72"/>
      <c r="AC50" s="70"/>
    </row>
    <row r="51" spans="1:29">
      <c r="AA51" s="72"/>
      <c r="AC51" s="178"/>
    </row>
    <row r="52" spans="1:29">
      <c r="T52" s="70"/>
      <c r="AA52" s="72"/>
      <c r="AC52" s="70"/>
    </row>
    <row r="54" spans="1:29">
      <c r="S54" s="497"/>
    </row>
    <row r="56" spans="1:29">
      <c r="U56" s="497"/>
    </row>
    <row r="58" spans="1:29">
      <c r="B58" s="498"/>
      <c r="E58" s="73">
        <v>-115926.15999999642</v>
      </c>
    </row>
    <row r="61" spans="1:29">
      <c r="A61" s="72" t="s">
        <v>2685</v>
      </c>
    </row>
    <row r="62" spans="1:29">
      <c r="A62" s="72" t="s">
        <v>2686</v>
      </c>
      <c r="L62" s="179"/>
      <c r="M62" s="179"/>
      <c r="N62" s="179"/>
    </row>
    <row r="63" spans="1:29">
      <c r="A63" s="72" t="s">
        <v>1557</v>
      </c>
      <c r="L63" s="179"/>
      <c r="M63" s="179"/>
      <c r="N63" s="179"/>
      <c r="Q63" s="70"/>
    </row>
    <row r="64" spans="1:29">
      <c r="A64" s="72" t="s">
        <v>2687</v>
      </c>
      <c r="L64" s="179"/>
      <c r="M64" s="179"/>
      <c r="N64" s="179"/>
    </row>
    <row r="65" spans="1:15">
      <c r="A65" s="72" t="s">
        <v>2688</v>
      </c>
      <c r="C65" s="179"/>
      <c r="D65" s="183" t="s">
        <v>2689</v>
      </c>
      <c r="E65" s="183" t="s">
        <v>2690</v>
      </c>
      <c r="I65" s="476" t="s">
        <v>2691</v>
      </c>
      <c r="L65" s="179"/>
      <c r="M65" s="179"/>
      <c r="N65" s="179"/>
    </row>
    <row r="66" spans="1:15">
      <c r="C66" s="179"/>
      <c r="D66" s="183" t="s">
        <v>2692</v>
      </c>
      <c r="E66" s="183" t="s">
        <v>2693</v>
      </c>
      <c r="F66" s="183" t="s">
        <v>2419</v>
      </c>
      <c r="I66" s="72" t="s">
        <v>2694</v>
      </c>
      <c r="L66" s="179"/>
      <c r="M66" s="179"/>
      <c r="N66" s="179"/>
    </row>
    <row r="67" spans="1:15">
      <c r="C67" s="179"/>
      <c r="D67" s="72" t="s">
        <v>1073</v>
      </c>
      <c r="E67" s="72" t="s">
        <v>1073</v>
      </c>
      <c r="F67" s="72" t="s">
        <v>1073</v>
      </c>
      <c r="I67" s="183" t="s">
        <v>2695</v>
      </c>
      <c r="J67" s="183" t="s">
        <v>2696</v>
      </c>
      <c r="L67" s="179"/>
      <c r="M67" s="179"/>
      <c r="N67" s="179"/>
    </row>
    <row r="68" spans="1:15">
      <c r="F68" s="70"/>
      <c r="I68" s="72" t="s">
        <v>1479</v>
      </c>
      <c r="J68" s="72" t="s">
        <v>1479</v>
      </c>
      <c r="M68" s="179"/>
      <c r="N68" s="179"/>
    </row>
    <row r="69" spans="1:15">
      <c r="C69" s="179"/>
      <c r="F69" s="70"/>
    </row>
    <row r="70" spans="1:15">
      <c r="A70" s="72" t="s">
        <v>2697</v>
      </c>
      <c r="C70" s="180"/>
      <c r="D70" s="71">
        <v>465719680.06000006</v>
      </c>
      <c r="E70" s="71">
        <v>465719680.06000006</v>
      </c>
      <c r="F70" s="71">
        <v>0</v>
      </c>
      <c r="G70" s="182"/>
      <c r="H70" s="72" t="s">
        <v>1910</v>
      </c>
      <c r="I70" s="70">
        <v>1387222.33</v>
      </c>
      <c r="J70" s="70">
        <v>0</v>
      </c>
    </row>
    <row r="71" spans="1:15">
      <c r="A71" s="72" t="s">
        <v>2698</v>
      </c>
      <c r="C71" s="180"/>
      <c r="E71" s="71">
        <v>210831570.31999999</v>
      </c>
      <c r="G71" s="182">
        <v>115926.16000000061</v>
      </c>
      <c r="H71" s="72" t="s">
        <v>588</v>
      </c>
      <c r="I71" s="70">
        <v>1815678.7</v>
      </c>
      <c r="J71" s="70">
        <v>0</v>
      </c>
    </row>
    <row r="72" spans="1:15">
      <c r="A72" s="72" t="s">
        <v>2699</v>
      </c>
      <c r="C72" s="180"/>
      <c r="D72" s="71">
        <v>213214225.13</v>
      </c>
      <c r="E72" s="71">
        <v>2266728.6500000018</v>
      </c>
      <c r="F72" s="71">
        <v>115926.16000000061</v>
      </c>
      <c r="G72" s="182">
        <v>1654930.4200000002</v>
      </c>
      <c r="H72" s="72" t="s">
        <v>598</v>
      </c>
      <c r="I72" s="70">
        <v>2090017.82</v>
      </c>
      <c r="J72" s="70">
        <v>0</v>
      </c>
      <c r="K72" s="499"/>
    </row>
    <row r="73" spans="1:15" ht="12.75" thickBot="1">
      <c r="A73" s="72" t="s">
        <v>2700</v>
      </c>
      <c r="C73" s="180"/>
      <c r="D73" s="71">
        <v>589561852.10000002</v>
      </c>
      <c r="E73" s="448">
        <v>589561852.10000002</v>
      </c>
      <c r="F73" s="71">
        <v>0</v>
      </c>
      <c r="G73" s="500" t="s">
        <v>2701</v>
      </c>
      <c r="H73" s="72" t="s">
        <v>609</v>
      </c>
      <c r="I73" s="70">
        <v>2203918.77</v>
      </c>
      <c r="J73" s="70">
        <v>0</v>
      </c>
      <c r="K73" s="180"/>
    </row>
    <row r="74" spans="1:15" ht="13.5" thickTop="1" thickBot="1">
      <c r="A74" s="72" t="s">
        <v>2702</v>
      </c>
      <c r="C74" s="180"/>
      <c r="D74" s="71">
        <v>10427964.57</v>
      </c>
      <c r="E74" s="448">
        <v>10427964.57</v>
      </c>
      <c r="F74" s="71">
        <v>0</v>
      </c>
      <c r="G74" s="182"/>
      <c r="H74" s="72" t="s">
        <v>618</v>
      </c>
      <c r="I74" s="70">
        <v>2190466.14</v>
      </c>
      <c r="J74" s="70">
        <v>0</v>
      </c>
      <c r="K74" s="499"/>
    </row>
    <row r="75" spans="1:15" ht="12.75" thickTop="1">
      <c r="A75" s="72" t="s">
        <v>2703</v>
      </c>
      <c r="C75" s="180"/>
      <c r="D75" s="71">
        <v>0</v>
      </c>
      <c r="E75" s="71">
        <v>0</v>
      </c>
      <c r="F75" s="71">
        <v>0</v>
      </c>
      <c r="G75" s="182"/>
      <c r="H75" s="72" t="s">
        <v>629</v>
      </c>
      <c r="I75" s="70">
        <v>1981656.87</v>
      </c>
      <c r="J75" s="70">
        <v>0</v>
      </c>
      <c r="K75" s="499"/>
    </row>
    <row r="76" spans="1:15">
      <c r="A76" s="72" t="s">
        <v>2704</v>
      </c>
      <c r="C76" s="180"/>
      <c r="D76" s="71">
        <v>21280037.259999998</v>
      </c>
      <c r="E76" s="71">
        <v>21280037.259999998</v>
      </c>
      <c r="F76" s="71">
        <v>0</v>
      </c>
      <c r="G76" s="182"/>
      <c r="H76" s="72" t="s">
        <v>639</v>
      </c>
      <c r="I76" s="70">
        <v>1527073.84</v>
      </c>
      <c r="J76" s="70">
        <v>0</v>
      </c>
      <c r="K76" s="499"/>
    </row>
    <row r="77" spans="1:15">
      <c r="A77" s="72" t="s">
        <v>2705</v>
      </c>
      <c r="C77" s="180"/>
      <c r="D77" s="71">
        <v>10963837.349999998</v>
      </c>
      <c r="F77" s="71">
        <v>10963837.349999998</v>
      </c>
      <c r="G77" s="182"/>
      <c r="H77" s="72" t="s">
        <v>649</v>
      </c>
      <c r="I77" s="70">
        <v>1460074.84</v>
      </c>
      <c r="J77" s="70">
        <v>0</v>
      </c>
      <c r="K77" s="499"/>
      <c r="M77" s="179"/>
      <c r="N77" s="179"/>
      <c r="O77" s="179"/>
    </row>
    <row r="78" spans="1:15" ht="12.75" thickBot="1">
      <c r="A78" s="72" t="s">
        <v>2706</v>
      </c>
      <c r="C78" s="180"/>
      <c r="D78" s="71">
        <v>3290650</v>
      </c>
      <c r="E78" s="448">
        <v>3290650</v>
      </c>
      <c r="F78" s="71">
        <v>0</v>
      </c>
      <c r="G78" s="182"/>
      <c r="H78" s="72" t="s">
        <v>658</v>
      </c>
      <c r="I78" s="70">
        <v>2106274.2000000002</v>
      </c>
      <c r="J78" s="70">
        <v>0</v>
      </c>
      <c r="M78" s="179"/>
      <c r="N78" s="179"/>
      <c r="O78" s="179"/>
    </row>
    <row r="79" spans="1:15" ht="12.75" thickTop="1">
      <c r="A79" s="72" t="s">
        <v>2707</v>
      </c>
      <c r="C79" s="180"/>
      <c r="D79" s="70">
        <v>729974.23210400017</v>
      </c>
      <c r="E79" s="71">
        <v>729974.23210400017</v>
      </c>
      <c r="F79" s="71">
        <v>0</v>
      </c>
      <c r="G79" s="182"/>
      <c r="H79" s="72" t="s">
        <v>669</v>
      </c>
      <c r="I79" s="70">
        <v>1838156.45</v>
      </c>
      <c r="J79" s="70">
        <v>0</v>
      </c>
      <c r="M79" s="179"/>
      <c r="N79" s="179"/>
      <c r="O79" s="179"/>
    </row>
    <row r="80" spans="1:15" ht="12.75" thickBot="1">
      <c r="A80" s="72" t="s">
        <v>2708</v>
      </c>
      <c r="C80" s="180"/>
      <c r="D80" s="71">
        <v>29079897.899999999</v>
      </c>
      <c r="E80" s="448">
        <v>29079897.899999999</v>
      </c>
      <c r="F80" s="71">
        <v>0</v>
      </c>
      <c r="G80" s="182"/>
      <c r="H80" s="72" t="s">
        <v>679</v>
      </c>
      <c r="I80" s="70">
        <v>1390940.83</v>
      </c>
      <c r="J80" s="70">
        <v>0</v>
      </c>
      <c r="M80" s="179"/>
      <c r="N80" s="179"/>
      <c r="O80" s="179"/>
    </row>
    <row r="81" spans="1:256" ht="12.75" thickTop="1">
      <c r="A81" s="72" t="s">
        <v>2709</v>
      </c>
      <c r="C81" s="180"/>
      <c r="D81" s="70">
        <v>146600472.134</v>
      </c>
      <c r="E81" s="70">
        <v>146600471.49399999</v>
      </c>
      <c r="F81" s="71">
        <v>0.64000001549720764</v>
      </c>
      <c r="G81" s="178" t="s">
        <v>1932</v>
      </c>
      <c r="H81" s="72" t="s">
        <v>1557</v>
      </c>
      <c r="I81" s="70">
        <v>1288556.47</v>
      </c>
      <c r="J81" s="70">
        <v>0</v>
      </c>
      <c r="K81" s="70"/>
      <c r="L81" s="179"/>
      <c r="M81" s="179"/>
      <c r="N81" s="179"/>
      <c r="O81" s="179"/>
    </row>
    <row r="82" spans="1:256">
      <c r="A82" s="72" t="s">
        <v>2710</v>
      </c>
      <c r="C82" s="180"/>
      <c r="D82" s="71">
        <v>62474531.049999997</v>
      </c>
      <c r="E82" s="71">
        <v>62474531.049999997</v>
      </c>
      <c r="F82" s="71">
        <v>0</v>
      </c>
      <c r="G82" s="182"/>
      <c r="I82" s="72" t="s">
        <v>1102</v>
      </c>
      <c r="J82" s="443" t="s">
        <v>1583</v>
      </c>
      <c r="L82" s="179"/>
      <c r="M82" s="179"/>
      <c r="N82" s="179"/>
      <c r="O82" s="179"/>
    </row>
    <row r="83" spans="1:256">
      <c r="A83" s="72" t="s">
        <v>2711</v>
      </c>
      <c r="C83" s="180"/>
      <c r="D83" s="71">
        <v>0</v>
      </c>
      <c r="F83" s="71">
        <v>0</v>
      </c>
      <c r="G83" s="182"/>
      <c r="H83" s="72" t="s">
        <v>2452</v>
      </c>
      <c r="I83" s="71">
        <v>21280037.259999998</v>
      </c>
      <c r="J83" s="71">
        <v>0</v>
      </c>
      <c r="L83" s="179"/>
      <c r="M83" s="179"/>
      <c r="N83" s="179"/>
      <c r="O83" s="179"/>
    </row>
    <row r="84" spans="1:256">
      <c r="A84" s="72" t="s">
        <v>2712</v>
      </c>
      <c r="C84" s="180"/>
      <c r="D84" s="70"/>
      <c r="E84" s="71">
        <v>10970292.743896008</v>
      </c>
      <c r="F84" s="71">
        <v>-10970292.743896008</v>
      </c>
      <c r="G84" s="182"/>
    </row>
    <row r="85" spans="1:256">
      <c r="A85" s="72" t="s">
        <v>2713</v>
      </c>
      <c r="C85" s="179"/>
      <c r="F85" s="71">
        <v>-109471.40610384941</v>
      </c>
      <c r="G85" s="170" t="s">
        <v>3501</v>
      </c>
      <c r="I85" s="179"/>
    </row>
    <row r="86" spans="1:256">
      <c r="D86" s="72" t="s">
        <v>2714</v>
      </c>
      <c r="E86" s="72" t="s">
        <v>2714</v>
      </c>
      <c r="F86" s="443" t="s">
        <v>1583</v>
      </c>
      <c r="G86" s="179"/>
      <c r="IU86" s="72" t="s">
        <v>2715</v>
      </c>
      <c r="IV86" s="72" t="s">
        <v>2716</v>
      </c>
    </row>
    <row r="87" spans="1:256">
      <c r="A87" s="72" t="s">
        <v>2581</v>
      </c>
      <c r="D87" s="71">
        <v>1553343121.786104</v>
      </c>
      <c r="E87" s="71">
        <v>1553233650.3800001</v>
      </c>
      <c r="F87" s="71">
        <v>1.5646219253540039E-7</v>
      </c>
      <c r="H87" s="72" t="s">
        <v>2717</v>
      </c>
      <c r="IU87" s="72" t="s">
        <v>2397</v>
      </c>
      <c r="IV87" s="72" t="s">
        <v>2398</v>
      </c>
    </row>
    <row r="88" spans="1:256">
      <c r="D88" s="72" t="s">
        <v>2718</v>
      </c>
      <c r="E88" s="72" t="s">
        <v>2718</v>
      </c>
      <c r="F88" s="443" t="s">
        <v>510</v>
      </c>
      <c r="IU88" s="72" t="s">
        <v>2400</v>
      </c>
      <c r="IV88" s="72" t="s">
        <v>2401</v>
      </c>
    </row>
    <row r="89" spans="1:256">
      <c r="A89" s="72" t="s">
        <v>2719</v>
      </c>
      <c r="C89" s="482"/>
      <c r="G89" s="179"/>
      <c r="I89" s="179"/>
      <c r="J89" s="179"/>
      <c r="IU89" s="72" t="s">
        <v>2402</v>
      </c>
      <c r="IV89" s="72" t="s">
        <v>2403</v>
      </c>
    </row>
    <row r="90" spans="1:256">
      <c r="C90" s="179"/>
      <c r="D90" s="72" t="s">
        <v>2720</v>
      </c>
      <c r="G90" s="179"/>
      <c r="I90" s="179"/>
      <c r="J90" s="179"/>
      <c r="IU90" s="72" t="s">
        <v>2668</v>
      </c>
      <c r="IV90" s="72" t="s">
        <v>2405</v>
      </c>
    </row>
    <row r="91" spans="1:256">
      <c r="C91" s="179"/>
      <c r="F91" s="74"/>
      <c r="G91" s="179"/>
      <c r="H91" s="72" t="s">
        <v>2721</v>
      </c>
      <c r="I91" s="179"/>
      <c r="J91" s="179"/>
      <c r="IU91" s="72" t="s">
        <v>2430</v>
      </c>
      <c r="IV91" s="72" t="s">
        <v>2431</v>
      </c>
    </row>
    <row r="92" spans="1:256">
      <c r="A92" s="72" t="s">
        <v>2722</v>
      </c>
      <c r="D92" s="174"/>
      <c r="F92" s="74"/>
      <c r="G92" s="179"/>
      <c r="IU92" s="72" t="s">
        <v>2432</v>
      </c>
      <c r="IV92" s="72" t="s">
        <v>2433</v>
      </c>
    </row>
    <row r="93" spans="1:256">
      <c r="A93" s="72" t="s">
        <v>2723</v>
      </c>
      <c r="E93" s="73">
        <v>109471.40610384941</v>
      </c>
      <c r="H93" s="72" t="s">
        <v>2724</v>
      </c>
      <c r="IU93" s="72" t="s">
        <v>2434</v>
      </c>
      <c r="IV93" s="72" t="s">
        <v>2435</v>
      </c>
    </row>
    <row r="94" spans="1:256">
      <c r="A94" s="72" t="s">
        <v>2725</v>
      </c>
      <c r="H94" s="72" t="s">
        <v>2726</v>
      </c>
      <c r="IU94" s="72" t="s">
        <v>2436</v>
      </c>
      <c r="IV94" s="72" t="s">
        <v>2437</v>
      </c>
    </row>
    <row r="95" spans="1:256">
      <c r="A95" s="72" t="s">
        <v>2727</v>
      </c>
      <c r="H95" s="72" t="s">
        <v>2728</v>
      </c>
      <c r="IU95" s="72" t="s">
        <v>2438</v>
      </c>
      <c r="IV95" s="72" t="s">
        <v>2439</v>
      </c>
    </row>
    <row r="96" spans="1:256">
      <c r="A96" s="72" t="s">
        <v>2729</v>
      </c>
      <c r="E96" s="73">
        <v>-6455.393896009773</v>
      </c>
      <c r="H96" s="72" t="s">
        <v>2730</v>
      </c>
      <c r="IU96" s="72" t="s">
        <v>2440</v>
      </c>
      <c r="IV96" s="72" t="s">
        <v>2441</v>
      </c>
    </row>
    <row r="97" spans="1:256">
      <c r="A97" s="72" t="s">
        <v>2731</v>
      </c>
      <c r="C97" s="179"/>
      <c r="E97" s="73">
        <v>115926.79999985918</v>
      </c>
      <c r="G97" s="179"/>
      <c r="H97" s="72" t="s">
        <v>2732</v>
      </c>
      <c r="I97" s="179"/>
      <c r="J97" s="179"/>
      <c r="IU97" s="72" t="s">
        <v>2442</v>
      </c>
      <c r="IV97" s="72" t="s">
        <v>2443</v>
      </c>
    </row>
    <row r="98" spans="1:256">
      <c r="A98" s="72" t="s">
        <v>2733</v>
      </c>
      <c r="C98" s="179"/>
      <c r="G98" s="179"/>
      <c r="H98" s="72" t="s">
        <v>2734</v>
      </c>
      <c r="I98" s="179"/>
      <c r="J98" s="179"/>
      <c r="IU98" s="72" t="s">
        <v>2444</v>
      </c>
      <c r="IV98" s="72" t="s">
        <v>2445</v>
      </c>
    </row>
    <row r="99" spans="1:256">
      <c r="A99" s="72" t="s">
        <v>2735</v>
      </c>
      <c r="C99" s="482"/>
      <c r="D99" s="174"/>
      <c r="F99" s="74"/>
      <c r="H99" s="72" t="s">
        <v>2736</v>
      </c>
      <c r="I99" s="179"/>
      <c r="IU99" s="72" t="s">
        <v>2446</v>
      </c>
      <c r="IV99" s="72" t="s">
        <v>2447</v>
      </c>
    </row>
    <row r="100" spans="1:256">
      <c r="A100" s="72" t="s">
        <v>2737</v>
      </c>
      <c r="C100" s="179"/>
      <c r="D100" s="179"/>
      <c r="H100" s="72" t="s">
        <v>2738</v>
      </c>
      <c r="I100" s="179"/>
      <c r="J100" s="179"/>
      <c r="U100" s="70"/>
      <c r="IU100" s="72" t="s">
        <v>2448</v>
      </c>
      <c r="IV100" s="72" t="s">
        <v>2449</v>
      </c>
    </row>
    <row r="101" spans="1:256">
      <c r="A101" s="72" t="s">
        <v>2739</v>
      </c>
      <c r="C101" s="179"/>
      <c r="D101" s="179"/>
      <c r="H101" s="72" t="s">
        <v>2740</v>
      </c>
      <c r="I101" s="179"/>
      <c r="J101" s="179"/>
      <c r="IU101" s="72" t="s">
        <v>2450</v>
      </c>
      <c r="IV101" s="72" t="s">
        <v>2451</v>
      </c>
    </row>
    <row r="102" spans="1:256">
      <c r="A102" s="72" t="s">
        <v>2741</v>
      </c>
      <c r="H102" s="72" t="s">
        <v>2742</v>
      </c>
      <c r="IU102" s="72" t="s">
        <v>2454</v>
      </c>
      <c r="IV102" s="72" t="s">
        <v>2447</v>
      </c>
    </row>
    <row r="103" spans="1:256">
      <c r="A103" s="72" t="s">
        <v>2743</v>
      </c>
      <c r="H103" s="72" t="s">
        <v>2744</v>
      </c>
    </row>
    <row r="104" spans="1:256">
      <c r="A104" s="72" t="s">
        <v>2745</v>
      </c>
      <c r="C104" s="179"/>
      <c r="D104" s="179"/>
      <c r="F104" s="179"/>
      <c r="G104" s="179"/>
      <c r="H104" s="72" t="s">
        <v>2746</v>
      </c>
      <c r="I104" s="179"/>
      <c r="J104" s="179"/>
    </row>
    <row r="105" spans="1:256">
      <c r="A105" s="72" t="s">
        <v>2747</v>
      </c>
      <c r="C105" s="482"/>
      <c r="D105" s="179"/>
      <c r="H105" s="72" t="s">
        <v>2748</v>
      </c>
      <c r="I105" s="179"/>
    </row>
    <row r="106" spans="1:256">
      <c r="A106" s="72" t="s">
        <v>2749</v>
      </c>
      <c r="C106" s="179"/>
      <c r="D106" s="179"/>
      <c r="H106" s="72" t="s">
        <v>2750</v>
      </c>
      <c r="I106" s="179"/>
      <c r="J106" s="179"/>
    </row>
    <row r="107" spans="1:256">
      <c r="A107" s="72" t="s">
        <v>2751</v>
      </c>
      <c r="C107" s="179"/>
      <c r="D107" s="179"/>
      <c r="H107" s="72" t="s">
        <v>2752</v>
      </c>
      <c r="I107" s="179"/>
      <c r="J107" s="179"/>
    </row>
    <row r="108" spans="1:256">
      <c r="A108" s="72" t="s">
        <v>2753</v>
      </c>
      <c r="H108" s="72" t="s">
        <v>2754</v>
      </c>
    </row>
    <row r="109" spans="1:256">
      <c r="A109" s="72" t="s">
        <v>2755</v>
      </c>
    </row>
    <row r="110" spans="1:256">
      <c r="A110" s="72" t="s">
        <v>2756</v>
      </c>
      <c r="C110" s="179"/>
      <c r="D110" s="179"/>
      <c r="F110" s="179"/>
      <c r="G110" s="179"/>
      <c r="H110" s="179"/>
      <c r="I110" s="179"/>
      <c r="J110" s="179"/>
    </row>
    <row r="111" spans="1:256" ht="12.75">
      <c r="A111" s="72" t="s">
        <v>2757</v>
      </c>
      <c r="C111" s="482"/>
      <c r="D111" s="179"/>
      <c r="I111" s="179"/>
      <c r="N111" s="501"/>
    </row>
    <row r="112" spans="1:256">
      <c r="A112" s="72" t="s">
        <v>2758</v>
      </c>
      <c r="C112" s="179"/>
      <c r="D112" s="179"/>
      <c r="I112" s="179"/>
      <c r="J112" s="179"/>
      <c r="T112" s="70"/>
    </row>
    <row r="113" spans="1:21">
      <c r="A113" s="72" t="s">
        <v>2759</v>
      </c>
      <c r="C113" s="179"/>
      <c r="D113" s="179"/>
      <c r="I113" s="179"/>
      <c r="J113" s="179"/>
    </row>
    <row r="114" spans="1:21">
      <c r="A114" s="70"/>
      <c r="S114" s="497"/>
    </row>
    <row r="116" spans="1:21">
      <c r="U116" s="497"/>
    </row>
    <row r="118" spans="1:21">
      <c r="B118" s="485"/>
      <c r="E118" s="485"/>
    </row>
    <row r="121" spans="1:21">
      <c r="A121" s="72" t="s">
        <v>2155</v>
      </c>
    </row>
    <row r="122" spans="1:21">
      <c r="A122" s="72" t="s">
        <v>2760</v>
      </c>
    </row>
    <row r="123" spans="1:21">
      <c r="A123" s="72" t="s">
        <v>1557</v>
      </c>
    </row>
    <row r="124" spans="1:21">
      <c r="A124" s="72" t="s">
        <v>2761</v>
      </c>
    </row>
    <row r="125" spans="1:21">
      <c r="A125" s="72" t="s">
        <v>2762</v>
      </c>
    </row>
    <row r="126" spans="1:21">
      <c r="B126" s="183" t="s">
        <v>2158</v>
      </c>
      <c r="C126" s="183" t="s">
        <v>2159</v>
      </c>
      <c r="D126" s="502" t="s">
        <v>2160</v>
      </c>
      <c r="E126" s="502" t="s">
        <v>2161</v>
      </c>
      <c r="F126" s="502" t="s">
        <v>2162</v>
      </c>
      <c r="G126" s="502" t="s">
        <v>78</v>
      </c>
      <c r="H126" s="502" t="s">
        <v>79</v>
      </c>
      <c r="I126" s="183" t="s">
        <v>80</v>
      </c>
      <c r="J126" s="183" t="s">
        <v>81</v>
      </c>
      <c r="K126" s="183" t="s">
        <v>82</v>
      </c>
      <c r="L126" s="183" t="s">
        <v>83</v>
      </c>
      <c r="M126" s="449">
        <v>-12</v>
      </c>
      <c r="P126" s="183" t="s">
        <v>3712</v>
      </c>
      <c r="Q126" s="183" t="s">
        <v>2763</v>
      </c>
    </row>
    <row r="127" spans="1:21">
      <c r="C127" s="183" t="s">
        <v>3473</v>
      </c>
      <c r="E127" s="183" t="s">
        <v>2764</v>
      </c>
      <c r="F127" s="183" t="s">
        <v>2581</v>
      </c>
      <c r="H127" s="183" t="s">
        <v>2765</v>
      </c>
      <c r="K127" s="183" t="s">
        <v>2766</v>
      </c>
      <c r="L127" s="183" t="s">
        <v>2767</v>
      </c>
      <c r="M127" s="170" t="s">
        <v>2075</v>
      </c>
    </row>
    <row r="128" spans="1:21">
      <c r="B128" s="183" t="s">
        <v>2768</v>
      </c>
      <c r="C128" s="183" t="s">
        <v>1491</v>
      </c>
      <c r="D128" s="183" t="s">
        <v>2769</v>
      </c>
      <c r="E128" s="183" t="s">
        <v>2770</v>
      </c>
      <c r="F128" s="183" t="s">
        <v>2771</v>
      </c>
      <c r="H128" s="183" t="s">
        <v>2772</v>
      </c>
      <c r="I128" s="183" t="s">
        <v>2773</v>
      </c>
      <c r="J128" s="183" t="s">
        <v>2774</v>
      </c>
      <c r="K128" s="183" t="s">
        <v>2775</v>
      </c>
      <c r="L128" s="183" t="s">
        <v>2408</v>
      </c>
      <c r="M128" s="183" t="s">
        <v>2776</v>
      </c>
      <c r="N128" s="72" t="s">
        <v>2777</v>
      </c>
      <c r="P128" s="71">
        <v>62474531.049999997</v>
      </c>
      <c r="Q128" s="71">
        <v>4303548.3499999996</v>
      </c>
    </row>
    <row r="129" spans="1:17">
      <c r="B129" s="183" t="s">
        <v>2666</v>
      </c>
      <c r="C129" s="183" t="s">
        <v>2778</v>
      </c>
      <c r="D129" s="183" t="s">
        <v>2779</v>
      </c>
      <c r="E129" s="183" t="s">
        <v>2251</v>
      </c>
      <c r="F129" s="183" t="s">
        <v>3691</v>
      </c>
      <c r="G129" s="183" t="s">
        <v>2780</v>
      </c>
      <c r="H129" s="183" t="s">
        <v>2666</v>
      </c>
      <c r="I129" s="183" t="s">
        <v>1984</v>
      </c>
      <c r="J129" s="183" t="s">
        <v>1996</v>
      </c>
      <c r="K129" s="183" t="s">
        <v>2781</v>
      </c>
      <c r="L129" s="183" t="s">
        <v>1985</v>
      </c>
      <c r="M129" s="449" t="s">
        <v>2782</v>
      </c>
      <c r="N129" s="72" t="s">
        <v>2783</v>
      </c>
      <c r="P129" s="71">
        <v>40354804.57</v>
      </c>
      <c r="Q129" s="71">
        <v>2747743.85</v>
      </c>
    </row>
    <row r="130" spans="1:17" ht="12.75" thickBot="1">
      <c r="B130" s="72" t="s">
        <v>970</v>
      </c>
      <c r="C130" s="72" t="s">
        <v>970</v>
      </c>
      <c r="D130" s="72" t="s">
        <v>970</v>
      </c>
      <c r="E130" s="72" t="s">
        <v>970</v>
      </c>
      <c r="F130" s="72" t="s">
        <v>970</v>
      </c>
      <c r="G130" s="72" t="s">
        <v>970</v>
      </c>
      <c r="H130" s="72" t="s">
        <v>970</v>
      </c>
      <c r="I130" s="72" t="s">
        <v>970</v>
      </c>
      <c r="J130" s="72" t="s">
        <v>970</v>
      </c>
      <c r="K130" s="72" t="s">
        <v>1479</v>
      </c>
      <c r="L130" s="72" t="s">
        <v>1479</v>
      </c>
      <c r="M130" s="72" t="s">
        <v>1479</v>
      </c>
      <c r="P130" s="503">
        <v>22119726.479999997</v>
      </c>
      <c r="Q130" s="503">
        <v>1555804.4999999995</v>
      </c>
    </row>
    <row r="131" spans="1:17" ht="12.75" thickTop="1"/>
    <row r="132" spans="1:17">
      <c r="A132" s="72" t="s">
        <v>1910</v>
      </c>
      <c r="B132" s="70">
        <v>30753717.719999999</v>
      </c>
      <c r="C132" s="75">
        <v>4739772.3099999996</v>
      </c>
      <c r="D132" s="75">
        <v>2652622.84</v>
      </c>
      <c r="E132" s="75">
        <v>92660.479999999996</v>
      </c>
      <c r="F132" s="71">
        <v>79923.830000000075</v>
      </c>
      <c r="G132" s="70">
        <v>0</v>
      </c>
      <c r="H132" s="75">
        <v>13097754.460000001</v>
      </c>
      <c r="I132" s="70">
        <v>39127041.549999997</v>
      </c>
      <c r="J132" s="75">
        <v>-944802.36</v>
      </c>
      <c r="K132" s="70">
        <v>0</v>
      </c>
      <c r="L132" s="70">
        <v>1387222.33</v>
      </c>
      <c r="M132" s="73">
        <v>0</v>
      </c>
      <c r="N132" s="72" t="s">
        <v>2784</v>
      </c>
      <c r="P132" s="71">
        <v>3995918.2321040002</v>
      </c>
      <c r="Q132" s="71">
        <v>245617.67</v>
      </c>
    </row>
    <row r="133" spans="1:17">
      <c r="A133" s="72" t="s">
        <v>588</v>
      </c>
      <c r="B133" s="70">
        <v>40270457.089999996</v>
      </c>
      <c r="C133" s="75">
        <v>4878623.22</v>
      </c>
      <c r="D133" s="75">
        <v>2962637.11</v>
      </c>
      <c r="E133" s="75">
        <v>403061.64</v>
      </c>
      <c r="F133" s="71">
        <v>302650.06</v>
      </c>
      <c r="G133" s="70">
        <v>0</v>
      </c>
      <c r="H133" s="75">
        <v>15209852.35</v>
      </c>
      <c r="I133" s="70">
        <v>52666076.780000001</v>
      </c>
      <c r="J133" s="75">
        <v>960449.68</v>
      </c>
      <c r="K133" s="70">
        <v>0</v>
      </c>
      <c r="L133" s="70">
        <v>1815678.7</v>
      </c>
      <c r="M133" s="73">
        <v>101.46</v>
      </c>
      <c r="N133" s="72" t="s">
        <v>2785</v>
      </c>
      <c r="P133" s="71">
        <v>3290650</v>
      </c>
      <c r="Q133" s="71">
        <v>179571.36</v>
      </c>
    </row>
    <row r="134" spans="1:17">
      <c r="A134" s="72" t="s">
        <v>598</v>
      </c>
      <c r="B134" s="70">
        <v>45300246.680000015</v>
      </c>
      <c r="C134" s="75">
        <v>5686800.2799999993</v>
      </c>
      <c r="D134" s="75">
        <v>3722723.19</v>
      </c>
      <c r="E134" s="75">
        <v>600821.332696</v>
      </c>
      <c r="F134" s="71">
        <v>501334.99</v>
      </c>
      <c r="G134" s="70">
        <v>0</v>
      </c>
      <c r="H134" s="75">
        <v>19807957.579999998</v>
      </c>
      <c r="I134" s="70">
        <v>59366850.529999994</v>
      </c>
      <c r="J134" s="75">
        <v>4391395.9000000004</v>
      </c>
      <c r="K134" s="70">
        <v>0</v>
      </c>
      <c r="L134" s="70">
        <v>2090017.82</v>
      </c>
      <c r="M134" s="70">
        <v>0</v>
      </c>
      <c r="N134" s="72" t="s">
        <v>2786</v>
      </c>
      <c r="P134" s="71">
        <v>0</v>
      </c>
      <c r="Q134" s="71">
        <v>0</v>
      </c>
    </row>
    <row r="135" spans="1:17">
      <c r="A135" s="72" t="s">
        <v>609</v>
      </c>
      <c r="B135" s="70">
        <v>48753518.930000007</v>
      </c>
      <c r="C135" s="75">
        <v>6002942.5199999996</v>
      </c>
      <c r="D135" s="75">
        <v>3933848.82</v>
      </c>
      <c r="E135" s="75">
        <v>510481.06</v>
      </c>
      <c r="F135" s="71">
        <v>508097.76</v>
      </c>
      <c r="G135" s="70">
        <v>0</v>
      </c>
      <c r="H135" s="75">
        <v>25985924.369999997</v>
      </c>
      <c r="I135" s="70">
        <v>64296253.830000006</v>
      </c>
      <c r="J135" s="75">
        <v>108895.91</v>
      </c>
      <c r="K135" s="70">
        <v>0</v>
      </c>
      <c r="L135" s="70">
        <v>2203918.77</v>
      </c>
      <c r="M135" s="70">
        <v>0</v>
      </c>
      <c r="N135" s="456" t="s">
        <v>2787</v>
      </c>
      <c r="P135" s="70">
        <v>24706</v>
      </c>
      <c r="Q135" s="70">
        <v>817</v>
      </c>
    </row>
    <row r="136" spans="1:17">
      <c r="A136" s="72" t="s">
        <v>618</v>
      </c>
      <c r="B136" s="70">
        <v>46297740.409999996</v>
      </c>
      <c r="C136" s="75">
        <v>6145974.1800000006</v>
      </c>
      <c r="D136" s="75">
        <v>4141750.81</v>
      </c>
      <c r="E136" s="75">
        <v>515670.52</v>
      </c>
      <c r="F136" s="71">
        <v>413259.14</v>
      </c>
      <c r="G136" s="70">
        <v>0</v>
      </c>
      <c r="H136" s="75">
        <v>26556319.939999998</v>
      </c>
      <c r="I136" s="70">
        <v>61105708.990000002</v>
      </c>
      <c r="J136" s="75">
        <v>1972230.45</v>
      </c>
      <c r="K136" s="70">
        <v>0</v>
      </c>
      <c r="L136" s="70">
        <v>2190466.14</v>
      </c>
      <c r="M136" s="70">
        <v>-4494</v>
      </c>
    </row>
    <row r="137" spans="1:17" ht="12.75" thickBot="1">
      <c r="A137" s="72" t="s">
        <v>629</v>
      </c>
      <c r="B137" s="70">
        <v>43756453.580000013</v>
      </c>
      <c r="C137" s="75">
        <v>5488230.1399999997</v>
      </c>
      <c r="D137" s="75">
        <v>3901395.36</v>
      </c>
      <c r="E137" s="75">
        <v>370985.66039999999</v>
      </c>
      <c r="F137" s="71">
        <v>326176.75</v>
      </c>
      <c r="G137" s="70">
        <v>0</v>
      </c>
      <c r="H137" s="75">
        <v>20288448.259999998</v>
      </c>
      <c r="I137" s="70">
        <v>56679587.619999997</v>
      </c>
      <c r="J137" s="75">
        <v>778514.18</v>
      </c>
      <c r="K137" s="70">
        <v>0</v>
      </c>
      <c r="L137" s="70">
        <v>1981656.87</v>
      </c>
      <c r="M137" s="70">
        <v>0</v>
      </c>
      <c r="P137" s="503">
        <v>729974.23210400017</v>
      </c>
      <c r="Q137" s="503">
        <v>66863.310000000027</v>
      </c>
    </row>
    <row r="138" spans="1:17" ht="12.75" thickTop="1">
      <c r="A138" s="72" t="s">
        <v>639</v>
      </c>
      <c r="B138" s="70">
        <v>35245649.580000006</v>
      </c>
      <c r="C138" s="75">
        <v>4973531.7300000004</v>
      </c>
      <c r="D138" s="75">
        <v>3226265.05</v>
      </c>
      <c r="E138" s="75">
        <v>196666.07</v>
      </c>
      <c r="F138" s="71">
        <v>203603.20000000001</v>
      </c>
      <c r="G138" s="70">
        <v>0</v>
      </c>
      <c r="H138" s="75">
        <v>15351036.25</v>
      </c>
      <c r="I138" s="70">
        <v>42862509.320000008</v>
      </c>
      <c r="J138" s="75">
        <v>-2642371.9</v>
      </c>
      <c r="K138" s="70">
        <v>0</v>
      </c>
      <c r="L138" s="70">
        <v>1527073.84</v>
      </c>
      <c r="M138" s="70">
        <v>0</v>
      </c>
    </row>
    <row r="139" spans="1:17">
      <c r="A139" s="72" t="s">
        <v>649</v>
      </c>
      <c r="B139" s="70">
        <v>30110804.499999993</v>
      </c>
      <c r="C139" s="75">
        <v>4652672.2</v>
      </c>
      <c r="D139" s="75">
        <v>2749707.63</v>
      </c>
      <c r="E139" s="75">
        <v>237275.7</v>
      </c>
      <c r="F139" s="71">
        <v>193641.71</v>
      </c>
      <c r="G139" s="70">
        <v>0</v>
      </c>
      <c r="H139" s="75">
        <v>15563648.68</v>
      </c>
      <c r="I139" s="70">
        <v>38093182.360000007</v>
      </c>
      <c r="J139" s="75">
        <v>1765680.04</v>
      </c>
      <c r="K139" s="70">
        <v>0</v>
      </c>
      <c r="L139" s="70">
        <v>1460074.84</v>
      </c>
      <c r="M139" s="70">
        <v>0</v>
      </c>
    </row>
    <row r="140" spans="1:17">
      <c r="A140" s="72" t="s">
        <v>658</v>
      </c>
      <c r="B140" s="70">
        <v>41353555.630000003</v>
      </c>
      <c r="C140" s="75">
        <v>5289326.1100000003</v>
      </c>
      <c r="D140" s="75">
        <v>3328397</v>
      </c>
      <c r="E140" s="75">
        <v>466453.299008</v>
      </c>
      <c r="F140" s="71">
        <v>298203.73</v>
      </c>
      <c r="G140" s="70">
        <v>0</v>
      </c>
      <c r="H140" s="75">
        <v>17506279.600000001</v>
      </c>
      <c r="I140" s="70">
        <v>50531223.140000001</v>
      </c>
      <c r="J140" s="75">
        <v>1680521.92</v>
      </c>
      <c r="K140" s="70">
        <v>0</v>
      </c>
      <c r="L140" s="70">
        <v>2106274.2000000002</v>
      </c>
      <c r="M140" s="70">
        <v>-900</v>
      </c>
    </row>
    <row r="141" spans="1:17">
      <c r="A141" s="72" t="s">
        <v>669</v>
      </c>
      <c r="B141" s="70">
        <v>38766545.420000002</v>
      </c>
      <c r="C141" s="75">
        <v>5235057.76</v>
      </c>
      <c r="D141" s="75">
        <v>3576342.12</v>
      </c>
      <c r="E141" s="75">
        <v>234951.3</v>
      </c>
      <c r="F141" s="71">
        <v>40765.179999999818</v>
      </c>
      <c r="G141" s="70">
        <v>0</v>
      </c>
      <c r="H141" s="75">
        <v>14870187.129999999</v>
      </c>
      <c r="I141" s="70">
        <v>46186372.050000004</v>
      </c>
      <c r="J141" s="75">
        <v>3282384.55</v>
      </c>
      <c r="K141" s="70">
        <v>0</v>
      </c>
      <c r="L141" s="70">
        <v>1838156.45</v>
      </c>
      <c r="M141" s="70">
        <v>-35000</v>
      </c>
    </row>
    <row r="142" spans="1:17">
      <c r="A142" s="72" t="s">
        <v>679</v>
      </c>
      <c r="B142" s="70">
        <v>34079205.220000006</v>
      </c>
      <c r="C142" s="75">
        <v>5078052.25</v>
      </c>
      <c r="D142" s="75">
        <v>3411370.79</v>
      </c>
      <c r="E142" s="75">
        <v>121273.5</v>
      </c>
      <c r="F142" s="71">
        <v>243422.29</v>
      </c>
      <c r="G142" s="70">
        <v>0</v>
      </c>
      <c r="H142" s="75">
        <v>14859163.800000001</v>
      </c>
      <c r="I142" s="70">
        <v>40834930.920000002</v>
      </c>
      <c r="J142" s="75">
        <v>735846.91</v>
      </c>
      <c r="K142" s="70">
        <v>0</v>
      </c>
      <c r="L142" s="70">
        <v>1390940.83</v>
      </c>
      <c r="M142" s="70">
        <v>0</v>
      </c>
    </row>
    <row r="143" spans="1:17">
      <c r="A143" s="72" t="s">
        <v>1557</v>
      </c>
      <c r="B143" s="70">
        <v>31031785.299999993</v>
      </c>
      <c r="C143" s="75">
        <v>4303548.3499999996</v>
      </c>
      <c r="D143" s="75">
        <v>2747743.85</v>
      </c>
      <c r="E143" s="75">
        <v>245617.67</v>
      </c>
      <c r="F143" s="71">
        <v>179571.36</v>
      </c>
      <c r="G143" s="70">
        <v>0</v>
      </c>
      <c r="H143" s="75">
        <v>14117652.709999999</v>
      </c>
      <c r="I143" s="70">
        <v>37812115.010000005</v>
      </c>
      <c r="J143" s="75">
        <v>-1660780.71</v>
      </c>
      <c r="K143" s="70">
        <v>0</v>
      </c>
      <c r="L143" s="70">
        <v>1288556.47</v>
      </c>
      <c r="M143" s="70">
        <v>0</v>
      </c>
    </row>
    <row r="144" spans="1:17">
      <c r="B144" s="72" t="s">
        <v>970</v>
      </c>
      <c r="C144" s="72" t="s">
        <v>970</v>
      </c>
      <c r="D144" s="72" t="s">
        <v>970</v>
      </c>
      <c r="E144" s="72" t="s">
        <v>970</v>
      </c>
      <c r="F144" s="72" t="s">
        <v>970</v>
      </c>
      <c r="G144" s="72" t="s">
        <v>970</v>
      </c>
      <c r="H144" s="72" t="s">
        <v>1479</v>
      </c>
      <c r="I144" s="72" t="s">
        <v>1479</v>
      </c>
      <c r="J144" s="72" t="s">
        <v>1479</v>
      </c>
      <c r="K144" s="72" t="s">
        <v>1479</v>
      </c>
      <c r="L144" s="72" t="s">
        <v>1479</v>
      </c>
      <c r="M144" s="72" t="s">
        <v>1479</v>
      </c>
    </row>
    <row r="145" spans="1:17">
      <c r="B145" s="70"/>
      <c r="E145" s="70"/>
      <c r="H145" s="70"/>
    </row>
    <row r="146" spans="1:17">
      <c r="A146" s="72" t="s">
        <v>2788</v>
      </c>
      <c r="B146" s="180">
        <v>465719680.06000006</v>
      </c>
      <c r="C146" s="180">
        <v>62474531.049999997</v>
      </c>
      <c r="D146" s="180">
        <v>40354804.57</v>
      </c>
      <c r="E146" s="180">
        <v>3995918.2321040002</v>
      </c>
      <c r="F146" s="180">
        <v>3290650</v>
      </c>
      <c r="G146" s="180">
        <v>0</v>
      </c>
      <c r="H146" s="180">
        <v>213214225.13</v>
      </c>
      <c r="I146" s="180">
        <v>589561852.10000002</v>
      </c>
      <c r="J146" s="180">
        <v>10427964.57</v>
      </c>
      <c r="K146" s="180">
        <v>0</v>
      </c>
      <c r="L146" s="180">
        <v>21280037.259999998</v>
      </c>
      <c r="M146" s="180">
        <v>-40292.54</v>
      </c>
      <c r="Q146" s="180"/>
    </row>
    <row r="147" spans="1:17">
      <c r="B147" s="477" t="s">
        <v>2789</v>
      </c>
      <c r="C147" s="477" t="s">
        <v>2789</v>
      </c>
      <c r="D147" s="477" t="s">
        <v>2789</v>
      </c>
      <c r="E147" s="477" t="s">
        <v>2789</v>
      </c>
      <c r="F147" s="477" t="s">
        <v>2789</v>
      </c>
      <c r="G147" s="477" t="s">
        <v>2789</v>
      </c>
      <c r="H147" s="477" t="s">
        <v>2790</v>
      </c>
      <c r="I147" s="477" t="s">
        <v>2790</v>
      </c>
      <c r="J147" s="477" t="s">
        <v>2790</v>
      </c>
      <c r="K147" s="477" t="s">
        <v>2790</v>
      </c>
      <c r="L147" s="477" t="s">
        <v>2790</v>
      </c>
    </row>
    <row r="148" spans="1:17">
      <c r="B148" s="504"/>
      <c r="C148" s="504"/>
      <c r="E148" s="472"/>
      <c r="F148" s="472"/>
      <c r="G148" s="472"/>
      <c r="H148" s="504"/>
      <c r="I148" s="504"/>
      <c r="J148" s="504"/>
      <c r="K148" s="504"/>
      <c r="L148" s="504"/>
    </row>
    <row r="149" spans="1:17">
      <c r="B149" s="180"/>
      <c r="D149" s="180">
        <v>0</v>
      </c>
      <c r="E149" s="472"/>
      <c r="I149" s="183" t="s">
        <v>84</v>
      </c>
      <c r="J149" s="183" t="s">
        <v>85</v>
      </c>
      <c r="K149" s="183" t="s">
        <v>543</v>
      </c>
      <c r="L149" s="183" t="s">
        <v>553</v>
      </c>
    </row>
    <row r="150" spans="1:17">
      <c r="D150" s="170" t="s">
        <v>3501</v>
      </c>
      <c r="I150" s="183" t="s">
        <v>2767</v>
      </c>
    </row>
    <row r="151" spans="1:17">
      <c r="B151" s="179"/>
      <c r="C151" s="179"/>
      <c r="D151" s="179"/>
      <c r="E151" s="179"/>
      <c r="F151" s="179"/>
      <c r="G151" s="179"/>
      <c r="H151" s="179"/>
      <c r="I151" s="183" t="s">
        <v>2768</v>
      </c>
      <c r="J151" s="183" t="s">
        <v>116</v>
      </c>
      <c r="K151" s="183" t="s">
        <v>116</v>
      </c>
      <c r="L151" s="183" t="s">
        <v>2412</v>
      </c>
    </row>
    <row r="152" spans="1:17">
      <c r="A152" s="72" t="s">
        <v>766</v>
      </c>
      <c r="B152" s="179"/>
      <c r="C152" s="179"/>
      <c r="D152" s="179"/>
      <c r="E152" s="179"/>
      <c r="F152" s="179"/>
      <c r="G152" s="179"/>
      <c r="H152" s="179"/>
      <c r="I152" s="183" t="s">
        <v>2791</v>
      </c>
      <c r="J152" s="183" t="s">
        <v>3719</v>
      </c>
      <c r="K152" s="183" t="s">
        <v>3723</v>
      </c>
      <c r="L152" s="183" t="s">
        <v>2418</v>
      </c>
    </row>
    <row r="153" spans="1:17">
      <c r="A153" s="72" t="s">
        <v>2792</v>
      </c>
      <c r="B153" s="179"/>
      <c r="C153" s="482"/>
      <c r="D153" s="179"/>
      <c r="E153" s="179"/>
      <c r="F153" s="179"/>
      <c r="G153" s="179"/>
      <c r="H153" s="179"/>
      <c r="I153" s="72" t="s">
        <v>1479</v>
      </c>
      <c r="J153" s="72" t="s">
        <v>1479</v>
      </c>
      <c r="K153" s="72" t="s">
        <v>1479</v>
      </c>
      <c r="L153" s="72" t="s">
        <v>1479</v>
      </c>
    </row>
    <row r="154" spans="1:17">
      <c r="A154" s="72" t="s">
        <v>2793</v>
      </c>
      <c r="B154" s="179"/>
      <c r="C154" s="179"/>
      <c r="D154" s="179"/>
      <c r="E154" s="179"/>
      <c r="F154" s="179"/>
      <c r="G154" s="179"/>
      <c r="H154" s="179"/>
    </row>
    <row r="155" spans="1:17">
      <c r="A155" s="72" t="s">
        <v>2794</v>
      </c>
      <c r="B155" s="179"/>
      <c r="C155" s="179"/>
      <c r="D155" s="179"/>
      <c r="E155" s="179"/>
      <c r="F155" s="179"/>
      <c r="G155" s="179"/>
      <c r="H155" s="71" t="s">
        <v>1910</v>
      </c>
      <c r="I155" s="75">
        <v>921937.25</v>
      </c>
      <c r="J155" s="75">
        <v>2479404</v>
      </c>
      <c r="K155" s="70">
        <v>2440602.2999999998</v>
      </c>
      <c r="L155" s="75">
        <v>0</v>
      </c>
    </row>
    <row r="156" spans="1:17">
      <c r="A156" s="72" t="s">
        <v>2795</v>
      </c>
      <c r="E156" s="179"/>
      <c r="F156" s="179"/>
      <c r="G156" s="179"/>
      <c r="H156" s="71" t="s">
        <v>588</v>
      </c>
      <c r="I156" s="75">
        <v>921937.25</v>
      </c>
      <c r="J156" s="75">
        <v>2509284</v>
      </c>
      <c r="K156" s="70">
        <v>2179765.85</v>
      </c>
      <c r="L156" s="75">
        <v>0</v>
      </c>
    </row>
    <row r="157" spans="1:17">
      <c r="A157" s="72" t="s">
        <v>2796</v>
      </c>
      <c r="B157" s="179"/>
      <c r="C157" s="179"/>
      <c r="D157" s="179"/>
      <c r="E157" s="179"/>
      <c r="F157" s="179"/>
      <c r="G157" s="179"/>
      <c r="H157" s="71" t="s">
        <v>598</v>
      </c>
      <c r="I157" s="75">
        <v>921937.25</v>
      </c>
      <c r="J157" s="75">
        <v>3189374.5</v>
      </c>
      <c r="K157" s="70">
        <v>3824783.69</v>
      </c>
      <c r="L157" s="75">
        <v>0</v>
      </c>
    </row>
    <row r="158" spans="1:17">
      <c r="A158" s="72" t="s">
        <v>2797</v>
      </c>
      <c r="B158" s="179"/>
      <c r="C158" s="179"/>
      <c r="D158" s="179"/>
      <c r="E158" s="179"/>
      <c r="F158" s="179"/>
      <c r="G158" s="179"/>
      <c r="H158" s="71" t="s">
        <v>609</v>
      </c>
      <c r="I158" s="75">
        <v>921937.25</v>
      </c>
      <c r="J158" s="75">
        <v>2962775.62</v>
      </c>
      <c r="K158" s="70">
        <v>3993854.26</v>
      </c>
      <c r="L158" s="75">
        <v>0</v>
      </c>
    </row>
    <row r="159" spans="1:17">
      <c r="A159" s="72" t="s">
        <v>2798</v>
      </c>
      <c r="B159" s="179"/>
      <c r="C159" s="482"/>
      <c r="D159" s="179"/>
      <c r="E159" s="179"/>
      <c r="F159" s="179"/>
      <c r="G159" s="179"/>
      <c r="H159" s="71" t="s">
        <v>618</v>
      </c>
      <c r="I159" s="75">
        <v>921937.25</v>
      </c>
      <c r="J159" s="75">
        <v>3084035.12</v>
      </c>
      <c r="K159" s="70">
        <v>3980776.3</v>
      </c>
      <c r="L159" s="75">
        <v>0</v>
      </c>
    </row>
    <row r="160" spans="1:17">
      <c r="A160" s="72" t="s">
        <v>2799</v>
      </c>
      <c r="B160" s="179"/>
      <c r="C160" s="179"/>
      <c r="D160" s="179"/>
      <c r="E160" s="179"/>
      <c r="F160" s="179"/>
      <c r="G160" s="179"/>
      <c r="H160" s="71" t="s">
        <v>629</v>
      </c>
      <c r="I160" s="75">
        <v>921937.25</v>
      </c>
      <c r="J160" s="75">
        <v>3138275.99</v>
      </c>
      <c r="K160" s="70">
        <v>2241863.5699999998</v>
      </c>
      <c r="L160" s="75">
        <v>0</v>
      </c>
    </row>
    <row r="161" spans="1:12">
      <c r="A161" s="72" t="s">
        <v>2800</v>
      </c>
      <c r="B161" s="179"/>
      <c r="C161" s="179"/>
      <c r="D161" s="179"/>
      <c r="E161" s="179"/>
      <c r="F161" s="179"/>
      <c r="G161" s="179"/>
      <c r="H161" s="71" t="s">
        <v>639</v>
      </c>
      <c r="I161" s="75">
        <v>921937.25</v>
      </c>
      <c r="J161" s="75">
        <v>3167023</v>
      </c>
      <c r="K161" s="70">
        <v>-26905.89</v>
      </c>
      <c r="L161" s="75">
        <v>0</v>
      </c>
    </row>
    <row r="162" spans="1:12">
      <c r="A162" s="72" t="s">
        <v>2801</v>
      </c>
      <c r="E162" s="179"/>
      <c r="F162" s="179"/>
      <c r="G162" s="179"/>
      <c r="H162" s="71" t="s">
        <v>649</v>
      </c>
      <c r="I162" s="75">
        <v>921937.25</v>
      </c>
      <c r="J162" s="75">
        <v>3084590.31</v>
      </c>
      <c r="K162" s="70">
        <v>-72310.990000000005</v>
      </c>
      <c r="L162" s="75">
        <v>0</v>
      </c>
    </row>
    <row r="163" spans="1:12">
      <c r="A163" s="72" t="s">
        <v>2802</v>
      </c>
      <c r="H163" s="71" t="s">
        <v>658</v>
      </c>
      <c r="I163" s="75">
        <v>921937.25</v>
      </c>
      <c r="J163" s="75">
        <v>3084149.85</v>
      </c>
      <c r="K163" s="70">
        <v>3829499.26</v>
      </c>
      <c r="L163" s="75">
        <v>0</v>
      </c>
    </row>
    <row r="164" spans="1:12">
      <c r="A164" s="72" t="s">
        <v>2803</v>
      </c>
      <c r="B164" s="179"/>
      <c r="C164" s="179"/>
      <c r="D164" s="179"/>
      <c r="H164" s="71" t="s">
        <v>669</v>
      </c>
      <c r="I164" s="75">
        <v>888800.7</v>
      </c>
      <c r="J164" s="75">
        <v>3686947.47</v>
      </c>
      <c r="K164" s="70">
        <v>3946034.14</v>
      </c>
      <c r="L164" s="75">
        <v>0</v>
      </c>
    </row>
    <row r="165" spans="1:12">
      <c r="A165" s="72" t="s">
        <v>2804</v>
      </c>
      <c r="B165" s="179"/>
      <c r="C165" s="179"/>
      <c r="D165" s="179"/>
      <c r="H165" s="71" t="s">
        <v>679</v>
      </c>
      <c r="I165" s="75">
        <v>888800.7</v>
      </c>
      <c r="J165" s="75">
        <v>3668093.19</v>
      </c>
      <c r="K165" s="70">
        <v>3324778.61</v>
      </c>
      <c r="L165" s="75">
        <v>0</v>
      </c>
    </row>
    <row r="166" spans="1:12">
      <c r="A166" s="72" t="s">
        <v>2805</v>
      </c>
      <c r="B166" s="179"/>
      <c r="C166" s="179"/>
      <c r="D166" s="179"/>
      <c r="E166" s="179"/>
      <c r="H166" s="71" t="s">
        <v>1557</v>
      </c>
      <c r="I166" s="75">
        <v>888800.7</v>
      </c>
      <c r="J166" s="75">
        <v>3661324.83</v>
      </c>
      <c r="K166" s="70">
        <v>3658343.86</v>
      </c>
      <c r="L166" s="75">
        <v>0</v>
      </c>
    </row>
    <row r="167" spans="1:12">
      <c r="A167" s="72" t="s">
        <v>2806</v>
      </c>
      <c r="B167" s="179"/>
      <c r="C167" s="179"/>
      <c r="D167" s="179"/>
      <c r="I167" s="72" t="s">
        <v>1479</v>
      </c>
      <c r="J167" s="72" t="s">
        <v>1479</v>
      </c>
      <c r="K167" s="72" t="s">
        <v>1479</v>
      </c>
      <c r="L167" s="72" t="s">
        <v>1479</v>
      </c>
    </row>
    <row r="168" spans="1:12">
      <c r="A168" s="72" t="s">
        <v>2807</v>
      </c>
    </row>
    <row r="169" spans="1:12">
      <c r="A169" s="72" t="s">
        <v>2808</v>
      </c>
      <c r="E169" s="179"/>
      <c r="F169" s="179"/>
      <c r="G169" s="179"/>
      <c r="H169" s="72" t="s">
        <v>2788</v>
      </c>
      <c r="I169" s="180">
        <v>10963837.349999998</v>
      </c>
      <c r="J169" s="180">
        <v>37715277.880000003</v>
      </c>
      <c r="K169" s="180">
        <v>33321084.960000001</v>
      </c>
      <c r="L169" s="180">
        <v>0</v>
      </c>
    </row>
    <row r="170" spans="1:12">
      <c r="A170" s="72" t="s">
        <v>2809</v>
      </c>
      <c r="E170" s="179"/>
      <c r="F170" s="179"/>
      <c r="G170" s="179"/>
      <c r="I170" s="477" t="s">
        <v>2790</v>
      </c>
      <c r="J170" s="477" t="s">
        <v>2790</v>
      </c>
      <c r="K170" s="477" t="s">
        <v>2790</v>
      </c>
      <c r="L170" s="477" t="s">
        <v>2790</v>
      </c>
    </row>
    <row r="171" spans="1:12">
      <c r="A171" s="72" t="s">
        <v>2810</v>
      </c>
      <c r="E171" s="179"/>
      <c r="F171" s="179"/>
      <c r="G171" s="179"/>
      <c r="H171" s="73" t="s">
        <v>2811</v>
      </c>
      <c r="I171" s="70">
        <v>10970292.743896008</v>
      </c>
      <c r="K171" s="170" t="s">
        <v>2812</v>
      </c>
    </row>
    <row r="172" spans="1:12">
      <c r="A172" s="72" t="s">
        <v>2813</v>
      </c>
      <c r="E172" s="179"/>
      <c r="F172" s="179"/>
      <c r="G172" s="179"/>
      <c r="H172" s="175" t="s">
        <v>2814</v>
      </c>
      <c r="I172" s="70">
        <v>6455.393896009773</v>
      </c>
    </row>
    <row r="173" spans="1:12">
      <c r="A173" s="72" t="s">
        <v>2815</v>
      </c>
      <c r="B173" s="179"/>
      <c r="C173" s="179"/>
      <c r="D173" s="179"/>
      <c r="E173" s="179"/>
      <c r="F173" s="179"/>
      <c r="G173" s="179"/>
    </row>
    <row r="174" spans="1:12">
      <c r="B174" s="179"/>
      <c r="C174" s="179"/>
      <c r="D174" s="179"/>
      <c r="E174" s="179"/>
      <c r="F174" s="179"/>
      <c r="G174" s="179"/>
    </row>
    <row r="175" spans="1:12">
      <c r="E175" s="179"/>
      <c r="F175" s="179"/>
      <c r="G175" s="179"/>
    </row>
    <row r="176" spans="1:12">
      <c r="B176" s="179"/>
      <c r="C176" s="179"/>
      <c r="D176" s="179"/>
      <c r="E176" s="179"/>
      <c r="F176" s="179"/>
      <c r="G176" s="179"/>
    </row>
    <row r="177" spans="1:11">
      <c r="A177" s="73" t="s">
        <v>219</v>
      </c>
      <c r="B177" s="179"/>
      <c r="C177" s="179"/>
      <c r="D177" s="179"/>
      <c r="E177" s="179"/>
      <c r="F177" s="179"/>
      <c r="G177" s="179"/>
    </row>
    <row r="178" spans="1:11">
      <c r="A178" s="73" t="s">
        <v>2816</v>
      </c>
      <c r="B178" s="179"/>
      <c r="C178" s="179"/>
      <c r="D178" s="179"/>
      <c r="E178" s="179"/>
      <c r="F178" s="179"/>
      <c r="G178" s="179"/>
    </row>
    <row r="179" spans="1:11">
      <c r="A179" s="72" t="s">
        <v>1557</v>
      </c>
      <c r="B179" s="179"/>
      <c r="C179" s="179"/>
      <c r="D179" s="179"/>
      <c r="E179" s="179"/>
      <c r="F179" s="179"/>
      <c r="G179" s="179"/>
    </row>
    <row r="180" spans="1:11">
      <c r="A180" s="72" t="s">
        <v>2761</v>
      </c>
      <c r="B180" s="179"/>
      <c r="C180" s="179"/>
      <c r="D180" s="179"/>
      <c r="E180" s="179"/>
      <c r="F180" s="179"/>
      <c r="G180" s="179"/>
    </row>
    <row r="181" spans="1:11">
      <c r="A181" s="72" t="s">
        <v>2817</v>
      </c>
      <c r="B181" s="179"/>
      <c r="C181" s="179"/>
      <c r="D181" s="179"/>
      <c r="E181" s="179"/>
      <c r="F181" s="179"/>
      <c r="G181" s="179"/>
    </row>
    <row r="182" spans="1:11">
      <c r="B182" s="179"/>
      <c r="C182" s="179"/>
      <c r="D182" s="179"/>
      <c r="E182" s="450"/>
      <c r="F182" s="450"/>
      <c r="G182" s="450"/>
    </row>
    <row r="183" spans="1:11">
      <c r="B183" s="179"/>
      <c r="D183" s="450" t="s">
        <v>2158</v>
      </c>
      <c r="E183" s="450" t="s">
        <v>2159</v>
      </c>
      <c r="F183" s="450" t="s">
        <v>2160</v>
      </c>
      <c r="G183" s="450" t="s">
        <v>2161</v>
      </c>
      <c r="J183" s="450" t="s">
        <v>2159</v>
      </c>
    </row>
    <row r="184" spans="1:11">
      <c r="D184" s="449" t="s">
        <v>2818</v>
      </c>
      <c r="J184" s="449" t="s">
        <v>118</v>
      </c>
    </row>
    <row r="185" spans="1:11">
      <c r="B185" s="179"/>
      <c r="C185" s="449"/>
      <c r="D185" s="171" t="s">
        <v>2819</v>
      </c>
      <c r="E185" s="449" t="s">
        <v>2820</v>
      </c>
      <c r="F185" s="449" t="s">
        <v>2821</v>
      </c>
      <c r="G185" s="449" t="s">
        <v>2822</v>
      </c>
      <c r="H185" s="449" t="s">
        <v>2823</v>
      </c>
      <c r="J185" s="449" t="s">
        <v>2824</v>
      </c>
    </row>
    <row r="186" spans="1:11">
      <c r="D186" s="172" t="s">
        <v>2825</v>
      </c>
      <c r="E186" s="449" t="s">
        <v>2826</v>
      </c>
      <c r="J186" s="505" t="s">
        <v>2827</v>
      </c>
      <c r="K186" s="506" t="s">
        <v>2823</v>
      </c>
    </row>
    <row r="187" spans="1:11">
      <c r="C187" s="73">
        <v>0</v>
      </c>
      <c r="D187" s="70"/>
    </row>
    <row r="188" spans="1:11">
      <c r="A188" s="71" t="s">
        <v>1910</v>
      </c>
      <c r="C188" s="70">
        <v>0</v>
      </c>
      <c r="D188" s="70">
        <v>0</v>
      </c>
      <c r="E188" s="73">
        <v>0</v>
      </c>
      <c r="G188" s="73">
        <v>0</v>
      </c>
      <c r="H188" s="73">
        <v>0</v>
      </c>
      <c r="J188" s="73">
        <v>0</v>
      </c>
      <c r="K188" s="73">
        <v>0</v>
      </c>
    </row>
    <row r="189" spans="1:11">
      <c r="A189" s="71" t="s">
        <v>588</v>
      </c>
      <c r="C189" s="70">
        <v>0</v>
      </c>
      <c r="D189" s="70">
        <v>0</v>
      </c>
      <c r="E189" s="73">
        <v>0</v>
      </c>
      <c r="G189" s="73">
        <v>0</v>
      </c>
      <c r="H189" s="73">
        <v>0</v>
      </c>
      <c r="J189" s="73">
        <v>0</v>
      </c>
      <c r="K189" s="73">
        <v>0</v>
      </c>
    </row>
    <row r="190" spans="1:11">
      <c r="A190" s="71" t="s">
        <v>598</v>
      </c>
      <c r="C190" s="70">
        <v>0</v>
      </c>
      <c r="D190" s="70">
        <v>0</v>
      </c>
      <c r="E190" s="73">
        <v>0</v>
      </c>
      <c r="G190" s="73">
        <v>0</v>
      </c>
      <c r="H190" s="73">
        <v>0</v>
      </c>
      <c r="J190" s="73">
        <v>0</v>
      </c>
      <c r="K190" s="73">
        <v>0</v>
      </c>
    </row>
    <row r="191" spans="1:11">
      <c r="A191" s="71" t="s">
        <v>609</v>
      </c>
      <c r="C191" s="70">
        <v>0</v>
      </c>
      <c r="D191" s="70">
        <v>0</v>
      </c>
      <c r="E191" s="73">
        <v>0</v>
      </c>
      <c r="G191" s="73">
        <v>0</v>
      </c>
      <c r="H191" s="73">
        <v>0</v>
      </c>
      <c r="J191" s="73">
        <v>0</v>
      </c>
      <c r="K191" s="73">
        <v>0</v>
      </c>
    </row>
    <row r="192" spans="1:11">
      <c r="A192" s="71" t="s">
        <v>618</v>
      </c>
      <c r="C192" s="70">
        <v>0</v>
      </c>
      <c r="D192" s="70">
        <v>0</v>
      </c>
      <c r="E192" s="73">
        <v>0</v>
      </c>
      <c r="G192" s="73">
        <v>0</v>
      </c>
      <c r="H192" s="73">
        <v>0</v>
      </c>
      <c r="J192" s="73">
        <v>0</v>
      </c>
      <c r="K192" s="73">
        <v>0</v>
      </c>
    </row>
    <row r="193" spans="1:11">
      <c r="A193" s="71" t="s">
        <v>629</v>
      </c>
      <c r="C193" s="70">
        <v>0</v>
      </c>
      <c r="D193" s="70">
        <v>0</v>
      </c>
      <c r="E193" s="73">
        <v>0</v>
      </c>
      <c r="G193" s="73">
        <v>0</v>
      </c>
      <c r="H193" s="73">
        <v>0</v>
      </c>
      <c r="J193" s="73">
        <v>0</v>
      </c>
      <c r="K193" s="73">
        <v>0</v>
      </c>
    </row>
    <row r="194" spans="1:11">
      <c r="A194" s="71" t="s">
        <v>639</v>
      </c>
      <c r="C194" s="70">
        <v>0</v>
      </c>
      <c r="D194" s="70">
        <v>0</v>
      </c>
      <c r="E194" s="73">
        <v>0</v>
      </c>
      <c r="G194" s="73">
        <v>0</v>
      </c>
      <c r="H194" s="73">
        <v>0</v>
      </c>
      <c r="J194" s="73">
        <v>0</v>
      </c>
      <c r="K194" s="73">
        <v>0</v>
      </c>
    </row>
    <row r="195" spans="1:11">
      <c r="A195" s="71" t="s">
        <v>649</v>
      </c>
      <c r="C195" s="70">
        <v>0</v>
      </c>
      <c r="D195" s="70">
        <v>0</v>
      </c>
      <c r="E195" s="73">
        <v>0</v>
      </c>
      <c r="G195" s="73">
        <v>0</v>
      </c>
      <c r="H195" s="73">
        <v>0</v>
      </c>
      <c r="J195" s="73">
        <v>0</v>
      </c>
      <c r="K195" s="73">
        <v>0</v>
      </c>
    </row>
    <row r="196" spans="1:11">
      <c r="A196" s="71" t="s">
        <v>658</v>
      </c>
      <c r="C196" s="70">
        <v>0</v>
      </c>
      <c r="D196" s="70">
        <v>0</v>
      </c>
      <c r="E196" s="73">
        <v>0</v>
      </c>
      <c r="G196" s="73">
        <v>0</v>
      </c>
      <c r="H196" s="73">
        <v>0</v>
      </c>
      <c r="J196" s="73">
        <v>0</v>
      </c>
      <c r="K196" s="73">
        <v>0</v>
      </c>
    </row>
    <row r="197" spans="1:11">
      <c r="A197" s="71" t="s">
        <v>669</v>
      </c>
      <c r="C197" s="70">
        <v>0</v>
      </c>
      <c r="D197" s="70">
        <v>0</v>
      </c>
      <c r="E197" s="73">
        <v>0</v>
      </c>
      <c r="G197" s="73">
        <v>0</v>
      </c>
      <c r="H197" s="73">
        <v>0</v>
      </c>
      <c r="I197" s="73" t="s">
        <v>2828</v>
      </c>
      <c r="J197" s="73">
        <v>0</v>
      </c>
      <c r="K197" s="73">
        <v>0</v>
      </c>
    </row>
    <row r="198" spans="1:11">
      <c r="A198" s="71" t="s">
        <v>679</v>
      </c>
      <c r="C198" s="70">
        <v>0</v>
      </c>
      <c r="D198" s="70">
        <v>0</v>
      </c>
      <c r="E198" s="73">
        <v>0</v>
      </c>
      <c r="G198" s="73">
        <v>0</v>
      </c>
      <c r="H198" s="73">
        <v>0</v>
      </c>
      <c r="I198" s="73" t="s">
        <v>2829</v>
      </c>
      <c r="J198" s="73">
        <v>0</v>
      </c>
      <c r="K198" s="73">
        <v>0</v>
      </c>
    </row>
    <row r="199" spans="1:11">
      <c r="A199" s="71" t="s">
        <v>1557</v>
      </c>
      <c r="C199" s="70">
        <v>0</v>
      </c>
      <c r="D199" s="70">
        <v>0</v>
      </c>
      <c r="E199" s="70">
        <v>0</v>
      </c>
      <c r="F199" s="70"/>
      <c r="G199" s="73">
        <v>0</v>
      </c>
      <c r="H199" s="73">
        <v>0</v>
      </c>
      <c r="J199" s="73">
        <v>0</v>
      </c>
      <c r="K199" s="73">
        <v>0</v>
      </c>
    </row>
    <row r="200" spans="1:11">
      <c r="C200" s="183" t="s">
        <v>1479</v>
      </c>
      <c r="D200" s="183" t="s">
        <v>1479</v>
      </c>
      <c r="E200" s="183" t="s">
        <v>1479</v>
      </c>
      <c r="F200" s="183" t="s">
        <v>1479</v>
      </c>
      <c r="G200" s="183" t="s">
        <v>1479</v>
      </c>
      <c r="J200" s="183" t="s">
        <v>1479</v>
      </c>
      <c r="K200" s="183" t="s">
        <v>1479</v>
      </c>
    </row>
    <row r="201" spans="1:11">
      <c r="C201" s="449"/>
      <c r="D201" s="449"/>
      <c r="E201" s="449"/>
      <c r="F201" s="449"/>
      <c r="G201" s="449"/>
      <c r="J201" s="449"/>
      <c r="K201" s="449"/>
    </row>
    <row r="202" spans="1:11">
      <c r="A202" s="73" t="s">
        <v>1947</v>
      </c>
      <c r="C202" s="173">
        <v>0</v>
      </c>
      <c r="D202" s="180">
        <v>0</v>
      </c>
      <c r="E202" s="173">
        <v>0</v>
      </c>
      <c r="F202" s="173">
        <v>0</v>
      </c>
      <c r="G202" s="173">
        <v>0</v>
      </c>
      <c r="H202" s="173"/>
      <c r="J202" s="173">
        <v>0</v>
      </c>
      <c r="K202" s="173">
        <v>0</v>
      </c>
    </row>
    <row r="203" spans="1:11">
      <c r="C203" s="502" t="s">
        <v>2790</v>
      </c>
      <c r="D203" s="502" t="s">
        <v>2790</v>
      </c>
      <c r="E203" s="502" t="s">
        <v>2790</v>
      </c>
      <c r="F203" s="502" t="s">
        <v>2790</v>
      </c>
      <c r="G203" s="502" t="s">
        <v>2790</v>
      </c>
      <c r="J203" s="502" t="s">
        <v>2790</v>
      </c>
      <c r="K203" s="502" t="s">
        <v>2790</v>
      </c>
    </row>
    <row r="204" spans="1:11">
      <c r="C204" s="477"/>
      <c r="D204" s="449"/>
    </row>
    <row r="206" spans="1:11">
      <c r="C206" s="507"/>
    </row>
    <row r="207" spans="1:11">
      <c r="B207" s="179"/>
      <c r="C207" s="450" t="s">
        <v>2162</v>
      </c>
      <c r="D207" s="450" t="s">
        <v>78</v>
      </c>
      <c r="E207" s="450" t="s">
        <v>79</v>
      </c>
    </row>
    <row r="208" spans="1:11">
      <c r="E208" s="506"/>
    </row>
    <row r="209" spans="1:5">
      <c r="B209" s="179"/>
      <c r="C209" s="502" t="s">
        <v>2830</v>
      </c>
      <c r="D209" s="449" t="s">
        <v>2831</v>
      </c>
      <c r="E209" s="449" t="s">
        <v>2832</v>
      </c>
    </row>
    <row r="210" spans="1:5">
      <c r="C210" s="505" t="s">
        <v>2830</v>
      </c>
      <c r="D210" s="449" t="s">
        <v>2833</v>
      </c>
      <c r="E210" s="449"/>
    </row>
    <row r="212" spans="1:5">
      <c r="A212" s="508"/>
      <c r="D212" s="79"/>
      <c r="E212" s="73">
        <v>0</v>
      </c>
    </row>
    <row r="213" spans="1:5">
      <c r="A213" s="71" t="s">
        <v>1899</v>
      </c>
      <c r="C213" s="70">
        <v>0</v>
      </c>
      <c r="D213" s="79">
        <v>0</v>
      </c>
      <c r="E213" s="73">
        <v>0</v>
      </c>
    </row>
    <row r="214" spans="1:5">
      <c r="A214" s="71" t="s">
        <v>1910</v>
      </c>
      <c r="C214" s="70">
        <v>0</v>
      </c>
      <c r="D214" s="79">
        <v>0</v>
      </c>
      <c r="E214" s="73">
        <v>0</v>
      </c>
    </row>
    <row r="215" spans="1:5">
      <c r="A215" s="71" t="s">
        <v>588</v>
      </c>
      <c r="C215" s="70">
        <v>0</v>
      </c>
      <c r="D215" s="79">
        <v>0</v>
      </c>
      <c r="E215" s="73">
        <v>0</v>
      </c>
    </row>
    <row r="216" spans="1:5">
      <c r="A216" s="71" t="s">
        <v>598</v>
      </c>
      <c r="C216" s="70">
        <v>0</v>
      </c>
      <c r="D216" s="79">
        <v>0</v>
      </c>
      <c r="E216" s="73">
        <v>0</v>
      </c>
    </row>
    <row r="217" spans="1:5">
      <c r="A217" s="71" t="s">
        <v>609</v>
      </c>
      <c r="C217" s="70">
        <v>0</v>
      </c>
      <c r="D217" s="79">
        <v>0</v>
      </c>
      <c r="E217" s="73">
        <v>0</v>
      </c>
    </row>
    <row r="218" spans="1:5">
      <c r="A218" s="71" t="s">
        <v>618</v>
      </c>
      <c r="C218" s="70">
        <v>0</v>
      </c>
      <c r="D218" s="79">
        <v>0</v>
      </c>
      <c r="E218" s="73">
        <v>0</v>
      </c>
    </row>
    <row r="219" spans="1:5">
      <c r="A219" s="71" t="s">
        <v>629</v>
      </c>
      <c r="C219" s="70">
        <v>0</v>
      </c>
      <c r="D219" s="79">
        <v>0</v>
      </c>
      <c r="E219" s="73">
        <v>0</v>
      </c>
    </row>
    <row r="220" spans="1:5">
      <c r="A220" s="71" t="s">
        <v>639</v>
      </c>
      <c r="C220" s="70">
        <v>0</v>
      </c>
      <c r="D220" s="79">
        <v>0</v>
      </c>
      <c r="E220" s="73">
        <v>0</v>
      </c>
    </row>
    <row r="221" spans="1:5">
      <c r="A221" s="71" t="s">
        <v>649</v>
      </c>
      <c r="C221" s="70">
        <v>0</v>
      </c>
      <c r="D221" s="79">
        <v>0</v>
      </c>
      <c r="E221" s="73">
        <v>0</v>
      </c>
    </row>
    <row r="222" spans="1:5">
      <c r="A222" s="71" t="s">
        <v>658</v>
      </c>
      <c r="C222" s="70">
        <v>0</v>
      </c>
      <c r="D222" s="79">
        <v>0</v>
      </c>
      <c r="E222" s="73">
        <v>0</v>
      </c>
    </row>
    <row r="223" spans="1:5">
      <c r="A223" s="71" t="s">
        <v>669</v>
      </c>
      <c r="C223" s="70">
        <v>0</v>
      </c>
      <c r="D223" s="79">
        <v>0</v>
      </c>
      <c r="E223" s="73">
        <v>0</v>
      </c>
    </row>
    <row r="224" spans="1:5">
      <c r="A224" s="71" t="s">
        <v>679</v>
      </c>
      <c r="C224" s="70">
        <v>0</v>
      </c>
      <c r="D224" s="79">
        <v>0</v>
      </c>
      <c r="E224" s="73">
        <v>0</v>
      </c>
    </row>
    <row r="225" spans="1:6">
      <c r="A225" s="71" t="s">
        <v>1557</v>
      </c>
      <c r="C225" s="70">
        <v>0</v>
      </c>
      <c r="D225" s="79">
        <v>0</v>
      </c>
      <c r="E225" s="73">
        <v>0</v>
      </c>
    </row>
    <row r="226" spans="1:6">
      <c r="C226" s="183" t="s">
        <v>1479</v>
      </c>
      <c r="D226" s="183" t="s">
        <v>1479</v>
      </c>
      <c r="E226" s="183" t="s">
        <v>1479</v>
      </c>
    </row>
    <row r="227" spans="1:6">
      <c r="C227" s="449"/>
      <c r="D227" s="449"/>
      <c r="E227" s="449"/>
    </row>
    <row r="228" spans="1:6">
      <c r="A228" s="73" t="s">
        <v>2271</v>
      </c>
      <c r="C228" s="180">
        <v>0</v>
      </c>
      <c r="D228" s="79">
        <v>0</v>
      </c>
      <c r="E228" s="173">
        <v>0</v>
      </c>
    </row>
    <row r="229" spans="1:6">
      <c r="C229" s="502" t="s">
        <v>2790</v>
      </c>
      <c r="D229" s="502" t="s">
        <v>2790</v>
      </c>
      <c r="E229" s="502" t="s">
        <v>2790</v>
      </c>
    </row>
    <row r="230" spans="1:6">
      <c r="C230" s="477"/>
    </row>
    <row r="231" spans="1:6">
      <c r="B231" s="507"/>
    </row>
    <row r="232" spans="1:6">
      <c r="C232" s="507"/>
      <c r="E232" s="509" t="s">
        <v>2834</v>
      </c>
      <c r="F232" s="510"/>
    </row>
    <row r="233" spans="1:6">
      <c r="C233" s="507"/>
      <c r="E233" s="183" t="s">
        <v>2835</v>
      </c>
      <c r="F233" s="183" t="s">
        <v>2836</v>
      </c>
    </row>
    <row r="234" spans="1:6">
      <c r="C234" s="507"/>
      <c r="E234" s="72" t="s">
        <v>1102</v>
      </c>
      <c r="F234" s="72" t="s">
        <v>1102</v>
      </c>
    </row>
    <row r="235" spans="1:6">
      <c r="C235" s="507"/>
      <c r="D235" s="72" t="s">
        <v>2837</v>
      </c>
      <c r="E235" s="179" t="e">
        <v>#DIV/0!</v>
      </c>
      <c r="F235" s="179" t="e">
        <v>#DIV/0!</v>
      </c>
    </row>
    <row r="236" spans="1:6">
      <c r="C236" s="507"/>
    </row>
    <row r="237" spans="1:6">
      <c r="C237" s="507"/>
    </row>
    <row r="238" spans="1:6">
      <c r="C238" s="507"/>
    </row>
    <row r="239" spans="1:6">
      <c r="C239" s="507"/>
    </row>
    <row r="240" spans="1:6">
      <c r="C240" s="507"/>
    </row>
    <row r="241" spans="1:24">
      <c r="C241" s="507"/>
    </row>
    <row r="242" spans="1:24">
      <c r="A242" s="72" t="s">
        <v>2838</v>
      </c>
    </row>
    <row r="243" spans="1:24">
      <c r="A243" s="72" t="s">
        <v>2839</v>
      </c>
      <c r="D243" s="179"/>
    </row>
    <row r="244" spans="1:24">
      <c r="A244" s="72" t="s">
        <v>2840</v>
      </c>
    </row>
    <row r="245" spans="1:24">
      <c r="A245" s="72" t="s">
        <v>2841</v>
      </c>
      <c r="C245" s="179"/>
      <c r="D245" s="179"/>
      <c r="F245" s="179"/>
    </row>
    <row r="246" spans="1:24">
      <c r="A246" s="72" t="s">
        <v>2842</v>
      </c>
      <c r="B246" s="179"/>
      <c r="C246" s="179"/>
      <c r="D246" s="179"/>
      <c r="E246" s="179"/>
      <c r="F246" s="179"/>
      <c r="G246" s="179"/>
    </row>
    <row r="247" spans="1:24">
      <c r="A247" s="72" t="s">
        <v>2843</v>
      </c>
      <c r="B247" s="179"/>
      <c r="C247" s="179"/>
      <c r="D247" s="179"/>
      <c r="E247" s="179"/>
      <c r="F247" s="179"/>
      <c r="G247" s="179"/>
    </row>
    <row r="248" spans="1:24">
      <c r="A248" s="72" t="s">
        <v>2844</v>
      </c>
    </row>
    <row r="249" spans="1:24">
      <c r="A249" s="72" t="s">
        <v>2845</v>
      </c>
      <c r="B249" s="179"/>
      <c r="C249" s="179"/>
      <c r="D249" s="179"/>
      <c r="E249" s="179"/>
      <c r="F249" s="179"/>
      <c r="G249" s="179"/>
    </row>
    <row r="250" spans="1:24">
      <c r="A250" s="72" t="s">
        <v>2846</v>
      </c>
      <c r="B250" s="179"/>
      <c r="C250" s="179"/>
      <c r="D250" s="179"/>
      <c r="E250" s="179"/>
      <c r="F250" s="179"/>
      <c r="G250" s="179"/>
    </row>
    <row r="251" spans="1:24">
      <c r="A251" s="72" t="s">
        <v>2847</v>
      </c>
    </row>
    <row r="252" spans="1:24">
      <c r="A252" s="72" t="s">
        <v>2848</v>
      </c>
      <c r="B252" s="179"/>
      <c r="C252" s="179"/>
      <c r="D252" s="179"/>
      <c r="E252" s="179"/>
      <c r="F252" s="179"/>
      <c r="G252" s="179"/>
    </row>
    <row r="253" spans="1:24">
      <c r="B253" s="179"/>
      <c r="C253" s="179"/>
      <c r="D253" s="179"/>
      <c r="E253" s="179"/>
      <c r="F253" s="179"/>
      <c r="G253" s="179"/>
      <c r="H253" s="179"/>
      <c r="I253" s="179"/>
    </row>
    <row r="254" spans="1:24">
      <c r="A254" s="72" t="s">
        <v>2849</v>
      </c>
      <c r="H254" s="179"/>
      <c r="I254" s="179"/>
    </row>
    <row r="255" spans="1:24">
      <c r="A255" s="72" t="s">
        <v>2850</v>
      </c>
      <c r="B255" s="179"/>
      <c r="C255" s="179"/>
      <c r="D255" s="179"/>
      <c r="E255" s="179"/>
      <c r="F255" s="179"/>
      <c r="G255" s="179"/>
      <c r="H255" s="179"/>
    </row>
    <row r="256" spans="1:24">
      <c r="A256" s="72" t="s">
        <v>2851</v>
      </c>
      <c r="B256" s="179"/>
      <c r="C256" s="179"/>
      <c r="D256" s="179"/>
      <c r="E256" s="179"/>
      <c r="F256" s="179"/>
      <c r="G256" s="179"/>
      <c r="I256" s="179"/>
      <c r="X256" s="511"/>
    </row>
    <row r="257" spans="1:24">
      <c r="A257" s="477" t="s">
        <v>2852</v>
      </c>
    </row>
    <row r="258" spans="1:24">
      <c r="A258" s="179"/>
      <c r="X258" s="511"/>
    </row>
    <row r="259" spans="1:24">
      <c r="A259" s="72" t="s">
        <v>2853</v>
      </c>
    </row>
    <row r="260" spans="1:24">
      <c r="A260" s="72" t="s">
        <v>2854</v>
      </c>
    </row>
    <row r="261" spans="1:24">
      <c r="A261" s="72" t="s">
        <v>2855</v>
      </c>
    </row>
    <row r="262" spans="1:24">
      <c r="A262" s="72" t="s">
        <v>2856</v>
      </c>
      <c r="B262" s="179"/>
      <c r="C262" s="179"/>
      <c r="D262" s="179"/>
      <c r="E262" s="179"/>
      <c r="F262" s="179"/>
      <c r="G262" s="179"/>
      <c r="H262" s="179"/>
      <c r="I262" s="179"/>
    </row>
    <row r="263" spans="1:24">
      <c r="A263" s="72" t="s">
        <v>2857</v>
      </c>
      <c r="B263" s="179"/>
      <c r="C263" s="482"/>
      <c r="D263" s="179"/>
      <c r="E263" s="179"/>
      <c r="F263" s="179"/>
      <c r="G263" s="179"/>
      <c r="H263" s="179"/>
      <c r="I263" s="179"/>
    </row>
    <row r="264" spans="1:24">
      <c r="A264" s="72" t="s">
        <v>2858</v>
      </c>
    </row>
    <row r="265" spans="1:24">
      <c r="A265" s="72" t="s">
        <v>2859</v>
      </c>
      <c r="B265" s="179"/>
      <c r="C265" s="179"/>
      <c r="D265" s="179"/>
      <c r="E265" s="179"/>
      <c r="F265" s="179"/>
      <c r="G265" s="179"/>
      <c r="I265" s="179"/>
    </row>
    <row r="266" spans="1:24">
      <c r="A266" s="72" t="s">
        <v>2860</v>
      </c>
      <c r="F266" s="179"/>
      <c r="G266" s="179"/>
      <c r="X266" s="511"/>
    </row>
    <row r="267" spans="1:24">
      <c r="A267" s="72" t="s">
        <v>2861</v>
      </c>
      <c r="X267" s="511"/>
    </row>
    <row r="268" spans="1:24">
      <c r="A268" s="72" t="s">
        <v>2862</v>
      </c>
      <c r="X268" s="511"/>
    </row>
    <row r="269" spans="1:24">
      <c r="A269" s="72" t="s">
        <v>2863</v>
      </c>
      <c r="B269" s="179"/>
      <c r="C269" s="482"/>
      <c r="D269" s="179"/>
      <c r="E269" s="179"/>
      <c r="F269" s="179"/>
      <c r="G269" s="179"/>
      <c r="H269" s="179"/>
      <c r="I269" s="179"/>
      <c r="X269" s="511"/>
    </row>
    <row r="270" spans="1:24">
      <c r="A270" s="72" t="s">
        <v>2864</v>
      </c>
      <c r="B270" s="179"/>
      <c r="C270" s="179"/>
      <c r="D270" s="179"/>
      <c r="E270" s="179"/>
      <c r="F270" s="179"/>
      <c r="G270" s="179"/>
      <c r="H270" s="179"/>
      <c r="I270" s="179"/>
      <c r="X270" s="511"/>
    </row>
    <row r="271" spans="1:24">
      <c r="A271" s="72" t="s">
        <v>2852</v>
      </c>
      <c r="B271" s="179"/>
      <c r="C271" s="179"/>
      <c r="D271" s="179"/>
      <c r="E271" s="179"/>
      <c r="F271" s="179"/>
      <c r="G271" s="179"/>
      <c r="H271" s="179"/>
      <c r="I271" s="179"/>
      <c r="X271" s="511"/>
    </row>
    <row r="272" spans="1:24">
      <c r="F272" s="179"/>
      <c r="G272" s="179"/>
      <c r="H272" s="179"/>
      <c r="X272" s="511"/>
    </row>
    <row r="273" spans="1:25">
      <c r="A273" s="72" t="s">
        <v>2865</v>
      </c>
    </row>
    <row r="274" spans="1:25">
      <c r="A274" s="72" t="s">
        <v>1582</v>
      </c>
    </row>
    <row r="275" spans="1:25">
      <c r="A275" s="72" t="s">
        <v>2866</v>
      </c>
    </row>
    <row r="276" spans="1:25">
      <c r="A276" s="72" t="s">
        <v>2867</v>
      </c>
      <c r="X276" s="511"/>
    </row>
    <row r="277" spans="1:25">
      <c r="A277" s="72" t="s">
        <v>2868</v>
      </c>
      <c r="B277" s="179"/>
      <c r="C277" s="179"/>
      <c r="D277" s="179"/>
      <c r="E277" s="179"/>
      <c r="F277" s="179"/>
      <c r="G277" s="179"/>
      <c r="H277" s="179"/>
      <c r="I277" s="179"/>
      <c r="X277" s="511"/>
    </row>
    <row r="278" spans="1:25">
      <c r="B278" s="179"/>
      <c r="C278" s="179"/>
      <c r="D278" s="179"/>
      <c r="E278" s="179"/>
      <c r="F278" s="179"/>
      <c r="G278" s="179"/>
      <c r="H278" s="179"/>
      <c r="I278" s="179"/>
      <c r="X278" s="511"/>
    </row>
    <row r="279" spans="1:25">
      <c r="B279" s="179"/>
      <c r="C279" s="482"/>
      <c r="D279" s="179"/>
      <c r="E279" s="179"/>
      <c r="I279" s="179"/>
      <c r="X279" s="511"/>
    </row>
    <row r="280" spans="1:25">
      <c r="B280" s="179"/>
      <c r="C280" s="179"/>
      <c r="D280" s="179"/>
      <c r="E280" s="179"/>
      <c r="I280" s="179"/>
    </row>
    <row r="281" spans="1:25">
      <c r="B281" s="179"/>
      <c r="C281" s="179"/>
      <c r="D281" s="179"/>
      <c r="E281" s="179"/>
      <c r="I281" s="179"/>
      <c r="Y281" s="70"/>
    </row>
    <row r="284" spans="1:25">
      <c r="B284" s="179"/>
      <c r="C284" s="179"/>
      <c r="D284" s="179"/>
      <c r="E284" s="179"/>
      <c r="F284" s="179"/>
      <c r="G284" s="179"/>
      <c r="H284" s="179"/>
      <c r="I284" s="179"/>
    </row>
    <row r="285" spans="1:25">
      <c r="B285" s="179"/>
      <c r="C285" s="482"/>
      <c r="D285" s="179"/>
      <c r="E285" s="179"/>
      <c r="I285" s="179"/>
    </row>
    <row r="286" spans="1:25">
      <c r="B286" s="179"/>
      <c r="C286" s="179"/>
      <c r="D286" s="179"/>
      <c r="E286" s="179"/>
      <c r="I286" s="179"/>
    </row>
    <row r="287" spans="1:25">
      <c r="B287" s="179"/>
      <c r="C287" s="179"/>
      <c r="D287" s="179"/>
      <c r="E287" s="179"/>
      <c r="I287" s="179"/>
    </row>
    <row r="289" spans="1:26">
      <c r="B289" s="512"/>
      <c r="C289" s="512"/>
    </row>
    <row r="290" spans="1:26">
      <c r="B290" s="179"/>
      <c r="C290" s="179"/>
      <c r="D290" s="179"/>
      <c r="E290" s="179"/>
      <c r="F290" s="179"/>
      <c r="G290" s="179"/>
      <c r="H290" s="179"/>
      <c r="I290" s="179"/>
    </row>
    <row r="291" spans="1:26">
      <c r="B291" s="179"/>
      <c r="C291" s="482"/>
      <c r="D291" s="179"/>
      <c r="E291" s="179"/>
      <c r="I291" s="179"/>
      <c r="Z291" s="511"/>
    </row>
    <row r="292" spans="1:26">
      <c r="B292" s="179"/>
      <c r="C292" s="179"/>
      <c r="D292" s="179"/>
      <c r="E292" s="179"/>
      <c r="I292" s="179"/>
      <c r="Z292" s="511"/>
    </row>
    <row r="293" spans="1:26">
      <c r="B293" s="179"/>
      <c r="C293" s="179"/>
      <c r="D293" s="179"/>
      <c r="E293" s="179"/>
      <c r="I293" s="179"/>
      <c r="Z293" s="511"/>
    </row>
    <row r="297" spans="1:26">
      <c r="W297" s="70"/>
    </row>
    <row r="301" spans="1:26">
      <c r="A301" s="72" t="s">
        <v>2869</v>
      </c>
    </row>
    <row r="302" spans="1:26">
      <c r="A302" s="72" t="s">
        <v>2870</v>
      </c>
    </row>
    <row r="303" spans="1:26">
      <c r="A303" s="72" t="s">
        <v>2871</v>
      </c>
    </row>
    <row r="304" spans="1:26">
      <c r="A304" s="72" t="s">
        <v>2872</v>
      </c>
    </row>
    <row r="306" spans="1:29">
      <c r="A306" s="72" t="s">
        <v>2873</v>
      </c>
      <c r="D306" s="179"/>
      <c r="E306" s="179"/>
      <c r="F306" s="179"/>
      <c r="G306" s="179"/>
      <c r="H306" s="179"/>
      <c r="AC306" s="70"/>
    </row>
    <row r="307" spans="1:29">
      <c r="A307" s="72" t="s">
        <v>2848</v>
      </c>
      <c r="AC307" s="70"/>
    </row>
    <row r="308" spans="1:29">
      <c r="A308" s="72" t="s">
        <v>2849</v>
      </c>
    </row>
    <row r="309" spans="1:29">
      <c r="A309" s="72" t="s">
        <v>2850</v>
      </c>
    </row>
    <row r="310" spans="1:29">
      <c r="A310" s="72" t="s">
        <v>2874</v>
      </c>
    </row>
    <row r="312" spans="1:29">
      <c r="A312" s="72" t="s">
        <v>2875</v>
      </c>
    </row>
    <row r="313" spans="1:29">
      <c r="A313" s="72" t="s">
        <v>2876</v>
      </c>
    </row>
    <row r="314" spans="1:29">
      <c r="A314" s="72" t="s">
        <v>2877</v>
      </c>
      <c r="B314" s="70"/>
      <c r="D314" s="70"/>
      <c r="E314" s="70"/>
      <c r="G314" s="70"/>
      <c r="H314" s="70"/>
      <c r="I314" s="70"/>
    </row>
    <row r="315" spans="1:29">
      <c r="A315" s="72" t="s">
        <v>2878</v>
      </c>
      <c r="AC315" s="70"/>
    </row>
    <row r="316" spans="1:29">
      <c r="A316" s="72" t="s">
        <v>2879</v>
      </c>
      <c r="X316" s="511"/>
      <c r="AC316" s="70"/>
    </row>
    <row r="317" spans="1:29">
      <c r="A317" s="72" t="s">
        <v>2846</v>
      </c>
      <c r="B317" s="72" t="s">
        <v>2880</v>
      </c>
      <c r="AC317" s="70"/>
    </row>
    <row r="318" spans="1:29">
      <c r="X318" s="511"/>
    </row>
    <row r="319" spans="1:29">
      <c r="A319" s="72" t="s">
        <v>2881</v>
      </c>
    </row>
    <row r="320" spans="1:29">
      <c r="A320" s="72" t="s">
        <v>2882</v>
      </c>
    </row>
    <row r="321" spans="1:29">
      <c r="A321" s="72" t="s">
        <v>2883</v>
      </c>
      <c r="AC321" s="70"/>
    </row>
    <row r="322" spans="1:29">
      <c r="A322" s="72" t="s">
        <v>2884</v>
      </c>
      <c r="AC322" s="70"/>
    </row>
    <row r="324" spans="1:29">
      <c r="A324" s="72" t="s">
        <v>2857</v>
      </c>
    </row>
    <row r="325" spans="1:29">
      <c r="A325" s="72" t="s">
        <v>2885</v>
      </c>
    </row>
    <row r="326" spans="1:29">
      <c r="A326" s="72" t="s">
        <v>2886</v>
      </c>
      <c r="B326" s="179"/>
      <c r="C326" s="179"/>
      <c r="D326" s="179"/>
      <c r="E326" s="179"/>
      <c r="F326" s="179"/>
      <c r="G326" s="179"/>
      <c r="H326" s="179"/>
      <c r="I326" s="179"/>
      <c r="X326" s="511"/>
    </row>
    <row r="327" spans="1:29">
      <c r="A327" s="72" t="s">
        <v>2887</v>
      </c>
      <c r="B327" s="179"/>
      <c r="C327" s="482"/>
      <c r="D327" s="179"/>
      <c r="E327" s="179"/>
      <c r="F327" s="179"/>
      <c r="G327" s="179"/>
      <c r="H327" s="179"/>
      <c r="I327" s="179"/>
      <c r="X327" s="511"/>
      <c r="AC327" s="70"/>
    </row>
    <row r="328" spans="1:29">
      <c r="A328" s="72" t="s">
        <v>2888</v>
      </c>
      <c r="B328" s="179"/>
      <c r="C328" s="179"/>
      <c r="D328" s="179"/>
      <c r="E328" s="179"/>
      <c r="F328" s="179"/>
      <c r="G328" s="179"/>
      <c r="H328" s="179"/>
      <c r="I328" s="179"/>
      <c r="X328" s="511"/>
      <c r="AC328" s="70"/>
    </row>
    <row r="329" spans="1:29">
      <c r="A329" s="72" t="s">
        <v>2889</v>
      </c>
      <c r="B329" s="179"/>
      <c r="C329" s="179"/>
      <c r="D329" s="179"/>
      <c r="E329" s="179"/>
      <c r="I329" s="179"/>
      <c r="X329" s="511"/>
      <c r="AC329" s="70"/>
    </row>
    <row r="330" spans="1:29">
      <c r="A330" s="72" t="s">
        <v>2890</v>
      </c>
      <c r="X330" s="511"/>
      <c r="AC330" s="70"/>
    </row>
    <row r="331" spans="1:29">
      <c r="A331" s="72" t="s">
        <v>2864</v>
      </c>
      <c r="B331" s="179"/>
      <c r="C331" s="179"/>
      <c r="D331" s="179"/>
      <c r="E331" s="179"/>
      <c r="F331" s="179"/>
      <c r="G331" s="179"/>
      <c r="H331" s="179"/>
      <c r="I331" s="179"/>
      <c r="X331" s="511"/>
      <c r="AC331" s="70"/>
    </row>
    <row r="332" spans="1:29">
      <c r="A332" s="72" t="s">
        <v>2891</v>
      </c>
      <c r="B332" s="179"/>
      <c r="C332" s="179"/>
      <c r="D332" s="179"/>
      <c r="E332" s="179"/>
      <c r="F332" s="179"/>
      <c r="G332" s="179"/>
      <c r="H332" s="179"/>
      <c r="I332" s="179"/>
      <c r="X332" s="511"/>
    </row>
    <row r="333" spans="1:29">
      <c r="B333" s="179"/>
      <c r="C333" s="482"/>
      <c r="D333" s="179"/>
      <c r="E333" s="179"/>
      <c r="F333" s="179"/>
      <c r="G333" s="179"/>
      <c r="H333" s="179"/>
      <c r="I333" s="179"/>
    </row>
    <row r="334" spans="1:29">
      <c r="A334" s="72" t="s">
        <v>2892</v>
      </c>
      <c r="B334" s="179"/>
      <c r="C334" s="179"/>
      <c r="D334" s="179"/>
      <c r="E334" s="179"/>
      <c r="F334" s="179"/>
      <c r="G334" s="179"/>
      <c r="H334" s="179"/>
      <c r="I334" s="179"/>
    </row>
    <row r="335" spans="1:29">
      <c r="A335" s="72" t="s">
        <v>2893</v>
      </c>
      <c r="B335" s="179"/>
      <c r="C335" s="179"/>
      <c r="D335" s="179"/>
      <c r="E335" s="179"/>
      <c r="I335" s="179"/>
    </row>
    <row r="336" spans="1:29">
      <c r="A336" s="72" t="s">
        <v>2894</v>
      </c>
      <c r="X336" s="511"/>
    </row>
    <row r="337" spans="1:29">
      <c r="A337" s="72" t="s">
        <v>2895</v>
      </c>
      <c r="B337" s="179"/>
      <c r="C337" s="179"/>
      <c r="D337" s="179"/>
      <c r="E337" s="179"/>
      <c r="F337" s="179"/>
      <c r="G337" s="179"/>
      <c r="H337" s="179"/>
      <c r="I337" s="179"/>
      <c r="X337" s="511"/>
    </row>
    <row r="338" spans="1:29">
      <c r="B338" s="179"/>
      <c r="C338" s="179"/>
      <c r="D338" s="179"/>
      <c r="E338" s="179"/>
      <c r="F338" s="179"/>
      <c r="G338" s="179"/>
      <c r="H338" s="179"/>
      <c r="I338" s="179"/>
      <c r="X338" s="511"/>
    </row>
    <row r="339" spans="1:29">
      <c r="B339" s="179"/>
      <c r="C339" s="482"/>
      <c r="D339" s="179"/>
      <c r="E339" s="179"/>
      <c r="F339" s="179"/>
      <c r="G339" s="179"/>
      <c r="H339" s="179"/>
      <c r="I339" s="179"/>
      <c r="X339" s="511"/>
      <c r="AC339" s="174"/>
    </row>
    <row r="340" spans="1:29">
      <c r="B340" s="179"/>
      <c r="C340" s="179"/>
      <c r="D340" s="179"/>
      <c r="E340" s="179"/>
      <c r="F340" s="179"/>
      <c r="G340" s="179"/>
      <c r="H340" s="179"/>
      <c r="I340" s="179"/>
    </row>
    <row r="341" spans="1:29">
      <c r="B341" s="179"/>
      <c r="C341" s="179"/>
      <c r="D341" s="179"/>
      <c r="E341" s="179"/>
      <c r="I341" s="179"/>
      <c r="Y341" s="70"/>
    </row>
    <row r="344" spans="1:29">
      <c r="B344" s="179"/>
      <c r="C344" s="179"/>
      <c r="D344" s="179"/>
      <c r="E344" s="179"/>
      <c r="F344" s="179"/>
      <c r="G344" s="179"/>
      <c r="H344" s="179"/>
      <c r="I344" s="179"/>
    </row>
    <row r="345" spans="1:29">
      <c r="B345" s="179"/>
      <c r="C345" s="179"/>
      <c r="D345" s="179"/>
      <c r="E345" s="179"/>
      <c r="F345" s="179"/>
      <c r="G345" s="179"/>
      <c r="H345" s="179"/>
      <c r="I345" s="179"/>
    </row>
    <row r="346" spans="1:29">
      <c r="B346" s="179"/>
      <c r="C346" s="179"/>
      <c r="D346" s="179"/>
      <c r="E346" s="179"/>
      <c r="F346" s="179"/>
      <c r="G346" s="179"/>
      <c r="H346" s="179"/>
      <c r="I346" s="179"/>
    </row>
    <row r="347" spans="1:29">
      <c r="B347" s="179"/>
      <c r="C347" s="179"/>
      <c r="D347" s="179"/>
      <c r="E347" s="179"/>
      <c r="F347" s="179"/>
      <c r="G347" s="179"/>
      <c r="H347" s="179"/>
      <c r="I347" s="179"/>
    </row>
    <row r="351" spans="1:29">
      <c r="Z351" s="511"/>
    </row>
    <row r="352" spans="1:29">
      <c r="Z352" s="511"/>
    </row>
    <row r="353" spans="1:26">
      <c r="B353" s="179"/>
      <c r="C353" s="179"/>
      <c r="D353" s="179"/>
      <c r="Z353" s="511"/>
    </row>
    <row r="354" spans="1:26">
      <c r="B354" s="179"/>
      <c r="C354" s="179"/>
      <c r="D354" s="179"/>
    </row>
    <row r="356" spans="1:26">
      <c r="B356" s="179"/>
      <c r="C356" s="179"/>
      <c r="D356" s="179"/>
    </row>
    <row r="357" spans="1:26">
      <c r="B357" s="179"/>
      <c r="C357" s="179"/>
      <c r="D357" s="179"/>
      <c r="W357" s="70"/>
    </row>
    <row r="359" spans="1:26">
      <c r="B359" s="179"/>
      <c r="C359" s="179"/>
      <c r="D359" s="179"/>
    </row>
    <row r="361" spans="1:26">
      <c r="A361" s="72" t="s">
        <v>2896</v>
      </c>
    </row>
    <row r="362" spans="1:26">
      <c r="A362" s="72" t="s">
        <v>2897</v>
      </c>
    </row>
    <row r="363" spans="1:26">
      <c r="A363" s="72" t="s">
        <v>2898</v>
      </c>
    </row>
    <row r="365" spans="1:26">
      <c r="A365" s="72" t="s">
        <v>2899</v>
      </c>
    </row>
    <row r="366" spans="1:26">
      <c r="C366" s="70"/>
    </row>
    <row r="367" spans="1:26">
      <c r="A367" s="72" t="s">
        <v>2900</v>
      </c>
      <c r="C367" s="70"/>
    </row>
    <row r="368" spans="1:26">
      <c r="A368" s="72" t="s">
        <v>2901</v>
      </c>
    </row>
    <row r="369" spans="1:3">
      <c r="A369" s="72" t="s">
        <v>2902</v>
      </c>
    </row>
    <row r="370" spans="1:3">
      <c r="A370" s="72" t="s">
        <v>2903</v>
      </c>
    </row>
    <row r="371" spans="1:3">
      <c r="A371" s="72" t="s">
        <v>2904</v>
      </c>
    </row>
    <row r="373" spans="1:3">
      <c r="A373" s="72" t="s">
        <v>2905</v>
      </c>
    </row>
    <row r="375" spans="1:3">
      <c r="A375" s="72" t="s">
        <v>2906</v>
      </c>
      <c r="C375" s="70"/>
    </row>
    <row r="376" spans="1:3">
      <c r="A376" s="72" t="s">
        <v>2907</v>
      </c>
      <c r="C376" s="70"/>
    </row>
    <row r="377" spans="1:3">
      <c r="A377" s="72" t="s">
        <v>2908</v>
      </c>
      <c r="C377" s="70"/>
    </row>
    <row r="378" spans="1:3">
      <c r="A378" s="72" t="s">
        <v>2666</v>
      </c>
    </row>
    <row r="379" spans="1:3">
      <c r="A379" s="72" t="s">
        <v>2909</v>
      </c>
    </row>
    <row r="380" spans="1:3">
      <c r="A380" s="72" t="s">
        <v>2910</v>
      </c>
    </row>
    <row r="381" spans="1:3">
      <c r="A381" s="72" t="s">
        <v>2911</v>
      </c>
      <c r="C381" s="70"/>
    </row>
    <row r="382" spans="1:3">
      <c r="A382" s="72" t="s">
        <v>2912</v>
      </c>
      <c r="C382" s="70"/>
    </row>
    <row r="383" spans="1:3">
      <c r="A383" s="72" t="s">
        <v>2913</v>
      </c>
    </row>
    <row r="384" spans="1:3">
      <c r="A384" s="72" t="s">
        <v>2914</v>
      </c>
    </row>
    <row r="385" spans="1:3">
      <c r="A385" s="72" t="s">
        <v>2915</v>
      </c>
    </row>
    <row r="386" spans="1:3">
      <c r="A386" s="72" t="s">
        <v>2916</v>
      </c>
    </row>
    <row r="387" spans="1:3">
      <c r="A387" s="72" t="s">
        <v>2917</v>
      </c>
      <c r="C387" s="70"/>
    </row>
    <row r="388" spans="1:3">
      <c r="A388" s="72" t="s">
        <v>2918</v>
      </c>
      <c r="C388" s="70"/>
    </row>
    <row r="389" spans="1:3">
      <c r="A389" s="72" t="s">
        <v>2919</v>
      </c>
      <c r="C389" s="70"/>
    </row>
    <row r="390" spans="1:3">
      <c r="C390" s="70"/>
    </row>
    <row r="391" spans="1:3">
      <c r="A391" s="72" t="s">
        <v>2920</v>
      </c>
      <c r="C391" s="70"/>
    </row>
    <row r="393" spans="1:3">
      <c r="A393" s="72" t="s">
        <v>1062</v>
      </c>
    </row>
    <row r="394" spans="1:3">
      <c r="A394" s="72" t="s">
        <v>2921</v>
      </c>
    </row>
    <row r="395" spans="1:3">
      <c r="A395" s="72" t="s">
        <v>2674</v>
      </c>
    </row>
    <row r="396" spans="1:3">
      <c r="A396" s="72" t="s">
        <v>2922</v>
      </c>
    </row>
    <row r="397" spans="1:3">
      <c r="A397" s="72" t="s">
        <v>2923</v>
      </c>
    </row>
    <row r="398" spans="1:3">
      <c r="A398" s="72" t="s">
        <v>2924</v>
      </c>
    </row>
    <row r="399" spans="1:3">
      <c r="A399" s="72" t="s">
        <v>2925</v>
      </c>
      <c r="C399" s="174"/>
    </row>
    <row r="400" spans="1:3">
      <c r="A400" s="72" t="s">
        <v>2926</v>
      </c>
    </row>
    <row r="401" spans="1:1">
      <c r="A401" s="72" t="s">
        <v>2927</v>
      </c>
    </row>
    <row r="402" spans="1:1">
      <c r="A402" s="72" t="s">
        <v>2928</v>
      </c>
    </row>
    <row r="403" spans="1:1">
      <c r="A403" s="72" t="s">
        <v>2929</v>
      </c>
    </row>
    <row r="404" spans="1:1">
      <c r="A404" s="72" t="s">
        <v>2930</v>
      </c>
    </row>
    <row r="405" spans="1:1">
      <c r="A405" s="72" t="s">
        <v>2931</v>
      </c>
    </row>
    <row r="407" spans="1:1">
      <c r="A407" s="72" t="s">
        <v>2932</v>
      </c>
    </row>
    <row r="409" spans="1:1">
      <c r="A409" s="72" t="s">
        <v>2933</v>
      </c>
    </row>
  </sheetData>
  <phoneticPr fontId="49" type="noConversion"/>
  <printOptions headings="1"/>
  <pageMargins left="0.25" right="0.25" top="0.25" bottom="0.25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264" transitionEvaluation="1" codeName="Sheet5">
    <pageSetUpPr fitToPage="1"/>
  </sheetPr>
  <dimension ref="A1:IV944"/>
  <sheetViews>
    <sheetView topLeftCell="A264" zoomScale="70" workbookViewId="0">
      <selection activeCell="E304" sqref="E304"/>
    </sheetView>
  </sheetViews>
  <sheetFormatPr defaultColWidth="17.85546875" defaultRowHeight="12"/>
  <cols>
    <col min="1" max="1" width="10.28515625" style="73" customWidth="1"/>
    <col min="2" max="14" width="17.85546875" style="73" customWidth="1"/>
    <col min="15" max="15" width="23" style="73" customWidth="1"/>
    <col min="16" max="16" width="20" style="73" customWidth="1"/>
    <col min="17" max="17" width="13" style="73" customWidth="1"/>
    <col min="18" max="18" width="10.28515625" style="73" customWidth="1"/>
    <col min="19" max="19" width="21.7109375" style="73" customWidth="1"/>
    <col min="20" max="20" width="20.5703125" style="73" customWidth="1"/>
    <col min="21" max="22" width="13.7109375" style="73" customWidth="1"/>
    <col min="23" max="23" width="13.28515625" style="73" customWidth="1"/>
    <col min="24" max="24" width="16.140625" style="73" bestFit="1" customWidth="1"/>
    <col min="25" max="26" width="10.28515625" style="73" customWidth="1"/>
    <col min="27" max="41" width="17.85546875" style="73" customWidth="1"/>
    <col min="42" max="42" width="10.28515625" style="73" customWidth="1"/>
    <col min="43" max="55" width="17.85546875" style="73" customWidth="1"/>
    <col min="56" max="241" width="10.28515625" style="73" customWidth="1"/>
    <col min="242" max="242" width="13.85546875" style="73" customWidth="1"/>
    <col min="243" max="255" width="10.28515625" style="73" customWidth="1"/>
    <col min="256" max="16384" width="17.85546875" style="73"/>
  </cols>
  <sheetData>
    <row r="1" spans="1:254">
      <c r="A1" s="72">
        <v>0</v>
      </c>
      <c r="AK1" s="72"/>
      <c r="AM1" s="72"/>
      <c r="AN1" s="72"/>
      <c r="AP1" s="72"/>
      <c r="AQ1" s="72"/>
      <c r="IC1" s="72" t="s">
        <v>2934</v>
      </c>
      <c r="IG1" s="72" t="s">
        <v>1523</v>
      </c>
      <c r="IH1" s="72" t="s">
        <v>1524</v>
      </c>
      <c r="II1" s="72" t="s">
        <v>1525</v>
      </c>
      <c r="IJ1" s="71">
        <v>0</v>
      </c>
      <c r="IL1" s="72" t="s">
        <v>1518</v>
      </c>
      <c r="IM1" s="72" t="s">
        <v>2528</v>
      </c>
      <c r="IN1" s="72" t="s">
        <v>1519</v>
      </c>
      <c r="IQ1" s="72" t="s">
        <v>1520</v>
      </c>
      <c r="IR1" s="72" t="s">
        <v>1521</v>
      </c>
      <c r="IS1" s="72" t="s">
        <v>1522</v>
      </c>
      <c r="IT1" s="71">
        <v>11426980.489999998</v>
      </c>
    </row>
    <row r="2" spans="1:254">
      <c r="A2" s="72" t="s">
        <v>2935</v>
      </c>
      <c r="AK2" s="443"/>
      <c r="AM2" s="443"/>
      <c r="AN2" s="72"/>
      <c r="AQ2" s="72"/>
      <c r="AR2" s="72"/>
      <c r="AS2" s="72"/>
      <c r="AT2" s="72"/>
      <c r="ID2" s="72" t="s">
        <v>1529</v>
      </c>
      <c r="IE2" s="72" t="s">
        <v>1530</v>
      </c>
      <c r="IF2" s="71">
        <v>0</v>
      </c>
      <c r="IH2" s="72" t="s">
        <v>1535</v>
      </c>
      <c r="II2" s="72" t="s">
        <v>1536</v>
      </c>
      <c r="IJ2" s="71">
        <v>5926529</v>
      </c>
      <c r="IM2" s="72" t="s">
        <v>1531</v>
      </c>
      <c r="IN2" s="72" t="s">
        <v>1532</v>
      </c>
      <c r="IO2" s="71">
        <v>-756923.65299999993</v>
      </c>
      <c r="IR2" s="72" t="s">
        <v>1533</v>
      </c>
      <c r="IS2" s="72" t="s">
        <v>1534</v>
      </c>
      <c r="IT2" s="71">
        <v>7684.47</v>
      </c>
    </row>
    <row r="3" spans="1:254">
      <c r="A3" s="72" t="s">
        <v>2936</v>
      </c>
      <c r="AK3" s="72"/>
      <c r="AM3" s="72"/>
      <c r="AN3" s="72"/>
      <c r="AQ3" s="72"/>
      <c r="AR3" s="72"/>
      <c r="AS3" s="72"/>
      <c r="AT3" s="72"/>
      <c r="ID3" s="72" t="s">
        <v>1539</v>
      </c>
      <c r="IE3" s="72" t="s">
        <v>1540</v>
      </c>
      <c r="IF3" s="71">
        <v>505060483</v>
      </c>
      <c r="IH3" s="72" t="s">
        <v>1545</v>
      </c>
      <c r="II3" s="72" t="s">
        <v>1546</v>
      </c>
      <c r="IJ3" s="71">
        <v>465719680.06000006</v>
      </c>
      <c r="IM3" s="72" t="s">
        <v>1541</v>
      </c>
      <c r="IN3" s="72" t="s">
        <v>1542</v>
      </c>
      <c r="IO3" s="71">
        <v>39772382.774000004</v>
      </c>
      <c r="IR3" s="72" t="s">
        <v>1543</v>
      </c>
      <c r="IS3" s="72" t="s">
        <v>1544</v>
      </c>
      <c r="IT3" s="71">
        <v>603329320.74000001</v>
      </c>
    </row>
    <row r="4" spans="1:254">
      <c r="A4" s="72" t="s">
        <v>30</v>
      </c>
      <c r="AK4" s="72"/>
      <c r="AM4" s="72"/>
      <c r="AN4" s="72"/>
      <c r="AR4" s="72"/>
      <c r="AS4" s="72"/>
      <c r="AT4" s="72"/>
      <c r="ID4" s="72" t="s">
        <v>1549</v>
      </c>
      <c r="IE4" s="72" t="s">
        <v>1550</v>
      </c>
      <c r="IF4" s="71">
        <v>227043</v>
      </c>
      <c r="IH4" s="72" t="s">
        <v>1555</v>
      </c>
      <c r="II4" s="72" t="s">
        <v>1556</v>
      </c>
      <c r="IJ4" s="71">
        <v>40354804.57</v>
      </c>
      <c r="IM4" s="72" t="s">
        <v>1551</v>
      </c>
      <c r="IN4" s="72" t="s">
        <v>1552</v>
      </c>
      <c r="IO4" s="71">
        <v>1049.326</v>
      </c>
      <c r="IR4" s="72" t="s">
        <v>1553</v>
      </c>
      <c r="IS4" s="72" t="s">
        <v>1554</v>
      </c>
      <c r="IT4" s="71">
        <v>603173082.66999996</v>
      </c>
    </row>
    <row r="5" spans="1:254">
      <c r="A5" s="72" t="s">
        <v>1557</v>
      </c>
      <c r="AK5" s="443"/>
      <c r="AM5" s="443"/>
      <c r="AN5" s="72"/>
      <c r="AR5" s="72"/>
      <c r="AT5" s="72"/>
      <c r="ID5" s="72" t="s">
        <v>1561</v>
      </c>
      <c r="IE5" s="72" t="s">
        <v>1562</v>
      </c>
      <c r="IF5" s="71">
        <v>335213</v>
      </c>
      <c r="IH5" s="72" t="s">
        <v>1567</v>
      </c>
      <c r="II5" s="72" t="s">
        <v>1568</v>
      </c>
      <c r="IJ5" s="71">
        <v>19176327.499999996</v>
      </c>
      <c r="IM5" s="72" t="s">
        <v>2937</v>
      </c>
      <c r="IN5" s="72" t="s">
        <v>1564</v>
      </c>
      <c r="IO5" s="71">
        <v>796761.73999999987</v>
      </c>
      <c r="IR5" s="72" t="s">
        <v>1565</v>
      </c>
      <c r="IS5" s="72" t="s">
        <v>1566</v>
      </c>
      <c r="IT5" s="71">
        <v>589561852.10000002</v>
      </c>
    </row>
    <row r="6" spans="1:254">
      <c r="AM6" s="72"/>
      <c r="AN6" s="72"/>
      <c r="AR6" s="72"/>
      <c r="AT6" s="72"/>
      <c r="ID6" s="72" t="s">
        <v>1572</v>
      </c>
      <c r="IE6" s="72" t="s">
        <v>1573</v>
      </c>
      <c r="IF6" s="71">
        <v>35060633</v>
      </c>
      <c r="IH6" s="72" t="s">
        <v>1578</v>
      </c>
      <c r="II6" s="72" t="s">
        <v>1579</v>
      </c>
      <c r="IJ6" s="71">
        <v>10970292.743896008</v>
      </c>
      <c r="IM6" s="72" t="s">
        <v>1574</v>
      </c>
      <c r="IN6" s="72" t="s">
        <v>1575</v>
      </c>
      <c r="IO6" s="71">
        <v>119471.8</v>
      </c>
      <c r="IR6" s="72" t="s">
        <v>1576</v>
      </c>
      <c r="IS6" s="72" t="s">
        <v>1577</v>
      </c>
      <c r="IT6" s="71">
        <v>424484.53</v>
      </c>
    </row>
    <row r="7" spans="1:254">
      <c r="A7" s="72" t="s">
        <v>3691</v>
      </c>
      <c r="B7" s="72" t="s">
        <v>2938</v>
      </c>
      <c r="C7" s="72" t="s">
        <v>2939</v>
      </c>
      <c r="D7" s="72" t="s">
        <v>2940</v>
      </c>
      <c r="E7" s="72" t="s">
        <v>2941</v>
      </c>
      <c r="F7" s="72" t="s">
        <v>2942</v>
      </c>
      <c r="G7" s="72" t="s">
        <v>2943</v>
      </c>
      <c r="H7" s="72" t="s">
        <v>2944</v>
      </c>
      <c r="I7" s="183" t="s">
        <v>2945</v>
      </c>
      <c r="J7" s="72" t="s">
        <v>2946</v>
      </c>
      <c r="K7" s="72" t="s">
        <v>2947</v>
      </c>
      <c r="L7" s="72" t="s">
        <v>2948</v>
      </c>
      <c r="M7" s="72" t="s">
        <v>2949</v>
      </c>
      <c r="N7" s="72" t="s">
        <v>2950</v>
      </c>
      <c r="O7" s="72" t="s">
        <v>2951</v>
      </c>
      <c r="AK7" s="72"/>
      <c r="AM7" s="72"/>
      <c r="AN7" s="72"/>
      <c r="AR7" s="72"/>
      <c r="AT7" s="72"/>
      <c r="ID7" s="72" t="s">
        <v>1593</v>
      </c>
      <c r="IE7" s="72" t="s">
        <v>1594</v>
      </c>
      <c r="IF7" s="71">
        <v>16265385</v>
      </c>
      <c r="IH7" s="72" t="s">
        <v>1599</v>
      </c>
      <c r="II7" s="72" t="s">
        <v>1600</v>
      </c>
      <c r="IJ7" s="71">
        <v>603173082.66999996</v>
      </c>
      <c r="IM7" s="72" t="s">
        <v>1595</v>
      </c>
      <c r="IN7" s="72" t="s">
        <v>1596</v>
      </c>
      <c r="IO7" s="71">
        <v>40354804.57</v>
      </c>
      <c r="IR7" s="72" t="s">
        <v>1597</v>
      </c>
      <c r="IS7" s="72" t="s">
        <v>1598</v>
      </c>
      <c r="IT7" s="71">
        <v>10427964.57</v>
      </c>
    </row>
    <row r="8" spans="1:254">
      <c r="A8" s="72" t="s">
        <v>2952</v>
      </c>
      <c r="C8" s="72" t="s">
        <v>2953</v>
      </c>
      <c r="D8" s="72" t="s">
        <v>2954</v>
      </c>
      <c r="G8" s="72" t="s">
        <v>2953</v>
      </c>
      <c r="H8" s="72" t="s">
        <v>2953</v>
      </c>
      <c r="I8" s="72" t="s">
        <v>2955</v>
      </c>
      <c r="J8" s="72" t="s">
        <v>2956</v>
      </c>
      <c r="AK8" s="72"/>
      <c r="AM8" s="72"/>
      <c r="AN8" s="72"/>
      <c r="ID8" s="72" t="s">
        <v>1607</v>
      </c>
      <c r="IE8" s="72" t="s">
        <v>1608</v>
      </c>
      <c r="IF8" s="71">
        <v>282498790</v>
      </c>
      <c r="IH8" s="72" t="s">
        <v>1613</v>
      </c>
      <c r="II8" s="72" t="s">
        <v>1614</v>
      </c>
      <c r="IJ8" s="71">
        <v>729974.23210400017</v>
      </c>
      <c r="IM8" s="72" t="s">
        <v>1609</v>
      </c>
      <c r="IN8" s="72" t="s">
        <v>1610</v>
      </c>
      <c r="IO8" s="71">
        <v>9252.74</v>
      </c>
      <c r="IR8" s="72" t="s">
        <v>1611</v>
      </c>
      <c r="IS8" s="72" t="s">
        <v>1612</v>
      </c>
      <c r="IT8" s="71">
        <v>653886230</v>
      </c>
    </row>
    <row r="9" spans="1:254">
      <c r="B9" s="72" t="s">
        <v>2957</v>
      </c>
      <c r="C9" s="72" t="s">
        <v>2958</v>
      </c>
      <c r="D9" s="72" t="s">
        <v>2959</v>
      </c>
      <c r="E9" s="72" t="s">
        <v>2960</v>
      </c>
      <c r="F9" s="72" t="s">
        <v>272</v>
      </c>
      <c r="G9" s="72" t="s">
        <v>1922</v>
      </c>
      <c r="H9" s="72" t="s">
        <v>1922</v>
      </c>
      <c r="I9" s="72" t="s">
        <v>2959</v>
      </c>
      <c r="J9" s="72" t="s">
        <v>273</v>
      </c>
      <c r="K9" s="72" t="s">
        <v>3318</v>
      </c>
      <c r="M9" s="72" t="s">
        <v>274</v>
      </c>
      <c r="N9" s="72" t="s">
        <v>275</v>
      </c>
      <c r="AK9" s="72"/>
      <c r="AM9" s="72"/>
      <c r="AN9" s="72"/>
      <c r="AP9" s="72"/>
      <c r="AQ9" s="72"/>
      <c r="ID9" s="72" t="s">
        <v>1625</v>
      </c>
      <c r="IE9" s="72" t="s">
        <v>1626</v>
      </c>
      <c r="IF9" s="71">
        <v>0</v>
      </c>
      <c r="IH9" s="72" t="s">
        <v>1631</v>
      </c>
      <c r="II9" s="72" t="s">
        <v>1632</v>
      </c>
      <c r="IJ9" s="71">
        <v>29079897.899999999</v>
      </c>
      <c r="IM9" s="72" t="s">
        <v>1627</v>
      </c>
      <c r="IN9" s="72" t="s">
        <v>1628</v>
      </c>
      <c r="IO9" s="71">
        <v>-103459628.462308</v>
      </c>
      <c r="IR9" s="72" t="s">
        <v>1629</v>
      </c>
      <c r="IS9" s="72" t="s">
        <v>1630</v>
      </c>
      <c r="IT9" s="71">
        <v>3290650</v>
      </c>
    </row>
    <row r="10" spans="1:254">
      <c r="B10" s="72" t="s">
        <v>276</v>
      </c>
      <c r="C10" s="72" t="s">
        <v>277</v>
      </c>
      <c r="D10" s="72" t="s">
        <v>278</v>
      </c>
      <c r="E10" s="72" t="s">
        <v>279</v>
      </c>
      <c r="F10" s="72" t="s">
        <v>280</v>
      </c>
      <c r="G10" s="72" t="s">
        <v>277</v>
      </c>
      <c r="H10" s="72" t="s">
        <v>281</v>
      </c>
      <c r="I10" s="72" t="s">
        <v>278</v>
      </c>
      <c r="J10" s="72" t="s">
        <v>282</v>
      </c>
      <c r="K10" s="72" t="s">
        <v>272</v>
      </c>
      <c r="L10" s="72" t="s">
        <v>283</v>
      </c>
      <c r="M10" s="72" t="s">
        <v>284</v>
      </c>
      <c r="N10" s="72" t="s">
        <v>285</v>
      </c>
      <c r="O10" s="72" t="s">
        <v>286</v>
      </c>
      <c r="AK10" s="72"/>
      <c r="AM10" s="72"/>
      <c r="AN10" s="72"/>
      <c r="AQ10" s="72"/>
      <c r="AR10" s="72"/>
      <c r="AS10" s="72"/>
      <c r="AT10" s="72"/>
      <c r="AU10" s="72"/>
      <c r="AV10" s="72"/>
      <c r="AW10" s="72"/>
      <c r="ID10" s="72" t="s">
        <v>287</v>
      </c>
      <c r="IE10" s="72" t="s">
        <v>1642</v>
      </c>
      <c r="IF10" s="71">
        <v>-151930570</v>
      </c>
      <c r="IH10" s="72" t="s">
        <v>1647</v>
      </c>
      <c r="II10" s="72" t="s">
        <v>1648</v>
      </c>
      <c r="IJ10" s="71">
        <v>146600471.49399999</v>
      </c>
      <c r="IM10" s="72" t="s">
        <v>1643</v>
      </c>
      <c r="IN10" s="72" t="s">
        <v>1644</v>
      </c>
      <c r="IO10" s="71">
        <v>5754077.5576923098</v>
      </c>
      <c r="IR10" s="72" t="s">
        <v>1645</v>
      </c>
      <c r="IS10" s="72" t="s">
        <v>1646</v>
      </c>
      <c r="IT10" s="71">
        <v>29079897.899999999</v>
      </c>
    </row>
    <row r="11" spans="1:254">
      <c r="B11" s="444" t="s">
        <v>288</v>
      </c>
      <c r="C11" s="444" t="s">
        <v>288</v>
      </c>
      <c r="D11" s="444" t="s">
        <v>289</v>
      </c>
      <c r="E11" s="444" t="s">
        <v>288</v>
      </c>
      <c r="F11" s="444" t="s">
        <v>290</v>
      </c>
      <c r="G11" s="444" t="s">
        <v>279</v>
      </c>
      <c r="H11" s="444" t="s">
        <v>291</v>
      </c>
      <c r="I11" s="444" t="s">
        <v>292</v>
      </c>
      <c r="J11" s="444" t="s">
        <v>293</v>
      </c>
      <c r="K11" s="444" t="s">
        <v>294</v>
      </c>
      <c r="L11" s="444" t="s">
        <v>1194</v>
      </c>
      <c r="M11" s="444" t="s">
        <v>295</v>
      </c>
      <c r="N11" s="444" t="s">
        <v>296</v>
      </c>
      <c r="O11" s="444" t="s">
        <v>297</v>
      </c>
      <c r="AK11" s="72"/>
      <c r="AM11" s="72"/>
      <c r="AN11" s="72"/>
      <c r="AQ11" s="72"/>
      <c r="AR11" s="72"/>
      <c r="AS11" s="72"/>
      <c r="AT11" s="72"/>
      <c r="AU11" s="72"/>
      <c r="AV11" s="72"/>
      <c r="AW11" s="72"/>
      <c r="ID11" s="72" t="s">
        <v>1881</v>
      </c>
      <c r="IE11" s="72" t="s">
        <v>1882</v>
      </c>
      <c r="IF11" s="71">
        <v>-12271272</v>
      </c>
      <c r="IH11" s="72" t="s">
        <v>1887</v>
      </c>
      <c r="II11" s="72" t="s">
        <v>1888</v>
      </c>
      <c r="IJ11" s="71">
        <v>21179162.07</v>
      </c>
      <c r="IM11" s="72" t="s">
        <v>1883</v>
      </c>
      <c r="IN11" s="72" t="s">
        <v>1884</v>
      </c>
      <c r="IO11" s="71">
        <v>1191081752.306154</v>
      </c>
      <c r="IR11" s="72" t="s">
        <v>1885</v>
      </c>
      <c r="IS11" s="72" t="s">
        <v>1886</v>
      </c>
      <c r="IT11" s="71">
        <v>21179162.07</v>
      </c>
    </row>
    <row r="12" spans="1:254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AK12" s="72"/>
      <c r="AM12" s="72"/>
      <c r="AN12" s="72"/>
      <c r="AQ12" s="72"/>
      <c r="AR12" s="72"/>
      <c r="AS12" s="72"/>
      <c r="AT12" s="72"/>
      <c r="AU12" s="72"/>
      <c r="AV12" s="72"/>
      <c r="AW12" s="72"/>
      <c r="ID12" s="72" t="s">
        <v>1891</v>
      </c>
      <c r="IE12" s="72" t="s">
        <v>1892</v>
      </c>
      <c r="IF12" s="71">
        <v>-2416226</v>
      </c>
      <c r="IH12" s="72" t="s">
        <v>1897</v>
      </c>
      <c r="II12" s="72" t="s">
        <v>1898</v>
      </c>
      <c r="IJ12" s="71">
        <v>0</v>
      </c>
      <c r="IM12" s="72" t="s">
        <v>1893</v>
      </c>
      <c r="IN12" s="72" t="s">
        <v>1894</v>
      </c>
      <c r="IO12" s="71">
        <v>2088659.4784615401</v>
      </c>
      <c r="IR12" s="72" t="s">
        <v>1895</v>
      </c>
      <c r="IS12" s="72" t="s">
        <v>1896</v>
      </c>
      <c r="IT12" s="71">
        <v>-802250.23</v>
      </c>
    </row>
    <row r="13" spans="1:254">
      <c r="C13" s="72" t="s">
        <v>298</v>
      </c>
      <c r="E13" s="72" t="s">
        <v>299</v>
      </c>
      <c r="G13" s="72" t="s">
        <v>300</v>
      </c>
      <c r="H13" s="72" t="s">
        <v>301</v>
      </c>
      <c r="J13" s="72" t="s">
        <v>302</v>
      </c>
      <c r="K13" s="72" t="s">
        <v>303</v>
      </c>
      <c r="M13" s="70"/>
      <c r="AK13" s="72"/>
      <c r="AM13" s="72"/>
      <c r="AN13" s="72"/>
      <c r="AR13" s="72"/>
      <c r="AS13" s="72"/>
      <c r="AT13" s="72"/>
      <c r="AU13" s="72"/>
      <c r="AV13" s="72"/>
      <c r="AW13" s="72"/>
      <c r="ID13" s="72" t="s">
        <v>1902</v>
      </c>
      <c r="IE13" s="72" t="s">
        <v>1903</v>
      </c>
      <c r="IF13" s="71">
        <v>319850</v>
      </c>
      <c r="IH13" s="72" t="s">
        <v>1908</v>
      </c>
      <c r="II13" s="72" t="s">
        <v>1909</v>
      </c>
      <c r="IJ13" s="71">
        <v>8500825</v>
      </c>
      <c r="IM13" s="72" t="s">
        <v>1904</v>
      </c>
      <c r="IN13" s="72" t="s">
        <v>1905</v>
      </c>
      <c r="IO13" s="71">
        <v>-2575553.1414129599</v>
      </c>
      <c r="IR13" s="72" t="s">
        <v>1906</v>
      </c>
      <c r="IS13" s="72" t="s">
        <v>1907</v>
      </c>
      <c r="IT13" s="71">
        <v>-2.6938459873199463</v>
      </c>
    </row>
    <row r="14" spans="1:254">
      <c r="A14" s="72" t="s">
        <v>1910</v>
      </c>
      <c r="B14" s="77">
        <v>39127041.549999997</v>
      </c>
      <c r="C14" s="76">
        <v>77351</v>
      </c>
      <c r="D14" s="77">
        <v>-944802.36</v>
      </c>
      <c r="E14" s="76">
        <v>38259590.189999998</v>
      </c>
      <c r="F14" s="77">
        <v>38144643.090000004</v>
      </c>
      <c r="G14" s="76">
        <v>77351</v>
      </c>
      <c r="H14" s="76">
        <v>-1688</v>
      </c>
      <c r="I14" s="77">
        <v>0</v>
      </c>
      <c r="J14" s="76">
        <v>0</v>
      </c>
      <c r="K14" s="76">
        <v>38220306.090000004</v>
      </c>
      <c r="L14" s="77">
        <v>28171.47</v>
      </c>
      <c r="M14" s="77">
        <v>0</v>
      </c>
      <c r="N14" s="77">
        <v>-1622.51</v>
      </c>
      <c r="O14" s="77">
        <v>9424.6299999999992</v>
      </c>
      <c r="AK14" s="72"/>
      <c r="AM14" s="72"/>
      <c r="AN14" s="72"/>
      <c r="AR14" s="72"/>
      <c r="AS14" s="72"/>
      <c r="AT14" s="72"/>
      <c r="AU14" s="72"/>
      <c r="AV14" s="72"/>
      <c r="ID14" s="72" t="s">
        <v>304</v>
      </c>
      <c r="IE14" s="72" t="s">
        <v>1913</v>
      </c>
      <c r="IF14" s="71">
        <v>2036919</v>
      </c>
      <c r="IH14" s="72" t="s">
        <v>586</v>
      </c>
      <c r="II14" s="72" t="s">
        <v>587</v>
      </c>
      <c r="IJ14" s="71">
        <v>0</v>
      </c>
      <c r="IM14" s="72" t="s">
        <v>582</v>
      </c>
      <c r="IN14" s="72" t="s">
        <v>583</v>
      </c>
      <c r="IO14" s="71">
        <v>264605092.82494101</v>
      </c>
      <c r="IR14" s="72" t="s">
        <v>584</v>
      </c>
      <c r="IS14" s="72" t="s">
        <v>585</v>
      </c>
      <c r="IT14" s="71">
        <v>505060483</v>
      </c>
    </row>
    <row r="15" spans="1:254">
      <c r="A15" s="72" t="s">
        <v>588</v>
      </c>
      <c r="B15" s="77">
        <v>52666076.780000001</v>
      </c>
      <c r="C15" s="76">
        <v>293157</v>
      </c>
      <c r="D15" s="77">
        <v>960449.68</v>
      </c>
      <c r="E15" s="76">
        <v>53919683.460000001</v>
      </c>
      <c r="F15" s="77">
        <v>53579182.25</v>
      </c>
      <c r="G15" s="76">
        <v>293157</v>
      </c>
      <c r="H15" s="76">
        <v>76004</v>
      </c>
      <c r="I15" s="77">
        <v>0</v>
      </c>
      <c r="J15" s="76">
        <v>0</v>
      </c>
      <c r="K15" s="76">
        <v>53948343.25</v>
      </c>
      <c r="L15" s="77">
        <v>37919.58</v>
      </c>
      <c r="M15" s="77">
        <v>0</v>
      </c>
      <c r="N15" s="77">
        <v>-2112.4</v>
      </c>
      <c r="O15" s="77">
        <v>9424.6299999999992</v>
      </c>
      <c r="AK15" s="72"/>
      <c r="AM15" s="72"/>
      <c r="AN15" s="72"/>
      <c r="AR15" s="72"/>
      <c r="AS15" s="72"/>
      <c r="AU15" s="72"/>
      <c r="AV15" s="72"/>
      <c r="ID15" s="72" t="s">
        <v>590</v>
      </c>
      <c r="IE15" s="72" t="s">
        <v>591</v>
      </c>
      <c r="IF15" s="71">
        <v>50196</v>
      </c>
      <c r="IH15" s="72" t="s">
        <v>596</v>
      </c>
      <c r="II15" s="72" t="s">
        <v>597</v>
      </c>
      <c r="IJ15" s="71">
        <v>35060633</v>
      </c>
      <c r="IM15" s="72" t="s">
        <v>592</v>
      </c>
      <c r="IN15" s="72" t="s">
        <v>593</v>
      </c>
      <c r="IO15" s="71">
        <v>1850652.1829508101</v>
      </c>
      <c r="IR15" s="72" t="s">
        <v>594</v>
      </c>
      <c r="IS15" s="72" t="s">
        <v>595</v>
      </c>
      <c r="IT15" s="71">
        <v>505060483</v>
      </c>
    </row>
    <row r="16" spans="1:254">
      <c r="A16" s="72" t="s">
        <v>598</v>
      </c>
      <c r="B16" s="77">
        <v>59366850.530000001</v>
      </c>
      <c r="C16" s="76">
        <v>485274</v>
      </c>
      <c r="D16" s="77">
        <v>4391395.9000000004</v>
      </c>
      <c r="E16" s="76">
        <v>64243520.43</v>
      </c>
      <c r="F16" s="77">
        <v>63706077.670000002</v>
      </c>
      <c r="G16" s="76">
        <v>485274</v>
      </c>
      <c r="H16" s="76">
        <v>110108</v>
      </c>
      <c r="I16" s="77">
        <v>0</v>
      </c>
      <c r="J16" s="76">
        <v>0</v>
      </c>
      <c r="K16" s="76">
        <v>64301459.670000002</v>
      </c>
      <c r="L16" s="77">
        <v>42744.13</v>
      </c>
      <c r="M16" s="77">
        <v>0</v>
      </c>
      <c r="N16" s="77">
        <v>-3327.45</v>
      </c>
      <c r="O16" s="77">
        <v>9424.6299999999992</v>
      </c>
      <c r="AK16" s="72"/>
      <c r="AM16" s="72"/>
      <c r="AN16" s="72"/>
      <c r="AR16" s="72"/>
      <c r="AV16" s="72"/>
      <c r="ID16" s="72" t="s">
        <v>305</v>
      </c>
      <c r="IE16" s="72" t="s">
        <v>602</v>
      </c>
      <c r="IF16" s="71">
        <v>0</v>
      </c>
      <c r="IH16" s="72" t="s">
        <v>607</v>
      </c>
      <c r="II16" s="72" t="s">
        <v>608</v>
      </c>
      <c r="IJ16" s="71">
        <v>1073746182</v>
      </c>
      <c r="IM16" s="72" t="s">
        <v>603</v>
      </c>
      <c r="IN16" s="72" t="s">
        <v>604</v>
      </c>
      <c r="IO16" s="71">
        <v>236974.55</v>
      </c>
      <c r="IR16" s="72" t="s">
        <v>605</v>
      </c>
      <c r="IS16" s="72" t="s">
        <v>606</v>
      </c>
      <c r="IT16" s="71">
        <v>282498790</v>
      </c>
    </row>
    <row r="17" spans="1:256">
      <c r="A17" s="72" t="s">
        <v>609</v>
      </c>
      <c r="B17" s="77">
        <v>64296253.829999998</v>
      </c>
      <c r="C17" s="76">
        <v>492243</v>
      </c>
      <c r="D17" s="77">
        <v>108895.91</v>
      </c>
      <c r="E17" s="76">
        <v>64897392.739999995</v>
      </c>
      <c r="F17" s="77">
        <v>64349431.810000002</v>
      </c>
      <c r="G17" s="76">
        <v>492243</v>
      </c>
      <c r="H17" s="76">
        <v>92715</v>
      </c>
      <c r="I17" s="77">
        <v>0</v>
      </c>
      <c r="J17" s="76">
        <v>0</v>
      </c>
      <c r="K17" s="76">
        <v>64934389.810000002</v>
      </c>
      <c r="L17" s="77">
        <v>46293.3</v>
      </c>
      <c r="M17" s="77">
        <v>0</v>
      </c>
      <c r="N17" s="77">
        <v>-3631.27</v>
      </c>
      <c r="O17" s="77">
        <v>9424.6299999999992</v>
      </c>
      <c r="AK17" s="72"/>
      <c r="AM17" s="72"/>
      <c r="AN17" s="72"/>
      <c r="AR17" s="72"/>
      <c r="AV17" s="72"/>
      <c r="ID17" s="72" t="s">
        <v>611</v>
      </c>
      <c r="IE17" s="72" t="s">
        <v>612</v>
      </c>
      <c r="IF17" s="71">
        <v>57877</v>
      </c>
      <c r="IH17" s="72" t="s">
        <v>617</v>
      </c>
      <c r="II17" s="72" t="s">
        <v>1552</v>
      </c>
      <c r="IJ17" s="71">
        <v>206437666</v>
      </c>
      <c r="IM17" s="72" t="s">
        <v>613</v>
      </c>
      <c r="IN17" s="72" t="s">
        <v>614</v>
      </c>
      <c r="IO17" s="71">
        <v>20142</v>
      </c>
      <c r="IR17" s="72" t="s">
        <v>615</v>
      </c>
      <c r="IS17" s="72" t="s">
        <v>616</v>
      </c>
      <c r="IT17" s="71">
        <v>80803283</v>
      </c>
    </row>
    <row r="18" spans="1:256">
      <c r="A18" s="72" t="s">
        <v>618</v>
      </c>
      <c r="B18" s="77">
        <v>61105708.990000002</v>
      </c>
      <c r="C18" s="76">
        <v>399782</v>
      </c>
      <c r="D18" s="77">
        <v>1972230.45</v>
      </c>
      <c r="E18" s="76">
        <v>63477721.440000005</v>
      </c>
      <c r="F18" s="77">
        <v>63024518.700000003</v>
      </c>
      <c r="G18" s="76">
        <v>399782</v>
      </c>
      <c r="H18" s="76">
        <v>178222</v>
      </c>
      <c r="I18" s="77">
        <v>0</v>
      </c>
      <c r="J18" s="76">
        <v>0</v>
      </c>
      <c r="K18" s="76">
        <v>63602522.700000003</v>
      </c>
      <c r="L18" s="77">
        <v>43996.11</v>
      </c>
      <c r="M18" s="77">
        <v>0</v>
      </c>
      <c r="N18" s="77">
        <v>-3905.9</v>
      </c>
      <c r="O18" s="77">
        <v>9424.6299999999992</v>
      </c>
      <c r="AK18" s="72"/>
      <c r="AM18" s="72"/>
      <c r="AN18" s="72"/>
      <c r="AV18" s="72"/>
      <c r="ID18" s="72" t="s">
        <v>621</v>
      </c>
      <c r="IE18" s="72" t="s">
        <v>622</v>
      </c>
      <c r="IF18" s="71">
        <v>0</v>
      </c>
      <c r="IH18" s="72" t="s">
        <v>627</v>
      </c>
      <c r="II18" s="72" t="s">
        <v>628</v>
      </c>
      <c r="IJ18" s="71">
        <v>0</v>
      </c>
      <c r="IM18" s="72" t="s">
        <v>623</v>
      </c>
      <c r="IN18" s="72" t="s">
        <v>624</v>
      </c>
      <c r="IO18" s="71">
        <v>4.4816358299999998E-2</v>
      </c>
      <c r="IR18" s="72" t="s">
        <v>625</v>
      </c>
      <c r="IS18" s="72" t="s">
        <v>626</v>
      </c>
      <c r="IT18" s="71">
        <v>16265385</v>
      </c>
      <c r="IU18" s="71">
        <v>0</v>
      </c>
    </row>
    <row r="19" spans="1:256">
      <c r="A19" s="72" t="s">
        <v>629</v>
      </c>
      <c r="B19" s="77">
        <v>56679587.619999997</v>
      </c>
      <c r="C19" s="76">
        <v>315798</v>
      </c>
      <c r="D19" s="77">
        <v>778514.18</v>
      </c>
      <c r="E19" s="76">
        <v>57773899.799999997</v>
      </c>
      <c r="F19" s="77">
        <v>57407867.869999997</v>
      </c>
      <c r="G19" s="76">
        <v>315798</v>
      </c>
      <c r="H19" s="76">
        <v>27247</v>
      </c>
      <c r="I19" s="77">
        <v>0</v>
      </c>
      <c r="J19" s="76">
        <v>0</v>
      </c>
      <c r="K19" s="76">
        <v>57750912.869999997</v>
      </c>
      <c r="L19" s="77">
        <v>40809.300000000003</v>
      </c>
      <c r="M19" s="77">
        <v>0</v>
      </c>
      <c r="N19" s="77">
        <v>-3586.86</v>
      </c>
      <c r="O19" s="77">
        <v>9424.6299999999992</v>
      </c>
      <c r="AK19" s="72"/>
      <c r="AM19" s="72"/>
      <c r="AN19" s="72"/>
      <c r="AV19" s="72"/>
      <c r="ID19" s="72" t="s">
        <v>631</v>
      </c>
      <c r="IE19" s="72" t="s">
        <v>632</v>
      </c>
      <c r="IF19" s="71">
        <v>0</v>
      </c>
      <c r="IH19" s="72" t="s">
        <v>637</v>
      </c>
      <c r="II19" s="72" t="s">
        <v>638</v>
      </c>
      <c r="IJ19" s="71">
        <v>315189746</v>
      </c>
      <c r="IM19" s="72" t="s">
        <v>633</v>
      </c>
      <c r="IN19" s="72" t="s">
        <v>634</v>
      </c>
      <c r="IO19" s="71">
        <v>6.3291889399999995E-2</v>
      </c>
      <c r="IR19" s="72" t="s">
        <v>635</v>
      </c>
      <c r="IS19" s="72" t="s">
        <v>636</v>
      </c>
      <c r="IT19" s="71">
        <v>185430122</v>
      </c>
    </row>
    <row r="20" spans="1:256">
      <c r="A20" s="72" t="s">
        <v>639</v>
      </c>
      <c r="B20" s="77">
        <v>42862509.32</v>
      </c>
      <c r="C20" s="76">
        <v>197015</v>
      </c>
      <c r="D20" s="77">
        <v>-2642371.9</v>
      </c>
      <c r="E20" s="76">
        <v>40417152.420000002</v>
      </c>
      <c r="F20" s="77">
        <v>40179851.780000001</v>
      </c>
      <c r="G20" s="76">
        <v>197015</v>
      </c>
      <c r="H20" s="76">
        <v>10177</v>
      </c>
      <c r="I20" s="77">
        <v>0</v>
      </c>
      <c r="J20" s="76">
        <v>0</v>
      </c>
      <c r="K20" s="76">
        <v>40387043.780000001</v>
      </c>
      <c r="L20" s="77">
        <v>30861.01</v>
      </c>
      <c r="M20" s="77">
        <v>0</v>
      </c>
      <c r="N20" s="77">
        <v>-3182.78</v>
      </c>
      <c r="O20" s="77">
        <v>9424.6299999999992</v>
      </c>
      <c r="AK20" s="72"/>
      <c r="AM20" s="72"/>
      <c r="AN20" s="72"/>
      <c r="AV20" s="72"/>
      <c r="ID20" s="72" t="s">
        <v>642</v>
      </c>
      <c r="IE20" s="72" t="s">
        <v>643</v>
      </c>
      <c r="IF20" s="71">
        <v>-186122892</v>
      </c>
      <c r="IH20" s="72" t="s">
        <v>648</v>
      </c>
      <c r="II20" s="72" t="s">
        <v>1610</v>
      </c>
      <c r="IJ20" s="71">
        <v>0</v>
      </c>
      <c r="IM20" s="72" t="s">
        <v>644</v>
      </c>
      <c r="IN20" s="72" t="s">
        <v>645</v>
      </c>
      <c r="IO20" s="71">
        <v>6.3974069999999994E-2</v>
      </c>
      <c r="IR20" s="72" t="s">
        <v>646</v>
      </c>
      <c r="IS20" s="72" t="s">
        <v>647</v>
      </c>
      <c r="IT20" s="71">
        <v>6.8273992800000002E-2</v>
      </c>
    </row>
    <row r="21" spans="1:256">
      <c r="A21" s="72" t="s">
        <v>649</v>
      </c>
      <c r="B21" s="77">
        <v>38093182.359999999</v>
      </c>
      <c r="C21" s="76">
        <v>186925</v>
      </c>
      <c r="D21" s="77">
        <v>1765680.04</v>
      </c>
      <c r="E21" s="76">
        <v>40045787.399999999</v>
      </c>
      <c r="F21" s="77">
        <v>39822010.68</v>
      </c>
      <c r="G21" s="76">
        <v>186925</v>
      </c>
      <c r="H21" s="76">
        <v>17885</v>
      </c>
      <c r="I21" s="77">
        <v>0</v>
      </c>
      <c r="J21" s="76">
        <v>0</v>
      </c>
      <c r="K21" s="76">
        <v>40026820.68</v>
      </c>
      <c r="L21" s="77">
        <v>27427.09</v>
      </c>
      <c r="M21" s="77">
        <v>0</v>
      </c>
      <c r="N21" s="77">
        <v>-3092.26</v>
      </c>
      <c r="O21" s="77">
        <v>9424.6299999999992</v>
      </c>
      <c r="AK21" s="72"/>
      <c r="AM21" s="72"/>
      <c r="AN21" s="72"/>
      <c r="ID21" s="72" t="s">
        <v>651</v>
      </c>
      <c r="IE21" s="72" t="s">
        <v>652</v>
      </c>
      <c r="IF21" s="71">
        <v>-11767702</v>
      </c>
      <c r="IH21" s="72" t="s">
        <v>657</v>
      </c>
      <c r="II21" s="72" t="s">
        <v>1564</v>
      </c>
      <c r="IJ21" s="71">
        <v>142922573</v>
      </c>
      <c r="IM21" s="72" t="s">
        <v>653</v>
      </c>
      <c r="IN21" s="72" t="s">
        <v>654</v>
      </c>
      <c r="IO21" s="71">
        <v>54711613.920000002</v>
      </c>
      <c r="IR21" s="72" t="s">
        <v>655</v>
      </c>
      <c r="IS21" s="72" t="s">
        <v>656</v>
      </c>
      <c r="IT21" s="71">
        <v>0.39002545329999999</v>
      </c>
    </row>
    <row r="22" spans="1:256">
      <c r="A22" s="72" t="s">
        <v>658</v>
      </c>
      <c r="B22" s="77">
        <v>50531223.140000001</v>
      </c>
      <c r="C22" s="76">
        <v>287199</v>
      </c>
      <c r="D22" s="77">
        <v>1680521.92</v>
      </c>
      <c r="E22" s="76">
        <v>52498944.060000002</v>
      </c>
      <c r="F22" s="77">
        <v>52165937.939999998</v>
      </c>
      <c r="G22" s="76">
        <v>287199</v>
      </c>
      <c r="H22" s="76">
        <v>101330</v>
      </c>
      <c r="I22" s="77">
        <v>0</v>
      </c>
      <c r="J22" s="76">
        <v>0</v>
      </c>
      <c r="K22" s="76">
        <v>52554466.939999998</v>
      </c>
      <c r="L22" s="77">
        <v>36382.480000000003</v>
      </c>
      <c r="M22" s="77">
        <v>0</v>
      </c>
      <c r="N22" s="77">
        <v>-3451.31</v>
      </c>
      <c r="O22" s="77">
        <v>9424.64</v>
      </c>
      <c r="AK22" s="72"/>
      <c r="AM22" s="72"/>
      <c r="AN22" s="72"/>
      <c r="ID22" s="72" t="s">
        <v>661</v>
      </c>
      <c r="IE22" s="72" t="s">
        <v>662</v>
      </c>
      <c r="IF22" s="71">
        <v>11204223</v>
      </c>
      <c r="IH22" s="72" t="s">
        <v>667</v>
      </c>
      <c r="II22" s="72" t="s">
        <v>668</v>
      </c>
      <c r="IJ22" s="71">
        <v>0</v>
      </c>
      <c r="IM22" s="72" t="s">
        <v>663</v>
      </c>
      <c r="IN22" s="72" t="s">
        <v>664</v>
      </c>
      <c r="IO22" s="71">
        <v>49222930.920000002</v>
      </c>
      <c r="IR22" s="72" t="s">
        <v>665</v>
      </c>
      <c r="IS22" s="72" t="s">
        <v>666</v>
      </c>
      <c r="IT22" s="71">
        <v>18430617</v>
      </c>
    </row>
    <row r="23" spans="1:256">
      <c r="A23" s="72" t="s">
        <v>669</v>
      </c>
      <c r="B23" s="77">
        <v>46186372.049999997</v>
      </c>
      <c r="C23" s="76">
        <v>39229</v>
      </c>
      <c r="D23" s="77">
        <v>3282384.55</v>
      </c>
      <c r="E23" s="76">
        <v>49507985.599999994</v>
      </c>
      <c r="F23" s="77">
        <v>49428653.170000002</v>
      </c>
      <c r="G23" s="76">
        <v>39229</v>
      </c>
      <c r="H23" s="76">
        <v>41785</v>
      </c>
      <c r="I23" s="77">
        <v>0</v>
      </c>
      <c r="J23" s="76">
        <v>0</v>
      </c>
      <c r="K23" s="76">
        <v>49509667.170000002</v>
      </c>
      <c r="L23" s="77">
        <v>33254.19</v>
      </c>
      <c r="M23" s="77">
        <v>0</v>
      </c>
      <c r="N23" s="77">
        <v>-3968.17</v>
      </c>
      <c r="O23" s="77">
        <v>6849.24</v>
      </c>
      <c r="AK23" s="72"/>
      <c r="AM23" s="72"/>
      <c r="ID23" s="72" t="s">
        <v>671</v>
      </c>
      <c r="IE23" s="72" t="s">
        <v>672</v>
      </c>
      <c r="IF23" s="71">
        <v>811351</v>
      </c>
      <c r="IH23" s="72" t="s">
        <v>677</v>
      </c>
      <c r="II23" s="72" t="s">
        <v>678</v>
      </c>
      <c r="IJ23" s="71">
        <v>-10185617</v>
      </c>
      <c r="IM23" s="72" t="s">
        <v>673</v>
      </c>
      <c r="IN23" s="72" t="s">
        <v>674</v>
      </c>
      <c r="IO23" s="71">
        <v>6202500</v>
      </c>
      <c r="IR23" s="72" t="s">
        <v>675</v>
      </c>
      <c r="IS23" s="72" t="s">
        <v>676</v>
      </c>
      <c r="IT23" s="71">
        <v>0</v>
      </c>
    </row>
    <row r="24" spans="1:256">
      <c r="A24" s="72" t="s">
        <v>679</v>
      </c>
      <c r="B24" s="77">
        <v>40834930.920000002</v>
      </c>
      <c r="C24" s="76">
        <v>235535</v>
      </c>
      <c r="D24" s="77">
        <v>735846.91</v>
      </c>
      <c r="E24" s="76">
        <v>41806312.829999998</v>
      </c>
      <c r="F24" s="77">
        <v>41534527.439999998</v>
      </c>
      <c r="G24" s="76">
        <v>235535</v>
      </c>
      <c r="H24" s="76">
        <v>5194</v>
      </c>
      <c r="I24" s="77">
        <v>0</v>
      </c>
      <c r="J24" s="76">
        <v>0</v>
      </c>
      <c r="K24" s="76">
        <v>41775256.439999998</v>
      </c>
      <c r="L24" s="77">
        <v>29401.15</v>
      </c>
      <c r="M24" s="77">
        <v>0</v>
      </c>
      <c r="N24" s="77">
        <v>-4386.8900000000003</v>
      </c>
      <c r="O24" s="77">
        <v>6849.24</v>
      </c>
      <c r="AK24" s="72"/>
      <c r="ID24" s="72" t="s">
        <v>682</v>
      </c>
      <c r="IE24" s="72" t="s">
        <v>683</v>
      </c>
      <c r="IF24" s="71">
        <v>0</v>
      </c>
      <c r="IH24" s="72" t="s">
        <v>688</v>
      </c>
      <c r="II24" s="72" t="s">
        <v>689</v>
      </c>
      <c r="IJ24" s="71">
        <v>0</v>
      </c>
      <c r="IM24" s="72" t="s">
        <v>684</v>
      </c>
      <c r="IN24" s="72" t="s">
        <v>685</v>
      </c>
      <c r="IO24" s="71">
        <v>5580264</v>
      </c>
      <c r="IR24" s="72" t="s">
        <v>686</v>
      </c>
      <c r="IS24" s="72" t="s">
        <v>687</v>
      </c>
      <c r="IT24" s="71">
        <v>254215062</v>
      </c>
    </row>
    <row r="25" spans="1:256">
      <c r="A25" s="72" t="s">
        <v>1557</v>
      </c>
      <c r="B25" s="77">
        <v>37812115.009999998</v>
      </c>
      <c r="C25" s="76">
        <v>173758</v>
      </c>
      <c r="D25" s="77">
        <v>-1660780.71</v>
      </c>
      <c r="E25" s="76">
        <v>36325092.299999997</v>
      </c>
      <c r="F25" s="77">
        <v>36117260.339999996</v>
      </c>
      <c r="G25" s="76">
        <v>173758</v>
      </c>
      <c r="H25" s="445">
        <v>27113</v>
      </c>
      <c r="I25" s="77">
        <v>0</v>
      </c>
      <c r="J25" s="446">
        <v>0</v>
      </c>
      <c r="K25" s="76">
        <v>36318131.339999996</v>
      </c>
      <c r="L25" s="77">
        <v>27224.720000000001</v>
      </c>
      <c r="M25" s="77">
        <v>0</v>
      </c>
      <c r="N25" s="77">
        <v>-4003.81</v>
      </c>
      <c r="O25" s="77">
        <v>6849.24</v>
      </c>
      <c r="AK25" s="72"/>
      <c r="ID25" s="72" t="s">
        <v>691</v>
      </c>
      <c r="IE25" s="72" t="s">
        <v>692</v>
      </c>
      <c r="IF25" s="71">
        <v>45742650</v>
      </c>
      <c r="IH25" s="72" t="s">
        <v>697</v>
      </c>
      <c r="II25" s="72" t="s">
        <v>698</v>
      </c>
      <c r="IJ25" s="71">
        <v>4584344</v>
      </c>
      <c r="IM25" s="72" t="s">
        <v>693</v>
      </c>
      <c r="IN25" s="72" t="s">
        <v>694</v>
      </c>
      <c r="IO25" s="71">
        <v>4.5095165999999999E-2</v>
      </c>
      <c r="IR25" s="72" t="s">
        <v>695</v>
      </c>
      <c r="IS25" s="72" t="s">
        <v>696</v>
      </c>
      <c r="IT25" s="71">
        <v>279610495</v>
      </c>
    </row>
    <row r="26" spans="1:256"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AK26" s="72"/>
      <c r="ID26" s="72" t="s">
        <v>700</v>
      </c>
      <c r="IE26" s="72" t="s">
        <v>701</v>
      </c>
      <c r="IF26" s="71">
        <v>97075766</v>
      </c>
      <c r="IH26" s="72" t="s">
        <v>706</v>
      </c>
      <c r="II26" s="72" t="s">
        <v>707</v>
      </c>
      <c r="IJ26" s="71">
        <v>13498114</v>
      </c>
      <c r="IM26" s="72" t="s">
        <v>702</v>
      </c>
      <c r="IN26" s="72" t="s">
        <v>703</v>
      </c>
      <c r="IO26" s="71">
        <v>6.3291885000000006E-2</v>
      </c>
      <c r="IR26" s="72" t="s">
        <v>704</v>
      </c>
      <c r="IS26" s="72" t="s">
        <v>705</v>
      </c>
      <c r="IT26" s="71">
        <v>484654801.08000004</v>
      </c>
    </row>
    <row r="27" spans="1:256">
      <c r="AK27" s="72"/>
      <c r="ID27" s="72" t="s">
        <v>709</v>
      </c>
      <c r="IE27" s="72" t="s">
        <v>710</v>
      </c>
      <c r="IF27" s="71">
        <v>-271340888</v>
      </c>
      <c r="IH27" s="72" t="s">
        <v>715</v>
      </c>
      <c r="II27" s="72" t="s">
        <v>604</v>
      </c>
      <c r="IJ27" s="71">
        <v>5664735</v>
      </c>
      <c r="IM27" s="72" t="s">
        <v>711</v>
      </c>
      <c r="IN27" s="72" t="s">
        <v>712</v>
      </c>
      <c r="IO27" s="71">
        <v>6.3291885199999995E-2</v>
      </c>
      <c r="IR27" s="72" t="s">
        <v>713</v>
      </c>
      <c r="IS27" s="72" t="s">
        <v>714</v>
      </c>
      <c r="IT27" s="71">
        <v>118061590.60000001</v>
      </c>
    </row>
    <row r="28" spans="1:256" ht="12.75" thickBot="1">
      <c r="A28" s="72" t="s">
        <v>3712</v>
      </c>
      <c r="B28" s="448">
        <v>589561852.10000002</v>
      </c>
      <c r="C28" s="448">
        <v>3183266</v>
      </c>
      <c r="D28" s="448">
        <v>10427964.57</v>
      </c>
      <c r="E28" s="448">
        <v>603173082.66999996</v>
      </c>
      <c r="F28" s="448">
        <v>599459962.74000001</v>
      </c>
      <c r="G28" s="448">
        <v>3183266</v>
      </c>
      <c r="H28" s="448">
        <v>686092</v>
      </c>
      <c r="I28" s="448">
        <v>0</v>
      </c>
      <c r="J28" s="448">
        <v>0</v>
      </c>
      <c r="K28" s="448">
        <v>603329320.74000001</v>
      </c>
      <c r="L28" s="448">
        <v>424484.53</v>
      </c>
      <c r="M28" s="448">
        <v>0</v>
      </c>
      <c r="N28" s="448">
        <v>-40271.61</v>
      </c>
      <c r="O28" s="448">
        <v>105369.40000000001</v>
      </c>
      <c r="AK28" s="72"/>
      <c r="ID28" s="72" t="s">
        <v>718</v>
      </c>
      <c r="IE28" s="72" t="s">
        <v>719</v>
      </c>
      <c r="IF28" s="71">
        <v>0</v>
      </c>
      <c r="IH28" s="72" t="s">
        <v>724</v>
      </c>
      <c r="II28" s="72" t="s">
        <v>725</v>
      </c>
      <c r="IJ28" s="71">
        <v>97998345</v>
      </c>
      <c r="IM28" s="72" t="s">
        <v>720</v>
      </c>
      <c r="IN28" s="72" t="s">
        <v>721</v>
      </c>
      <c r="IO28" s="71">
        <v>1075281238.7852702</v>
      </c>
      <c r="IR28" s="72" t="s">
        <v>722</v>
      </c>
      <c r="IS28" s="72" t="s">
        <v>723</v>
      </c>
      <c r="IT28" s="71">
        <v>0</v>
      </c>
    </row>
    <row r="29" spans="1:256" ht="12.75" thickTop="1">
      <c r="B29" s="72"/>
      <c r="C29" s="72"/>
      <c r="D29" s="72"/>
      <c r="E29" s="72"/>
      <c r="F29" s="72"/>
      <c r="G29" s="72"/>
      <c r="H29" s="72"/>
      <c r="I29" s="72"/>
      <c r="J29" s="72"/>
      <c r="K29" s="72">
        <v>-603329320.74000001</v>
      </c>
      <c r="L29" s="72"/>
      <c r="M29" s="72"/>
      <c r="N29" s="72"/>
      <c r="O29" s="72"/>
      <c r="AK29" s="72"/>
      <c r="ID29" s="72" t="s">
        <v>728</v>
      </c>
      <c r="IE29" s="72" t="s">
        <v>729</v>
      </c>
      <c r="IF29" s="71">
        <v>81048364</v>
      </c>
      <c r="IH29" s="72" t="s">
        <v>734</v>
      </c>
      <c r="II29" s="72" t="s">
        <v>614</v>
      </c>
      <c r="IJ29" s="71">
        <v>1248570984</v>
      </c>
      <c r="IM29" s="72" t="s">
        <v>730</v>
      </c>
      <c r="IN29" s="72" t="s">
        <v>731</v>
      </c>
      <c r="IO29" s="71">
        <v>0</v>
      </c>
      <c r="IR29" s="72" t="s">
        <v>732</v>
      </c>
      <c r="IS29" s="72" t="s">
        <v>733</v>
      </c>
      <c r="IT29" s="71">
        <v>0</v>
      </c>
      <c r="IU29" s="179"/>
    </row>
    <row r="30" spans="1:25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AK30" s="72"/>
      <c r="AM30" s="72"/>
      <c r="ID30" s="72" t="s">
        <v>738</v>
      </c>
      <c r="IE30" s="72" t="s">
        <v>739</v>
      </c>
      <c r="IF30" s="71">
        <v>725252</v>
      </c>
      <c r="IH30" s="72" t="s">
        <v>742</v>
      </c>
      <c r="II30" s="72" t="s">
        <v>1596</v>
      </c>
      <c r="IJ30" s="71">
        <v>3573416714</v>
      </c>
      <c r="IM30" s="72" t="s">
        <v>740</v>
      </c>
      <c r="IN30" s="72" t="s">
        <v>741</v>
      </c>
      <c r="IO30" s="71">
        <v>0</v>
      </c>
    </row>
    <row r="31" spans="1:256">
      <c r="B31" s="72" t="s">
        <v>306</v>
      </c>
      <c r="C31" s="72" t="s">
        <v>307</v>
      </c>
      <c r="D31" s="72" t="s">
        <v>308</v>
      </c>
      <c r="E31" s="72" t="s">
        <v>309</v>
      </c>
      <c r="F31" s="72" t="s">
        <v>310</v>
      </c>
      <c r="G31" s="72" t="s">
        <v>311</v>
      </c>
      <c r="H31" s="72" t="s">
        <v>312</v>
      </c>
      <c r="I31" s="72" t="s">
        <v>313</v>
      </c>
      <c r="J31" s="72" t="s">
        <v>314</v>
      </c>
      <c r="K31" s="72" t="s">
        <v>315</v>
      </c>
      <c r="N31" s="72" t="s">
        <v>316</v>
      </c>
      <c r="O31" s="449" t="s">
        <v>317</v>
      </c>
      <c r="P31" s="449" t="s">
        <v>318</v>
      </c>
      <c r="AM31" s="72"/>
      <c r="IF31" s="72" t="s">
        <v>744</v>
      </c>
      <c r="IG31" s="72" t="s">
        <v>745</v>
      </c>
      <c r="IH31" s="71">
        <v>0</v>
      </c>
      <c r="IJ31" s="72" t="s">
        <v>748</v>
      </c>
      <c r="IK31" s="72" t="s">
        <v>749</v>
      </c>
      <c r="IL31" s="71">
        <v>-6495162</v>
      </c>
      <c r="IO31" s="72" t="s">
        <v>746</v>
      </c>
      <c r="IP31" s="72" t="s">
        <v>747</v>
      </c>
      <c r="IQ31" s="71">
        <v>0</v>
      </c>
    </row>
    <row r="32" spans="1:256">
      <c r="D32" s="72" t="s">
        <v>2953</v>
      </c>
      <c r="H32" s="72" t="s">
        <v>2953</v>
      </c>
      <c r="O32" s="450" t="s">
        <v>3176</v>
      </c>
      <c r="P32" s="450" t="s">
        <v>3176</v>
      </c>
      <c r="Q32" s="450" t="s">
        <v>3176</v>
      </c>
      <c r="AM32" s="72"/>
      <c r="IF32" s="72" t="s">
        <v>750</v>
      </c>
      <c r="IG32" s="72" t="s">
        <v>751</v>
      </c>
      <c r="IH32" s="71">
        <v>0</v>
      </c>
      <c r="IJ32" s="72" t="s">
        <v>756</v>
      </c>
      <c r="IK32" s="72" t="s">
        <v>1575</v>
      </c>
      <c r="IL32" s="71">
        <v>0</v>
      </c>
      <c r="IO32" s="72" t="s">
        <v>752</v>
      </c>
      <c r="IP32" s="72" t="s">
        <v>753</v>
      </c>
      <c r="IQ32" s="71">
        <v>4.57767969E-2</v>
      </c>
      <c r="IT32" s="72" t="s">
        <v>754</v>
      </c>
      <c r="IU32" s="72" t="s">
        <v>755</v>
      </c>
      <c r="IV32" s="71">
        <v>49977321</v>
      </c>
    </row>
    <row r="33" spans="1:256">
      <c r="B33" s="72" t="s">
        <v>319</v>
      </c>
      <c r="C33" s="72" t="s">
        <v>320</v>
      </c>
      <c r="D33" s="72" t="s">
        <v>321</v>
      </c>
      <c r="F33" s="72" t="s">
        <v>322</v>
      </c>
      <c r="G33" s="72" t="s">
        <v>320</v>
      </c>
      <c r="H33" s="72" t="s">
        <v>321</v>
      </c>
      <c r="K33" s="72" t="s">
        <v>321</v>
      </c>
      <c r="N33" s="72" t="s">
        <v>1925</v>
      </c>
      <c r="O33" s="449" t="s">
        <v>323</v>
      </c>
      <c r="P33" s="449" t="s">
        <v>323</v>
      </c>
      <c r="Q33" s="449" t="s">
        <v>324</v>
      </c>
      <c r="AM33" s="72"/>
      <c r="IF33" s="72" t="s">
        <v>759</v>
      </c>
      <c r="IG33" s="72" t="s">
        <v>760</v>
      </c>
      <c r="IH33" s="71">
        <v>352824133</v>
      </c>
      <c r="IJ33" s="72" t="s">
        <v>765</v>
      </c>
      <c r="IK33" s="72" t="s">
        <v>1532</v>
      </c>
      <c r="IL33" s="71">
        <v>0</v>
      </c>
      <c r="IO33" s="72" t="s">
        <v>761</v>
      </c>
      <c r="IP33" s="72" t="s">
        <v>762</v>
      </c>
      <c r="IQ33" s="71">
        <v>1195182225.8299999</v>
      </c>
      <c r="IT33" s="72" t="s">
        <v>763</v>
      </c>
      <c r="IU33" s="72" t="s">
        <v>764</v>
      </c>
      <c r="IV33" s="71">
        <v>384180838</v>
      </c>
    </row>
    <row r="34" spans="1:256">
      <c r="B34" s="72" t="s">
        <v>325</v>
      </c>
      <c r="C34" s="72" t="s">
        <v>326</v>
      </c>
      <c r="D34" s="72" t="s">
        <v>277</v>
      </c>
      <c r="E34" s="72" t="s">
        <v>327</v>
      </c>
      <c r="F34" s="72" t="s">
        <v>280</v>
      </c>
      <c r="G34" s="72" t="s">
        <v>326</v>
      </c>
      <c r="H34" s="72" t="s">
        <v>277</v>
      </c>
      <c r="I34" s="72" t="s">
        <v>327</v>
      </c>
      <c r="J34" s="72" t="s">
        <v>321</v>
      </c>
      <c r="K34" s="72" t="s">
        <v>328</v>
      </c>
      <c r="N34" s="72" t="s">
        <v>329</v>
      </c>
      <c r="O34" s="183" t="s">
        <v>1989</v>
      </c>
      <c r="P34" s="183" t="s">
        <v>182</v>
      </c>
      <c r="Q34" s="183" t="s">
        <v>1592</v>
      </c>
      <c r="S34" s="183" t="s">
        <v>330</v>
      </c>
      <c r="T34" s="183" t="s">
        <v>331</v>
      </c>
      <c r="AM34" s="72"/>
      <c r="IF34" s="72" t="s">
        <v>768</v>
      </c>
      <c r="IG34" s="72" t="s">
        <v>769</v>
      </c>
      <c r="IH34" s="71">
        <v>0</v>
      </c>
      <c r="IJ34" s="72" t="s">
        <v>774</v>
      </c>
      <c r="IK34" s="72" t="s">
        <v>775</v>
      </c>
      <c r="IL34" s="71">
        <v>-2.6938459873199463</v>
      </c>
      <c r="IO34" s="72" t="s">
        <v>770</v>
      </c>
      <c r="IP34" s="72" t="s">
        <v>771</v>
      </c>
      <c r="IQ34" s="71">
        <v>97998345.260000005</v>
      </c>
      <c r="IT34" s="72" t="s">
        <v>772</v>
      </c>
      <c r="IU34" s="72" t="s">
        <v>773</v>
      </c>
      <c r="IV34" s="71">
        <v>1296909241</v>
      </c>
    </row>
    <row r="35" spans="1:256">
      <c r="B35" s="444" t="s">
        <v>288</v>
      </c>
      <c r="C35" s="444" t="s">
        <v>1996</v>
      </c>
      <c r="D35" s="444" t="s">
        <v>288</v>
      </c>
      <c r="E35" s="444" t="s">
        <v>332</v>
      </c>
      <c r="F35" s="444" t="s">
        <v>290</v>
      </c>
      <c r="G35" s="444" t="s">
        <v>1996</v>
      </c>
      <c r="H35" s="444" t="s">
        <v>279</v>
      </c>
      <c r="I35" s="444" t="s">
        <v>333</v>
      </c>
      <c r="J35" s="444" t="s">
        <v>334</v>
      </c>
      <c r="K35" s="444" t="s">
        <v>296</v>
      </c>
      <c r="N35" s="72" t="s">
        <v>335</v>
      </c>
      <c r="O35" s="175" t="s">
        <v>336</v>
      </c>
      <c r="P35" s="175" t="s">
        <v>336</v>
      </c>
      <c r="Q35" s="175"/>
      <c r="S35" s="449" t="s">
        <v>337</v>
      </c>
      <c r="T35" s="449" t="s">
        <v>337</v>
      </c>
      <c r="AM35" s="72"/>
      <c r="IF35" s="72" t="s">
        <v>783</v>
      </c>
      <c r="IG35" s="72" t="s">
        <v>784</v>
      </c>
      <c r="IH35" s="71">
        <v>35913603.859999999</v>
      </c>
      <c r="IJ35" s="72" t="s">
        <v>789</v>
      </c>
      <c r="IK35" s="72" t="s">
        <v>790</v>
      </c>
      <c r="IL35" s="71">
        <v>99467629.727384374</v>
      </c>
      <c r="IO35" s="72" t="s">
        <v>785</v>
      </c>
      <c r="IP35" s="72" t="s">
        <v>786</v>
      </c>
      <c r="IQ35" s="71">
        <v>18439787.004658666</v>
      </c>
      <c r="IT35" s="72" t="s">
        <v>787</v>
      </c>
      <c r="IU35" s="72" t="s">
        <v>788</v>
      </c>
      <c r="IV35" s="71">
        <v>5487488</v>
      </c>
    </row>
    <row r="36" spans="1:256">
      <c r="B36" s="72"/>
      <c r="C36" s="72"/>
      <c r="D36" s="72"/>
      <c r="E36" s="72"/>
      <c r="F36" s="72"/>
      <c r="G36" s="72"/>
      <c r="H36" s="72"/>
      <c r="I36" s="72"/>
      <c r="J36" s="72"/>
      <c r="K36" s="72"/>
      <c r="N36" s="444"/>
      <c r="O36" s="451" t="s">
        <v>338</v>
      </c>
      <c r="P36" s="452" t="s">
        <v>339</v>
      </c>
      <c r="Q36" s="452" t="s">
        <v>340</v>
      </c>
      <c r="S36" s="453" t="s">
        <v>341</v>
      </c>
      <c r="T36" s="453" t="s">
        <v>341</v>
      </c>
      <c r="AM36" s="72"/>
      <c r="IF36" s="72" t="s">
        <v>796</v>
      </c>
      <c r="IG36" s="72" t="s">
        <v>797</v>
      </c>
      <c r="IH36" s="71">
        <v>0</v>
      </c>
      <c r="IJ36" s="72" t="s">
        <v>802</v>
      </c>
      <c r="IK36" s="72" t="s">
        <v>803</v>
      </c>
      <c r="IL36" s="71">
        <v>4.4816358299999998E-2</v>
      </c>
      <c r="IO36" s="72" t="s">
        <v>798</v>
      </c>
      <c r="IP36" s="72" t="s">
        <v>799</v>
      </c>
      <c r="IQ36" s="71">
        <v>0</v>
      </c>
      <c r="IT36" s="72" t="s">
        <v>800</v>
      </c>
      <c r="IU36" s="72" t="s">
        <v>801</v>
      </c>
      <c r="IV36" s="71">
        <v>460189879.26000005</v>
      </c>
    </row>
    <row r="37" spans="1:256">
      <c r="D37" s="72" t="s">
        <v>342</v>
      </c>
      <c r="E37" s="72" t="s">
        <v>343</v>
      </c>
      <c r="H37" s="72" t="s">
        <v>344</v>
      </c>
      <c r="I37" s="72" t="s">
        <v>345</v>
      </c>
      <c r="AM37" s="72"/>
      <c r="IF37" s="72" t="s">
        <v>808</v>
      </c>
      <c r="IG37" s="72" t="s">
        <v>809</v>
      </c>
      <c r="IH37" s="71">
        <v>1686619</v>
      </c>
      <c r="IJ37" s="72" t="s">
        <v>814</v>
      </c>
      <c r="IK37" s="72" t="s">
        <v>815</v>
      </c>
      <c r="IL37" s="71">
        <v>6.3974069999999994E-2</v>
      </c>
      <c r="IO37" s="72" t="s">
        <v>810</v>
      </c>
      <c r="IP37" s="72" t="s">
        <v>811</v>
      </c>
      <c r="IQ37" s="71">
        <v>0</v>
      </c>
      <c r="IT37" s="72" t="s">
        <v>812</v>
      </c>
      <c r="IU37" s="72" t="s">
        <v>813</v>
      </c>
      <c r="IV37" s="71">
        <v>191981614.20076457</v>
      </c>
    </row>
    <row r="38" spans="1:256">
      <c r="A38" s="72" t="s">
        <v>1910</v>
      </c>
      <c r="B38" s="77">
        <v>1387222.33</v>
      </c>
      <c r="C38" s="77">
        <v>-53517.16</v>
      </c>
      <c r="D38" s="76">
        <v>2573</v>
      </c>
      <c r="E38" s="76">
        <v>1336278.17</v>
      </c>
      <c r="F38" s="77">
        <v>1387222.33</v>
      </c>
      <c r="G38" s="77">
        <v>-53517.16</v>
      </c>
      <c r="H38" s="76">
        <v>2573</v>
      </c>
      <c r="I38" s="76">
        <v>1336278.17</v>
      </c>
      <c r="J38" s="77">
        <v>0</v>
      </c>
      <c r="K38" s="77">
        <v>0</v>
      </c>
      <c r="L38" s="78"/>
      <c r="M38" s="78"/>
      <c r="N38" s="77">
        <v>2200069.59</v>
      </c>
      <c r="O38" s="77">
        <v>10175.17</v>
      </c>
      <c r="P38" s="77">
        <v>0</v>
      </c>
      <c r="Q38" s="77">
        <v>0</v>
      </c>
      <c r="S38" s="77">
        <v>227081.88</v>
      </c>
      <c r="T38" s="77">
        <v>20372.54</v>
      </c>
      <c r="AM38" s="72"/>
      <c r="IF38" s="72" t="s">
        <v>817</v>
      </c>
      <c r="IG38" s="72" t="s">
        <v>818</v>
      </c>
      <c r="IH38" s="71">
        <v>-174208874.43132132</v>
      </c>
      <c r="IJ38" s="72" t="s">
        <v>823</v>
      </c>
      <c r="IK38" s="72" t="s">
        <v>824</v>
      </c>
      <c r="IL38" s="71">
        <v>19513899.413888883</v>
      </c>
      <c r="IO38" s="72" t="s">
        <v>819</v>
      </c>
      <c r="IP38" s="72" t="s">
        <v>820</v>
      </c>
      <c r="IQ38" s="71">
        <v>3150598.7456367076</v>
      </c>
      <c r="IT38" s="72" t="s">
        <v>821</v>
      </c>
      <c r="IU38" s="72" t="s">
        <v>822</v>
      </c>
      <c r="IV38" s="71">
        <v>1215768038.306154</v>
      </c>
    </row>
    <row r="39" spans="1:256">
      <c r="A39" s="72" t="s">
        <v>588</v>
      </c>
      <c r="B39" s="77">
        <v>1815678.7</v>
      </c>
      <c r="C39" s="77">
        <v>-23419.79</v>
      </c>
      <c r="D39" s="76">
        <v>9493</v>
      </c>
      <c r="E39" s="76">
        <v>1801751.91</v>
      </c>
      <c r="F39" s="77">
        <v>1815678.7</v>
      </c>
      <c r="G39" s="77">
        <v>-23419.79</v>
      </c>
      <c r="H39" s="76">
        <v>9493</v>
      </c>
      <c r="I39" s="76">
        <v>1801751.91</v>
      </c>
      <c r="J39" s="77">
        <v>0</v>
      </c>
      <c r="K39" s="77">
        <v>0</v>
      </c>
      <c r="L39" s="78"/>
      <c r="M39" s="78"/>
      <c r="N39" s="77">
        <v>1915364.24</v>
      </c>
      <c r="O39" s="77">
        <v>10207.17</v>
      </c>
      <c r="P39" s="77">
        <v>0</v>
      </c>
      <c r="Q39" s="77">
        <v>0</v>
      </c>
      <c r="S39" s="77">
        <v>226778.75</v>
      </c>
      <c r="T39" s="77">
        <v>20352.740000000002</v>
      </c>
      <c r="AM39" s="72"/>
      <c r="IF39" s="72" t="s">
        <v>826</v>
      </c>
      <c r="IG39" s="72" t="s">
        <v>827</v>
      </c>
      <c r="IH39" s="71">
        <v>86563058.700000003</v>
      </c>
      <c r="IJ39" s="72" t="s">
        <v>832</v>
      </c>
      <c r="IK39" s="72" t="s">
        <v>833</v>
      </c>
      <c r="IL39" s="71">
        <v>2.25887213E-2</v>
      </c>
      <c r="IO39" s="72" t="s">
        <v>828</v>
      </c>
      <c r="IP39" s="72" t="s">
        <v>829</v>
      </c>
      <c r="IQ39" s="71">
        <v>0</v>
      </c>
      <c r="IT39" s="72" t="s">
        <v>830</v>
      </c>
      <c r="IU39" s="72" t="s">
        <v>831</v>
      </c>
      <c r="IV39" s="71">
        <v>2536948131</v>
      </c>
    </row>
    <row r="40" spans="1:256">
      <c r="A40" s="72" t="s">
        <v>598</v>
      </c>
      <c r="B40" s="77">
        <v>2090017.82</v>
      </c>
      <c r="C40" s="77">
        <v>71677.240000000005</v>
      </c>
      <c r="D40" s="76">
        <v>16061</v>
      </c>
      <c r="E40" s="76">
        <v>2177756.06</v>
      </c>
      <c r="F40" s="77">
        <v>2090017.82</v>
      </c>
      <c r="G40" s="77">
        <v>71677.240000000005</v>
      </c>
      <c r="H40" s="76">
        <v>16061</v>
      </c>
      <c r="I40" s="76">
        <v>2177756.06</v>
      </c>
      <c r="J40" s="77">
        <v>0</v>
      </c>
      <c r="K40" s="77">
        <v>0</v>
      </c>
      <c r="L40" s="78"/>
      <c r="M40" s="78"/>
      <c r="N40" s="77">
        <v>3427791.26</v>
      </c>
      <c r="O40" s="77">
        <v>10597.74</v>
      </c>
      <c r="P40" s="77">
        <v>0</v>
      </c>
      <c r="Q40" s="77">
        <v>0</v>
      </c>
      <c r="S40" s="77">
        <v>196428.51</v>
      </c>
      <c r="T40" s="77">
        <v>16910.330000000002</v>
      </c>
      <c r="AM40" s="72"/>
      <c r="IF40" s="72" t="s">
        <v>836</v>
      </c>
      <c r="IG40" s="72" t="s">
        <v>837</v>
      </c>
      <c r="IH40" s="71">
        <v>0</v>
      </c>
      <c r="IJ40" s="72" t="s">
        <v>842</v>
      </c>
      <c r="IK40" s="72" t="s">
        <v>843</v>
      </c>
      <c r="IL40" s="71">
        <v>384180838</v>
      </c>
      <c r="IO40" s="72" t="s">
        <v>838</v>
      </c>
      <c r="IP40" s="72" t="s">
        <v>839</v>
      </c>
      <c r="IQ40" s="71">
        <v>0</v>
      </c>
      <c r="IT40" s="72" t="s">
        <v>840</v>
      </c>
      <c r="IU40" s="72" t="s">
        <v>841</v>
      </c>
      <c r="IV40" s="71">
        <v>13498114</v>
      </c>
    </row>
    <row r="41" spans="1:256">
      <c r="A41" s="72" t="s">
        <v>609</v>
      </c>
      <c r="B41" s="77">
        <v>2203918.77</v>
      </c>
      <c r="C41" s="77">
        <v>-81285.919999999998</v>
      </c>
      <c r="D41" s="76">
        <v>15855</v>
      </c>
      <c r="E41" s="76">
        <v>2138487.85</v>
      </c>
      <c r="F41" s="77">
        <v>2203918.77</v>
      </c>
      <c r="G41" s="77">
        <v>-81285.919999999998</v>
      </c>
      <c r="H41" s="76">
        <v>15855</v>
      </c>
      <c r="I41" s="76">
        <v>2138487.85</v>
      </c>
      <c r="J41" s="77">
        <v>0</v>
      </c>
      <c r="K41" s="77">
        <v>0</v>
      </c>
      <c r="L41" s="78"/>
      <c r="M41" s="78"/>
      <c r="N41" s="77">
        <v>3605048.74</v>
      </c>
      <c r="O41" s="77">
        <v>10629.35</v>
      </c>
      <c r="P41" s="77">
        <v>0</v>
      </c>
      <c r="Q41" s="77">
        <v>0</v>
      </c>
      <c r="S41" s="77">
        <v>227183.45</v>
      </c>
      <c r="T41" s="77">
        <v>20419.2</v>
      </c>
      <c r="AM41" s="72"/>
      <c r="IF41" s="72" t="s">
        <v>845</v>
      </c>
      <c r="IG41" s="72" t="s">
        <v>846</v>
      </c>
      <c r="IH41" s="71">
        <v>13293646.220000001</v>
      </c>
      <c r="IJ41" s="72" t="s">
        <v>851</v>
      </c>
      <c r="IK41" s="72" t="s">
        <v>852</v>
      </c>
      <c r="IL41" s="71">
        <v>460189879.26000005</v>
      </c>
      <c r="IO41" s="72" t="s">
        <v>847</v>
      </c>
      <c r="IP41" s="72" t="s">
        <v>848</v>
      </c>
      <c r="IQ41" s="71">
        <v>358173130.94</v>
      </c>
      <c r="IT41" s="72" t="s">
        <v>849</v>
      </c>
      <c r="IU41" s="72" t="s">
        <v>850</v>
      </c>
      <c r="IV41" s="71">
        <v>193496964</v>
      </c>
    </row>
    <row r="42" spans="1:256">
      <c r="A42" s="72" t="s">
        <v>618</v>
      </c>
      <c r="B42" s="77">
        <v>2190466.14</v>
      </c>
      <c r="C42" s="77">
        <v>-10111.07</v>
      </c>
      <c r="D42" s="76">
        <v>13477</v>
      </c>
      <c r="E42" s="76">
        <v>2193832.0699999998</v>
      </c>
      <c r="F42" s="77">
        <v>2190466.14</v>
      </c>
      <c r="G42" s="77">
        <v>-10111.07</v>
      </c>
      <c r="H42" s="76">
        <v>13477</v>
      </c>
      <c r="I42" s="76">
        <v>2193832.0699999998</v>
      </c>
      <c r="J42" s="77">
        <v>0</v>
      </c>
      <c r="K42" s="77">
        <v>0</v>
      </c>
      <c r="L42" s="78"/>
      <c r="M42" s="78"/>
      <c r="N42" s="77">
        <v>3689772.92</v>
      </c>
      <c r="O42" s="77">
        <v>10897.14</v>
      </c>
      <c r="P42" s="77">
        <v>0</v>
      </c>
      <c r="Q42" s="77">
        <v>0</v>
      </c>
      <c r="S42" s="77">
        <v>225982.22</v>
      </c>
      <c r="T42" s="77">
        <v>20344.62</v>
      </c>
      <c r="AM42" s="72"/>
      <c r="IF42" s="72" t="s">
        <v>854</v>
      </c>
      <c r="IG42" s="72" t="s">
        <v>855</v>
      </c>
      <c r="IH42" s="71">
        <v>15086375</v>
      </c>
      <c r="IJ42" s="72" t="s">
        <v>860</v>
      </c>
      <c r="IK42" s="72" t="s">
        <v>861</v>
      </c>
      <c r="IL42" s="71">
        <v>1296909241</v>
      </c>
      <c r="IO42" s="72" t="s">
        <v>856</v>
      </c>
      <c r="IP42" s="72" t="s">
        <v>857</v>
      </c>
      <c r="IQ42" s="71">
        <v>0</v>
      </c>
      <c r="IT42" s="72" t="s">
        <v>858</v>
      </c>
      <c r="IU42" s="72" t="s">
        <v>859</v>
      </c>
      <c r="IV42" s="71">
        <v>1171744527</v>
      </c>
    </row>
    <row r="43" spans="1:256">
      <c r="A43" s="72" t="s">
        <v>629</v>
      </c>
      <c r="B43" s="77">
        <v>1981656.87</v>
      </c>
      <c r="C43" s="77">
        <v>-41663.33</v>
      </c>
      <c r="D43" s="76">
        <v>10378</v>
      </c>
      <c r="E43" s="76">
        <v>1950371.54</v>
      </c>
      <c r="F43" s="77">
        <v>1981656.87</v>
      </c>
      <c r="G43" s="77">
        <v>-41663.33</v>
      </c>
      <c r="H43" s="76">
        <v>10378</v>
      </c>
      <c r="I43" s="76">
        <v>1950371.54</v>
      </c>
      <c r="J43" s="77">
        <v>0</v>
      </c>
      <c r="K43" s="77">
        <v>0</v>
      </c>
      <c r="L43" s="78"/>
      <c r="M43" s="78"/>
      <c r="N43" s="77">
        <v>2029726.81</v>
      </c>
      <c r="O43" s="77">
        <v>26412.66</v>
      </c>
      <c r="P43" s="77">
        <v>0</v>
      </c>
      <c r="Q43" s="77">
        <v>0</v>
      </c>
      <c r="S43" s="77">
        <v>227002.83</v>
      </c>
      <c r="T43" s="77">
        <v>20432.689999999999</v>
      </c>
      <c r="AM43" s="72"/>
      <c r="IF43" s="72" t="s">
        <v>863</v>
      </c>
      <c r="IG43" s="72" t="s">
        <v>864</v>
      </c>
      <c r="IH43" s="71">
        <v>-1585512</v>
      </c>
      <c r="IJ43" s="72" t="s">
        <v>869</v>
      </c>
      <c r="IK43" s="72" t="s">
        <v>870</v>
      </c>
      <c r="IL43" s="71">
        <v>191981614.20076457</v>
      </c>
      <c r="IO43" s="72" t="s">
        <v>865</v>
      </c>
      <c r="IP43" s="72" t="s">
        <v>866</v>
      </c>
      <c r="IQ43" s="71">
        <v>1448854</v>
      </c>
      <c r="IT43" s="72" t="s">
        <v>867</v>
      </c>
      <c r="IU43" s="72" t="s">
        <v>868</v>
      </c>
      <c r="IV43" s="71">
        <v>3380216.45</v>
      </c>
    </row>
    <row r="44" spans="1:256">
      <c r="A44" s="72" t="s">
        <v>639</v>
      </c>
      <c r="B44" s="77">
        <v>1527073.84</v>
      </c>
      <c r="C44" s="77">
        <v>-117865.94</v>
      </c>
      <c r="D44" s="76">
        <v>6589</v>
      </c>
      <c r="E44" s="76">
        <v>1415796.9</v>
      </c>
      <c r="F44" s="77">
        <v>1527073.84</v>
      </c>
      <c r="G44" s="77">
        <v>-117865.94</v>
      </c>
      <c r="H44" s="76">
        <v>6589</v>
      </c>
      <c r="I44" s="76">
        <v>1415796.9</v>
      </c>
      <c r="J44" s="77">
        <v>0</v>
      </c>
      <c r="K44" s="77">
        <v>0</v>
      </c>
      <c r="L44" s="78"/>
      <c r="M44" s="78"/>
      <c r="N44" s="77">
        <v>-27313.87</v>
      </c>
      <c r="O44" s="77">
        <v>10232.049999999999</v>
      </c>
      <c r="P44" s="77">
        <v>0</v>
      </c>
      <c r="Q44" s="77">
        <v>0</v>
      </c>
      <c r="S44" s="77">
        <v>224569.06</v>
      </c>
      <c r="T44" s="77">
        <v>20197.86</v>
      </c>
      <c r="AM44" s="72"/>
      <c r="IF44" s="72" t="s">
        <v>872</v>
      </c>
      <c r="IG44" s="72" t="s">
        <v>873</v>
      </c>
      <c r="IH44" s="71">
        <v>-2575553.1414129585</v>
      </c>
      <c r="IJ44" s="72" t="s">
        <v>878</v>
      </c>
      <c r="IK44" s="72" t="s">
        <v>879</v>
      </c>
      <c r="IL44" s="71">
        <v>49977321</v>
      </c>
      <c r="IO44" s="72" t="s">
        <v>874</v>
      </c>
      <c r="IP44" s="72" t="s">
        <v>875</v>
      </c>
      <c r="IQ44" s="71">
        <v>119900987.04472964</v>
      </c>
      <c r="IT44" s="72" t="s">
        <v>876</v>
      </c>
      <c r="IU44" s="72" t="s">
        <v>877</v>
      </c>
      <c r="IV44" s="71">
        <v>424484.53</v>
      </c>
    </row>
    <row r="45" spans="1:256">
      <c r="A45" s="72" t="s">
        <v>649</v>
      </c>
      <c r="B45" s="77">
        <v>1460074.84</v>
      </c>
      <c r="C45" s="77">
        <v>39366.769999999997</v>
      </c>
      <c r="D45" s="76">
        <v>6716</v>
      </c>
      <c r="E45" s="76">
        <v>1506157.61</v>
      </c>
      <c r="F45" s="77">
        <v>1460074.84</v>
      </c>
      <c r="G45" s="77">
        <v>39366.769999999997</v>
      </c>
      <c r="H45" s="76">
        <v>6716</v>
      </c>
      <c r="I45" s="76">
        <v>1506157.61</v>
      </c>
      <c r="J45" s="77">
        <v>0</v>
      </c>
      <c r="K45" s="77">
        <v>0</v>
      </c>
      <c r="L45" s="78"/>
      <c r="M45" s="78"/>
      <c r="N45" s="77">
        <v>19125.02</v>
      </c>
      <c r="O45" s="77">
        <v>10140.67</v>
      </c>
      <c r="P45" s="77">
        <v>0</v>
      </c>
      <c r="Q45" s="77">
        <v>0</v>
      </c>
      <c r="S45" s="77">
        <v>225301.74</v>
      </c>
      <c r="T45" s="77">
        <v>20205.2</v>
      </c>
      <c r="AM45" s="72"/>
      <c r="IF45" s="72" t="s">
        <v>882</v>
      </c>
      <c r="IG45" s="72" t="s">
        <v>346</v>
      </c>
      <c r="IH45" s="71">
        <v>352156727</v>
      </c>
      <c r="IJ45" s="72" t="s">
        <v>888</v>
      </c>
      <c r="IK45" s="72" t="s">
        <v>889</v>
      </c>
      <c r="IL45" s="71">
        <v>5487488</v>
      </c>
      <c r="IO45" s="72" t="s">
        <v>884</v>
      </c>
      <c r="IP45" s="72" t="s">
        <v>885</v>
      </c>
      <c r="IQ45" s="71">
        <v>110358685.47705732</v>
      </c>
      <c r="IT45" s="72" t="s">
        <v>886</v>
      </c>
      <c r="IU45" s="72" t="s">
        <v>887</v>
      </c>
      <c r="IV45" s="174">
        <v>2.25887213E-2</v>
      </c>
    </row>
    <row r="46" spans="1:256">
      <c r="A46" s="72" t="s">
        <v>658</v>
      </c>
      <c r="B46" s="77">
        <v>2106274.2000000002</v>
      </c>
      <c r="C46" s="77">
        <v>-39042.39</v>
      </c>
      <c r="D46" s="76">
        <v>11005</v>
      </c>
      <c r="E46" s="76">
        <v>2078236.81</v>
      </c>
      <c r="F46" s="77">
        <v>2106274.2000000002</v>
      </c>
      <c r="G46" s="77">
        <v>-39042.39</v>
      </c>
      <c r="H46" s="76">
        <v>11005</v>
      </c>
      <c r="I46" s="76">
        <v>2078236.81</v>
      </c>
      <c r="J46" s="77">
        <v>0</v>
      </c>
      <c r="K46" s="77">
        <v>0</v>
      </c>
      <c r="L46" s="78"/>
      <c r="M46" s="78"/>
      <c r="N46" s="77">
        <v>2266050.96</v>
      </c>
      <c r="O46" s="77">
        <v>10183.27</v>
      </c>
      <c r="P46" s="77">
        <v>0</v>
      </c>
      <c r="Q46" s="77">
        <v>0</v>
      </c>
      <c r="S46" s="77">
        <v>223673.74</v>
      </c>
      <c r="T46" s="77">
        <v>20085.63</v>
      </c>
      <c r="AM46" s="72"/>
      <c r="IF46" s="72" t="s">
        <v>891</v>
      </c>
      <c r="IG46" s="72" t="s">
        <v>892</v>
      </c>
      <c r="IH46" s="71">
        <v>233139273</v>
      </c>
      <c r="IJ46" s="72" t="s">
        <v>897</v>
      </c>
      <c r="IK46" s="72" t="s">
        <v>898</v>
      </c>
      <c r="IL46" s="71">
        <v>-181978.91999999998</v>
      </c>
      <c r="IO46" s="72" t="s">
        <v>893</v>
      </c>
      <c r="IP46" s="72" t="s">
        <v>894</v>
      </c>
      <c r="IQ46" s="71">
        <v>-105282720.02</v>
      </c>
      <c r="IT46" s="72" t="s">
        <v>895</v>
      </c>
      <c r="IU46" s="72" t="s">
        <v>896</v>
      </c>
      <c r="IV46" s="71">
        <v>-8530473.1799999997</v>
      </c>
    </row>
    <row r="47" spans="1:256">
      <c r="A47" s="72" t="s">
        <v>669</v>
      </c>
      <c r="B47" s="77">
        <v>1838156.45</v>
      </c>
      <c r="C47" s="77">
        <v>-3976.45</v>
      </c>
      <c r="D47" s="76">
        <v>1536</v>
      </c>
      <c r="E47" s="76">
        <v>1835716</v>
      </c>
      <c r="F47" s="77">
        <v>1838156.45</v>
      </c>
      <c r="G47" s="77">
        <v>-3976.45</v>
      </c>
      <c r="H47" s="76">
        <v>1536</v>
      </c>
      <c r="I47" s="76">
        <v>1835716</v>
      </c>
      <c r="J47" s="77">
        <v>0</v>
      </c>
      <c r="K47" s="77">
        <v>0</v>
      </c>
      <c r="L47" s="78"/>
      <c r="M47" s="78"/>
      <c r="N47" s="77">
        <v>3490393.18</v>
      </c>
      <c r="O47" s="77">
        <v>8722.24</v>
      </c>
      <c r="P47" s="77">
        <v>0</v>
      </c>
      <c r="Q47" s="77">
        <v>0</v>
      </c>
      <c r="S47" s="77">
        <v>230914.23</v>
      </c>
      <c r="T47" s="77">
        <v>20987.94</v>
      </c>
      <c r="AM47" s="72"/>
      <c r="IF47" s="72" t="s">
        <v>903</v>
      </c>
      <c r="IG47" s="72" t="s">
        <v>904</v>
      </c>
      <c r="IH47" s="71">
        <v>191981614.20076457</v>
      </c>
      <c r="IJ47" s="72" t="s">
        <v>909</v>
      </c>
      <c r="IK47" s="72" t="s">
        <v>910</v>
      </c>
      <c r="IL47" s="71">
        <v>1664803.6923076899</v>
      </c>
      <c r="IO47" s="72" t="s">
        <v>905</v>
      </c>
      <c r="IP47" s="72" t="s">
        <v>906</v>
      </c>
      <c r="IQ47" s="71">
        <v>361323729.6856367</v>
      </c>
      <c r="IT47" s="72" t="s">
        <v>907</v>
      </c>
      <c r="IU47" s="72" t="s">
        <v>908</v>
      </c>
      <c r="IV47" s="71">
        <v>0</v>
      </c>
    </row>
    <row r="48" spans="1:256">
      <c r="A48" s="72" t="s">
        <v>679</v>
      </c>
      <c r="B48" s="77">
        <v>1390940.83</v>
      </c>
      <c r="C48" s="77">
        <v>64938.82</v>
      </c>
      <c r="D48" s="76">
        <v>7887</v>
      </c>
      <c r="E48" s="76">
        <v>1463766.65</v>
      </c>
      <c r="F48" s="77">
        <v>1390940.83</v>
      </c>
      <c r="G48" s="77">
        <v>64938.82</v>
      </c>
      <c r="H48" s="76">
        <v>7887</v>
      </c>
      <c r="I48" s="76">
        <v>1463766.65</v>
      </c>
      <c r="J48" s="77">
        <v>0</v>
      </c>
      <c r="K48" s="77">
        <v>0</v>
      </c>
      <c r="L48" s="78"/>
      <c r="M48" s="78"/>
      <c r="N48" s="77">
        <v>3083652.6</v>
      </c>
      <c r="O48" s="77">
        <v>-2474.4699999999998</v>
      </c>
      <c r="P48" s="77">
        <v>0</v>
      </c>
      <c r="Q48" s="77">
        <v>0</v>
      </c>
      <c r="S48" s="77">
        <v>233854.4</v>
      </c>
      <c r="T48" s="77">
        <v>21316.61</v>
      </c>
      <c r="AM48" s="72"/>
      <c r="IF48" s="72" t="s">
        <v>912</v>
      </c>
      <c r="IG48" s="72" t="s">
        <v>913</v>
      </c>
      <c r="IH48" s="71">
        <v>21591731</v>
      </c>
      <c r="IJ48" s="72" t="s">
        <v>918</v>
      </c>
      <c r="IK48" s="72" t="s">
        <v>919</v>
      </c>
      <c r="IL48" s="179">
        <v>0.39002545329999999</v>
      </c>
      <c r="IO48" s="72" t="s">
        <v>914</v>
      </c>
      <c r="IP48" s="72" t="s">
        <v>915</v>
      </c>
      <c r="IQ48" s="71">
        <v>9831219.0990493447</v>
      </c>
      <c r="IT48" s="72" t="s">
        <v>916</v>
      </c>
      <c r="IU48" s="72" t="s">
        <v>917</v>
      </c>
      <c r="IV48" s="71">
        <v>0</v>
      </c>
    </row>
    <row r="49" spans="1:256">
      <c r="A49" s="72" t="s">
        <v>1557</v>
      </c>
      <c r="B49" s="77">
        <v>1288556.47</v>
      </c>
      <c r="C49" s="77">
        <v>-13358.97</v>
      </c>
      <c r="D49" s="76">
        <v>5813</v>
      </c>
      <c r="E49" s="76">
        <v>1281010.5</v>
      </c>
      <c r="F49" s="77">
        <v>1288556.47</v>
      </c>
      <c r="G49" s="77">
        <v>-13358.97</v>
      </c>
      <c r="H49" s="76">
        <v>5813</v>
      </c>
      <c r="I49" s="76">
        <v>1281010.5</v>
      </c>
      <c r="J49" s="77">
        <v>0</v>
      </c>
      <c r="K49" s="77">
        <v>0</v>
      </c>
      <c r="L49" s="78"/>
      <c r="M49" s="78"/>
      <c r="N49" s="77">
        <v>3380216.45</v>
      </c>
      <c r="O49" s="77">
        <v>2.9099999999998545</v>
      </c>
      <c r="P49" s="454">
        <v>0</v>
      </c>
      <c r="Q49" s="454">
        <v>0</v>
      </c>
      <c r="S49" s="454">
        <v>231839.76</v>
      </c>
      <c r="T49" s="454">
        <v>21163.05</v>
      </c>
      <c r="AM49" s="72"/>
      <c r="IF49" s="72" t="s">
        <v>923</v>
      </c>
      <c r="IG49" s="72" t="s">
        <v>924</v>
      </c>
      <c r="IH49" s="71">
        <v>185996296</v>
      </c>
      <c r="IJ49" s="72" t="s">
        <v>929</v>
      </c>
      <c r="IK49" s="72" t="s">
        <v>930</v>
      </c>
      <c r="IL49" s="179">
        <v>6.8273992800000002E-2</v>
      </c>
      <c r="IO49" s="72" t="s">
        <v>925</v>
      </c>
      <c r="IP49" s="72" t="s">
        <v>926</v>
      </c>
      <c r="IQ49" s="71">
        <v>88167126.160950661</v>
      </c>
      <c r="IT49" s="72" t="s">
        <v>927</v>
      </c>
      <c r="IU49" s="72" t="s">
        <v>928</v>
      </c>
      <c r="IV49" s="71">
        <v>0</v>
      </c>
    </row>
    <row r="50" spans="1:256"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N50" s="447"/>
      <c r="O50" s="455"/>
      <c r="AM50" s="72"/>
      <c r="IF50" s="72" t="s">
        <v>933</v>
      </c>
      <c r="IG50" s="72" t="s">
        <v>934</v>
      </c>
      <c r="IH50" s="71">
        <v>-115848194</v>
      </c>
      <c r="IJ50" s="72" t="s">
        <v>938</v>
      </c>
      <c r="IK50" s="72" t="s">
        <v>939</v>
      </c>
      <c r="IL50" s="71">
        <v>0</v>
      </c>
      <c r="IO50" s="72" t="s">
        <v>935</v>
      </c>
      <c r="IP50" s="72" t="s">
        <v>771</v>
      </c>
      <c r="IQ50" s="71">
        <v>97998345.260000005</v>
      </c>
      <c r="IT50" s="72" t="s">
        <v>936</v>
      </c>
      <c r="IU50" s="72" t="s">
        <v>937</v>
      </c>
      <c r="IV50" s="71">
        <v>0</v>
      </c>
    </row>
    <row r="51" spans="1:256" ht="12.75" thickBot="1">
      <c r="A51" s="72" t="s">
        <v>3712</v>
      </c>
      <c r="B51" s="448">
        <v>21280037.259999998</v>
      </c>
      <c r="C51" s="448">
        <v>-208258.19000000003</v>
      </c>
      <c r="D51" s="448">
        <v>107383</v>
      </c>
      <c r="E51" s="448">
        <v>21179162.07</v>
      </c>
      <c r="F51" s="448">
        <v>21280037.259999998</v>
      </c>
      <c r="G51" s="448">
        <v>-208258.19000000003</v>
      </c>
      <c r="H51" s="448">
        <v>107383</v>
      </c>
      <c r="I51" s="448">
        <v>21179162.07</v>
      </c>
      <c r="J51" s="448">
        <v>0</v>
      </c>
      <c r="K51" s="448">
        <v>0</v>
      </c>
      <c r="M51" s="72" t="s">
        <v>2583</v>
      </c>
      <c r="N51" s="448">
        <v>29079897.899999999</v>
      </c>
      <c r="O51" s="448">
        <v>115725.90000000001</v>
      </c>
      <c r="P51" s="448">
        <v>0</v>
      </c>
      <c r="Q51" s="448">
        <v>0</v>
      </c>
      <c r="S51" s="448">
        <v>2700610.5700000003</v>
      </c>
      <c r="T51" s="448">
        <v>242788.40999999997</v>
      </c>
      <c r="AM51" s="72"/>
      <c r="IF51" s="72" t="s">
        <v>942</v>
      </c>
      <c r="IG51" s="72" t="s">
        <v>943</v>
      </c>
      <c r="IH51" s="71">
        <v>-67153891</v>
      </c>
      <c r="IJ51" s="72" t="s">
        <v>948</v>
      </c>
      <c r="IK51" s="72" t="s">
        <v>949</v>
      </c>
      <c r="IL51" s="71">
        <v>4.5095165999999999E-2</v>
      </c>
      <c r="IO51" s="72" t="s">
        <v>944</v>
      </c>
      <c r="IP51" s="72" t="s">
        <v>945</v>
      </c>
      <c r="IQ51" s="71">
        <v>0</v>
      </c>
      <c r="IT51" s="72" t="s">
        <v>946</v>
      </c>
      <c r="IU51" s="72" t="s">
        <v>947</v>
      </c>
      <c r="IV51" s="71">
        <v>0</v>
      </c>
    </row>
    <row r="52" spans="1:256" ht="12.75" thickTop="1">
      <c r="B52" s="72"/>
      <c r="C52" s="72"/>
      <c r="D52" s="72"/>
      <c r="E52" s="72"/>
      <c r="F52" s="72"/>
      <c r="G52" s="72"/>
      <c r="H52" s="72"/>
      <c r="I52" s="72"/>
      <c r="L52" s="72"/>
      <c r="AK52" s="72"/>
      <c r="ID52" s="72" t="s">
        <v>3168</v>
      </c>
      <c r="IE52" s="72" t="s">
        <v>3169</v>
      </c>
      <c r="IF52" s="71">
        <v>-1</v>
      </c>
      <c r="IH52" s="72" t="s">
        <v>3174</v>
      </c>
      <c r="II52" s="72" t="s">
        <v>3175</v>
      </c>
      <c r="IJ52" s="71">
        <v>116742287.28652766</v>
      </c>
      <c r="IM52" s="72" t="s">
        <v>3170</v>
      </c>
      <c r="IN52" s="72" t="s">
        <v>3171</v>
      </c>
      <c r="IO52" s="71">
        <v>0</v>
      </c>
      <c r="IR52" s="72" t="s">
        <v>3172</v>
      </c>
      <c r="IS52" s="72" t="s">
        <v>3173</v>
      </c>
      <c r="IT52" s="71">
        <v>0</v>
      </c>
    </row>
    <row r="53" spans="1:256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AK53" s="72"/>
      <c r="ID53" s="72" t="s">
        <v>3177</v>
      </c>
      <c r="IE53" s="72" t="s">
        <v>3178</v>
      </c>
      <c r="IF53" s="71">
        <v>0</v>
      </c>
      <c r="IH53" s="72" t="s">
        <v>3183</v>
      </c>
      <c r="II53" s="72" t="s">
        <v>3184</v>
      </c>
      <c r="IJ53" s="71">
        <v>0</v>
      </c>
      <c r="IM53" s="72" t="s">
        <v>3179</v>
      </c>
      <c r="IN53" s="72" t="s">
        <v>3180</v>
      </c>
      <c r="IO53" s="71">
        <v>32751</v>
      </c>
      <c r="IR53" s="72" t="s">
        <v>3181</v>
      </c>
      <c r="IS53" s="72" t="s">
        <v>3182</v>
      </c>
      <c r="IT53" s="71">
        <v>0</v>
      </c>
    </row>
    <row r="54" spans="1:256">
      <c r="AK54" s="72"/>
      <c r="ID54" s="72" t="s">
        <v>347</v>
      </c>
      <c r="IE54" s="72" t="s">
        <v>3187</v>
      </c>
      <c r="IF54" s="71">
        <v>12446388</v>
      </c>
      <c r="IH54" s="72" t="s">
        <v>3192</v>
      </c>
      <c r="II54" s="72" t="s">
        <v>3193</v>
      </c>
      <c r="IJ54" s="71">
        <v>0</v>
      </c>
      <c r="IM54" s="72" t="s">
        <v>3188</v>
      </c>
      <c r="IN54" s="72" t="s">
        <v>3189</v>
      </c>
      <c r="IO54" s="71" t="e">
        <v>#DIV/0!</v>
      </c>
      <c r="IR54" s="72" t="s">
        <v>3190</v>
      </c>
      <c r="IS54" s="72" t="s">
        <v>3191</v>
      </c>
      <c r="IT54" s="71">
        <v>114105429.35000004</v>
      </c>
    </row>
    <row r="55" spans="1:256">
      <c r="A55" s="72" t="s">
        <v>2528</v>
      </c>
      <c r="B55" s="70"/>
      <c r="AK55" s="72"/>
      <c r="ID55" s="72" t="s">
        <v>3196</v>
      </c>
      <c r="IE55" s="72" t="s">
        <v>3197</v>
      </c>
      <c r="IF55" s="71">
        <v>0</v>
      </c>
      <c r="IH55" s="72" t="s">
        <v>3202</v>
      </c>
      <c r="II55" s="72" t="s">
        <v>3203</v>
      </c>
      <c r="IJ55" s="71">
        <v>7771484</v>
      </c>
      <c r="IM55" s="72" t="s">
        <v>3198</v>
      </c>
      <c r="IN55" s="72" t="s">
        <v>3199</v>
      </c>
      <c r="IO55" s="71">
        <v>4.5776796799999998E-2</v>
      </c>
      <c r="IR55" s="72" t="s">
        <v>3200</v>
      </c>
      <c r="IS55" s="72" t="s">
        <v>3201</v>
      </c>
      <c r="IT55" s="71">
        <v>-6202500.0000000047</v>
      </c>
    </row>
    <row r="56" spans="1:256">
      <c r="B56" s="70"/>
      <c r="AK56" s="72"/>
      <c r="ID56" s="72" t="s">
        <v>3205</v>
      </c>
      <c r="IE56" s="72" t="s">
        <v>3206</v>
      </c>
      <c r="IF56" s="71">
        <v>0</v>
      </c>
      <c r="IH56" s="72" t="s">
        <v>3211</v>
      </c>
      <c r="II56" s="72" t="s">
        <v>3212</v>
      </c>
      <c r="IJ56" s="71">
        <v>1113445382.6900001</v>
      </c>
      <c r="IM56" s="72" t="s">
        <v>3207</v>
      </c>
      <c r="IN56" s="72" t="s">
        <v>3208</v>
      </c>
      <c r="IO56" s="71">
        <v>0</v>
      </c>
      <c r="IR56" s="72" t="s">
        <v>3209</v>
      </c>
      <c r="IS56" s="72" t="s">
        <v>3210</v>
      </c>
      <c r="IT56" s="71">
        <v>-105725000</v>
      </c>
    </row>
    <row r="57" spans="1:256">
      <c r="B57" s="70"/>
      <c r="AK57" s="72"/>
      <c r="ID57" s="72" t="s">
        <v>3214</v>
      </c>
      <c r="IE57" s="72" t="s">
        <v>3215</v>
      </c>
      <c r="IF57" s="71">
        <v>0</v>
      </c>
      <c r="IH57" s="72" t="s">
        <v>3220</v>
      </c>
      <c r="II57" s="72" t="s">
        <v>3221</v>
      </c>
      <c r="IJ57" s="71">
        <v>1195182225.8299999</v>
      </c>
      <c r="IM57" s="72" t="s">
        <v>3216</v>
      </c>
      <c r="IN57" s="72" t="s">
        <v>3217</v>
      </c>
      <c r="IO57" s="71">
        <v>0</v>
      </c>
      <c r="IR57" s="72" t="s">
        <v>3218</v>
      </c>
      <c r="IS57" s="72" t="s">
        <v>3219</v>
      </c>
      <c r="IT57" s="71">
        <v>-11135800.439999999</v>
      </c>
    </row>
    <row r="58" spans="1:256">
      <c r="B58" s="70">
        <v>1502075.45</v>
      </c>
      <c r="C58" s="70">
        <v>3486000.67</v>
      </c>
      <c r="D58" s="71">
        <v>4988076.12</v>
      </c>
      <c r="E58" s="70">
        <v>41778470.369999997</v>
      </c>
      <c r="F58" s="71">
        <v>0</v>
      </c>
      <c r="G58" s="70">
        <v>0</v>
      </c>
      <c r="H58" s="71">
        <v>46766546.489999995</v>
      </c>
      <c r="I58" s="71">
        <v>-91596.350000007311</v>
      </c>
      <c r="J58" s="71">
        <v>46875539.57</v>
      </c>
      <c r="K58" s="71">
        <v>46766546.489999995</v>
      </c>
      <c r="L58" s="71">
        <v>29310.880000000001</v>
      </c>
      <c r="M58" s="71">
        <v>79682.200000005658</v>
      </c>
      <c r="N58" s="71">
        <v>71920.980000007316</v>
      </c>
      <c r="O58" s="71">
        <v>7761.2199999983422</v>
      </c>
      <c r="AK58" s="72"/>
      <c r="ID58" s="72" t="s">
        <v>3222</v>
      </c>
      <c r="IE58" s="72" t="s">
        <v>3223</v>
      </c>
      <c r="IF58" s="71">
        <v>629</v>
      </c>
      <c r="IH58" s="72" t="s">
        <v>3228</v>
      </c>
      <c r="II58" s="72" t="s">
        <v>3229</v>
      </c>
      <c r="IJ58" s="71">
        <v>4.5776796799999998E-2</v>
      </c>
      <c r="IM58" s="72" t="s">
        <v>3224</v>
      </c>
      <c r="IN58" s="72" t="s">
        <v>3225</v>
      </c>
      <c r="IO58" s="71">
        <v>0</v>
      </c>
      <c r="IR58" s="72" t="s">
        <v>3226</v>
      </c>
      <c r="IS58" s="72" t="s">
        <v>3227</v>
      </c>
      <c r="IT58" s="71">
        <v>134790028.13999999</v>
      </c>
    </row>
    <row r="59" spans="1:256">
      <c r="AK59" s="72"/>
      <c r="ID59" s="72" t="s">
        <v>3231</v>
      </c>
      <c r="IE59" s="72" t="s">
        <v>3232</v>
      </c>
      <c r="IF59" s="71">
        <v>0</v>
      </c>
      <c r="IH59" s="72" t="s">
        <v>3237</v>
      </c>
      <c r="II59" s="72" t="s">
        <v>3238</v>
      </c>
      <c r="IJ59" s="71">
        <v>6.3291885000000006E-2</v>
      </c>
      <c r="IM59" s="72" t="s">
        <v>3233</v>
      </c>
      <c r="IN59" s="72" t="s">
        <v>3234</v>
      </c>
      <c r="IO59" s="71">
        <v>1664803.6923076899</v>
      </c>
      <c r="IR59" s="72" t="s">
        <v>3235</v>
      </c>
      <c r="IS59" s="72" t="s">
        <v>3236</v>
      </c>
      <c r="IT59" s="71">
        <v>92581584.150000006</v>
      </c>
    </row>
    <row r="60" spans="1:256">
      <c r="ID60" s="72" t="s">
        <v>3239</v>
      </c>
      <c r="IE60" s="72" t="s">
        <v>3240</v>
      </c>
      <c r="IF60" s="71">
        <v>15102690</v>
      </c>
      <c r="IH60" s="72" t="s">
        <v>3245</v>
      </c>
      <c r="II60" s="72" t="s">
        <v>3246</v>
      </c>
      <c r="IJ60" s="71">
        <v>35913603.859999999</v>
      </c>
      <c r="IM60" s="72" t="s">
        <v>3241</v>
      </c>
      <c r="IN60" s="72" t="s">
        <v>3242</v>
      </c>
      <c r="IO60" s="71">
        <v>0</v>
      </c>
      <c r="IR60" s="72" t="s">
        <v>3243</v>
      </c>
      <c r="IS60" s="72" t="s">
        <v>3244</v>
      </c>
      <c r="IT60" s="71">
        <v>0</v>
      </c>
    </row>
    <row r="61" spans="1:256">
      <c r="A61" s="72" t="s">
        <v>2155</v>
      </c>
      <c r="ID61" s="73" t="s">
        <v>348</v>
      </c>
      <c r="IE61" s="72" t="s">
        <v>3249</v>
      </c>
      <c r="IF61" s="71">
        <v>-173403</v>
      </c>
      <c r="IH61" s="72" t="s">
        <v>3254</v>
      </c>
      <c r="II61" s="72" t="s">
        <v>3255</v>
      </c>
      <c r="IJ61" s="71">
        <v>97998345.260000005</v>
      </c>
      <c r="IM61" s="72" t="s">
        <v>3250</v>
      </c>
      <c r="IN61" s="72" t="s">
        <v>3251</v>
      </c>
      <c r="IO61" s="71">
        <v>0</v>
      </c>
      <c r="IR61" s="72" t="s">
        <v>3252</v>
      </c>
      <c r="IS61" s="72" t="s">
        <v>3253</v>
      </c>
      <c r="IT61" s="71">
        <v>-41383866.13000001</v>
      </c>
    </row>
    <row r="62" spans="1:256">
      <c r="A62" s="72" t="s">
        <v>2935</v>
      </c>
      <c r="ID62" s="72" t="s">
        <v>3257</v>
      </c>
      <c r="IE62" s="72" t="s">
        <v>3258</v>
      </c>
      <c r="IF62" s="71">
        <v>0</v>
      </c>
      <c r="IH62" s="72" t="s">
        <v>3263</v>
      </c>
      <c r="II62" s="72" t="s">
        <v>3264</v>
      </c>
      <c r="IJ62" s="71">
        <v>86563058.700000003</v>
      </c>
      <c r="IM62" s="72" t="s">
        <v>3259</v>
      </c>
      <c r="IN62" s="72" t="s">
        <v>3260</v>
      </c>
      <c r="IO62" s="71">
        <v>-2575553.1414129599</v>
      </c>
      <c r="IR62" s="72" t="s">
        <v>3261</v>
      </c>
      <c r="IS62" s="72" t="s">
        <v>3262</v>
      </c>
      <c r="IT62" s="71">
        <v>336117265.78000003</v>
      </c>
    </row>
    <row r="63" spans="1:256">
      <c r="A63" s="72" t="s">
        <v>349</v>
      </c>
      <c r="ID63" s="72" t="s">
        <v>3267</v>
      </c>
      <c r="IE63" s="72" t="s">
        <v>3268</v>
      </c>
      <c r="IF63" s="71">
        <v>191314208.20076457</v>
      </c>
      <c r="IH63" s="72" t="s">
        <v>3271</v>
      </c>
      <c r="II63" s="72" t="s">
        <v>3272</v>
      </c>
      <c r="IJ63" s="71">
        <v>198625267.13999999</v>
      </c>
      <c r="IM63" s="72" t="s">
        <v>3269</v>
      </c>
      <c r="IN63" s="72" t="s">
        <v>3270</v>
      </c>
      <c r="IO63" s="71">
        <v>119900987.04472964</v>
      </c>
      <c r="IR63" s="70"/>
      <c r="IS63" s="70"/>
      <c r="IT63" s="70"/>
    </row>
    <row r="64" spans="1:256">
      <c r="A64" s="72" t="s">
        <v>2652</v>
      </c>
      <c r="ID64" s="72" t="s">
        <v>3274</v>
      </c>
      <c r="IE64" s="72" t="s">
        <v>3275</v>
      </c>
      <c r="IF64" s="71">
        <v>4521</v>
      </c>
      <c r="IH64" s="72" t="s">
        <v>3280</v>
      </c>
      <c r="II64" s="72" t="s">
        <v>3281</v>
      </c>
      <c r="IJ64" s="71">
        <v>368215630.48000002</v>
      </c>
      <c r="IM64" s="72" t="s">
        <v>3276</v>
      </c>
      <c r="IN64" s="72" t="s">
        <v>3277</v>
      </c>
      <c r="IO64" s="71">
        <v>116742287.28652766</v>
      </c>
      <c r="IR64" s="70"/>
      <c r="IS64" s="70"/>
      <c r="IT64" s="70"/>
    </row>
    <row r="65" spans="1:254">
      <c r="A65" s="72" t="s">
        <v>1557</v>
      </c>
      <c r="ID65" s="72" t="s">
        <v>3284</v>
      </c>
      <c r="IE65" s="72" t="s">
        <v>3285</v>
      </c>
      <c r="IF65" s="71">
        <v>0</v>
      </c>
      <c r="IH65" s="72" t="s">
        <v>3290</v>
      </c>
      <c r="II65" s="72" t="s">
        <v>3291</v>
      </c>
      <c r="IJ65" s="71">
        <v>35913603.859999999</v>
      </c>
      <c r="IM65" s="72" t="s">
        <v>3286</v>
      </c>
      <c r="IN65" s="72" t="s">
        <v>3287</v>
      </c>
      <c r="IO65" s="71">
        <v>99467629.727384374</v>
      </c>
      <c r="IR65" s="70"/>
      <c r="IS65" s="70"/>
      <c r="IT65" s="70"/>
    </row>
    <row r="66" spans="1:254">
      <c r="ID66" s="72" t="s">
        <v>3292</v>
      </c>
      <c r="IE66" s="72" t="s">
        <v>3293</v>
      </c>
      <c r="IF66" s="71">
        <v>0</v>
      </c>
      <c r="IH66" s="72" t="s">
        <v>3298</v>
      </c>
      <c r="II66" s="72" t="s">
        <v>3299</v>
      </c>
      <c r="IJ66" s="71">
        <v>1292814164.02</v>
      </c>
      <c r="IM66" s="72" t="s">
        <v>3294</v>
      </c>
      <c r="IN66" s="72" t="s">
        <v>3295</v>
      </c>
      <c r="IO66" s="71">
        <v>110358685.47705732</v>
      </c>
      <c r="IR66" s="70"/>
      <c r="IS66" s="70"/>
      <c r="IT66" s="70"/>
    </row>
    <row r="67" spans="1:254">
      <c r="ID67" s="72" t="s">
        <v>3301</v>
      </c>
      <c r="IE67" s="72" t="s">
        <v>3302</v>
      </c>
      <c r="IF67" s="71">
        <v>0</v>
      </c>
      <c r="IH67" s="72" t="s">
        <v>3307</v>
      </c>
      <c r="II67" s="72" t="s">
        <v>3308</v>
      </c>
      <c r="IJ67" s="71">
        <v>0</v>
      </c>
      <c r="IM67" s="72" t="s">
        <v>3303</v>
      </c>
      <c r="IN67" s="72" t="s">
        <v>3304</v>
      </c>
      <c r="IO67" s="71">
        <v>5771744</v>
      </c>
      <c r="IR67" s="70"/>
      <c r="IS67" s="70"/>
      <c r="IT67" s="70"/>
    </row>
    <row r="68" spans="1:254">
      <c r="B68" s="72" t="s">
        <v>350</v>
      </c>
      <c r="C68" s="72" t="s">
        <v>351</v>
      </c>
      <c r="D68" s="72" t="s">
        <v>352</v>
      </c>
      <c r="E68" s="72" t="s">
        <v>353</v>
      </c>
      <c r="F68" s="183" t="s">
        <v>354</v>
      </c>
      <c r="G68" s="183" t="s">
        <v>355</v>
      </c>
      <c r="H68" s="72" t="s">
        <v>356</v>
      </c>
      <c r="I68" s="72" t="s">
        <v>357</v>
      </c>
      <c r="J68" s="72" t="s">
        <v>358</v>
      </c>
      <c r="K68" s="72" t="s">
        <v>359</v>
      </c>
      <c r="L68" s="72" t="s">
        <v>360</v>
      </c>
      <c r="M68" s="72" t="s">
        <v>361</v>
      </c>
      <c r="N68" s="72" t="s">
        <v>362</v>
      </c>
      <c r="O68" s="72" t="s">
        <v>363</v>
      </c>
      <c r="ID68" s="72" t="s">
        <v>3310</v>
      </c>
      <c r="IE68" s="72" t="s">
        <v>3311</v>
      </c>
      <c r="IF68" s="71">
        <v>-34034</v>
      </c>
      <c r="IH68" s="72" t="s">
        <v>3314</v>
      </c>
      <c r="II68" s="72" t="s">
        <v>3315</v>
      </c>
      <c r="IJ68" s="71">
        <v>0</v>
      </c>
      <c r="IM68" s="72" t="s">
        <v>3312</v>
      </c>
      <c r="IN68" s="72" t="s">
        <v>3313</v>
      </c>
      <c r="IO68" s="71">
        <v>17750858.447780401</v>
      </c>
      <c r="IR68" s="70"/>
      <c r="IS68" s="70"/>
      <c r="IT68" s="70"/>
    </row>
    <row r="69" spans="1:254">
      <c r="C69" s="72" t="s">
        <v>364</v>
      </c>
      <c r="F69" s="72" t="s">
        <v>2955</v>
      </c>
      <c r="ID69" s="178" t="s">
        <v>365</v>
      </c>
      <c r="IE69" s="456" t="s">
        <v>3320</v>
      </c>
      <c r="IF69" s="71">
        <v>-938279</v>
      </c>
      <c r="IH69" s="72" t="s">
        <v>3325</v>
      </c>
      <c r="II69" s="72" t="s">
        <v>3326</v>
      </c>
      <c r="IJ69" s="71">
        <v>126660324.16999997</v>
      </c>
      <c r="IM69" s="72" t="s">
        <v>3321</v>
      </c>
      <c r="IN69" s="72" t="s">
        <v>3322</v>
      </c>
      <c r="IO69" s="71">
        <v>0</v>
      </c>
      <c r="IR69" s="70"/>
      <c r="IS69" s="70"/>
      <c r="IT69" s="70"/>
    </row>
    <row r="70" spans="1:254">
      <c r="B70" s="72" t="s">
        <v>366</v>
      </c>
      <c r="C70" s="72" t="s">
        <v>367</v>
      </c>
      <c r="D70" s="72" t="s">
        <v>366</v>
      </c>
      <c r="F70" s="72" t="s">
        <v>2959</v>
      </c>
      <c r="G70" s="183" t="s">
        <v>3248</v>
      </c>
      <c r="H70" s="72" t="s">
        <v>368</v>
      </c>
      <c r="I70" s="72" t="s">
        <v>369</v>
      </c>
      <c r="J70" s="72" t="s">
        <v>3318</v>
      </c>
      <c r="K70" s="72" t="s">
        <v>3318</v>
      </c>
      <c r="N70" s="72" t="s">
        <v>3318</v>
      </c>
      <c r="O70" s="72" t="s">
        <v>370</v>
      </c>
      <c r="Q70" s="72" t="s">
        <v>371</v>
      </c>
      <c r="ID70" s="72" t="s">
        <v>3330</v>
      </c>
      <c r="IE70" s="72" t="s">
        <v>3331</v>
      </c>
      <c r="IF70" s="71">
        <v>2741717</v>
      </c>
      <c r="IH70" s="72" t="s">
        <v>3336</v>
      </c>
      <c r="II70" s="72" t="s">
        <v>3337</v>
      </c>
      <c r="IJ70" s="71">
        <v>0</v>
      </c>
      <c r="IM70" s="72" t="s">
        <v>3332</v>
      </c>
      <c r="IN70" s="72" t="s">
        <v>3333</v>
      </c>
      <c r="IO70" s="71">
        <v>0</v>
      </c>
    </row>
    <row r="71" spans="1:254">
      <c r="B71" s="72" t="s">
        <v>372</v>
      </c>
      <c r="C71" s="72" t="s">
        <v>373</v>
      </c>
      <c r="D71" s="72" t="s">
        <v>374</v>
      </c>
      <c r="E71" s="72" t="s">
        <v>375</v>
      </c>
      <c r="F71" s="72" t="s">
        <v>278</v>
      </c>
      <c r="G71" s="183" t="s">
        <v>376</v>
      </c>
      <c r="H71" s="72" t="s">
        <v>377</v>
      </c>
      <c r="I71" s="72" t="s">
        <v>378</v>
      </c>
      <c r="J71" s="72" t="s">
        <v>375</v>
      </c>
      <c r="K71" s="72" t="s">
        <v>375</v>
      </c>
      <c r="L71" s="72" t="s">
        <v>283</v>
      </c>
      <c r="N71" s="72" t="s">
        <v>379</v>
      </c>
      <c r="O71" s="72" t="s">
        <v>378</v>
      </c>
      <c r="Q71" s="72" t="s">
        <v>380</v>
      </c>
      <c r="ID71" s="72" t="s">
        <v>3338</v>
      </c>
      <c r="IE71" s="72" t="s">
        <v>3339</v>
      </c>
      <c r="IF71" s="71">
        <v>14937791</v>
      </c>
      <c r="IH71" s="72" t="s">
        <v>3344</v>
      </c>
      <c r="II71" s="72" t="s">
        <v>3345</v>
      </c>
      <c r="IJ71" s="71">
        <v>0</v>
      </c>
      <c r="IM71" s="72" t="s">
        <v>3340</v>
      </c>
      <c r="IN71" s="72" t="s">
        <v>3341</v>
      </c>
      <c r="IO71" s="71">
        <v>18439787.004658666</v>
      </c>
    </row>
    <row r="72" spans="1:254">
      <c r="B72" s="444" t="s">
        <v>381</v>
      </c>
      <c r="C72" s="444" t="s">
        <v>382</v>
      </c>
      <c r="D72" s="444" t="s">
        <v>383</v>
      </c>
      <c r="E72" s="444" t="s">
        <v>294</v>
      </c>
      <c r="F72" s="444" t="s">
        <v>292</v>
      </c>
      <c r="G72" s="452" t="s">
        <v>384</v>
      </c>
      <c r="H72" s="444" t="s">
        <v>385</v>
      </c>
      <c r="I72" s="444" t="s">
        <v>386</v>
      </c>
      <c r="J72" s="444" t="s">
        <v>380</v>
      </c>
      <c r="K72" s="444" t="s">
        <v>387</v>
      </c>
      <c r="L72" s="444" t="s">
        <v>1194</v>
      </c>
      <c r="M72" s="444" t="s">
        <v>388</v>
      </c>
      <c r="N72" s="444" t="s">
        <v>389</v>
      </c>
      <c r="O72" s="444" t="s">
        <v>390</v>
      </c>
      <c r="Q72" s="444" t="s">
        <v>391</v>
      </c>
      <c r="ID72" s="72" t="s">
        <v>3346</v>
      </c>
      <c r="IE72" s="72" t="s">
        <v>3347</v>
      </c>
      <c r="IF72" s="71">
        <v>0</v>
      </c>
      <c r="IH72" s="72" t="s">
        <v>3352</v>
      </c>
      <c r="II72" s="72" t="s">
        <v>3353</v>
      </c>
      <c r="IJ72" s="71">
        <v>-10770091.049999999</v>
      </c>
      <c r="IM72" s="72" t="s">
        <v>3348</v>
      </c>
      <c r="IN72" s="72" t="s">
        <v>3349</v>
      </c>
      <c r="IO72" s="71">
        <v>5926529</v>
      </c>
    </row>
    <row r="73" spans="1:254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Q73" s="72"/>
      <c r="ID73" s="72" t="s">
        <v>3355</v>
      </c>
      <c r="IE73" s="72" t="s">
        <v>3356</v>
      </c>
      <c r="IF73" s="71">
        <v>-1111518</v>
      </c>
      <c r="IH73" s="72" t="s">
        <v>3359</v>
      </c>
      <c r="II73" s="72" t="s">
        <v>3360</v>
      </c>
      <c r="IJ73" s="71">
        <v>3958173.16</v>
      </c>
      <c r="IM73" s="72" t="s">
        <v>3357</v>
      </c>
      <c r="IN73" s="72" t="s">
        <v>3358</v>
      </c>
      <c r="IO73" s="71">
        <v>0</v>
      </c>
    </row>
    <row r="74" spans="1:254">
      <c r="D74" s="72" t="s">
        <v>392</v>
      </c>
      <c r="F74" s="72" t="s">
        <v>393</v>
      </c>
      <c r="H74" s="72" t="s">
        <v>394</v>
      </c>
      <c r="I74" s="72" t="s">
        <v>395</v>
      </c>
      <c r="J74" s="72" t="s">
        <v>396</v>
      </c>
      <c r="K74" s="72" t="s">
        <v>397</v>
      </c>
      <c r="L74" s="72" t="s">
        <v>398</v>
      </c>
      <c r="M74" s="72" t="s">
        <v>399</v>
      </c>
      <c r="N74" s="72" t="s">
        <v>400</v>
      </c>
      <c r="ID74" s="72" t="s">
        <v>3361</v>
      </c>
      <c r="IE74" s="72" t="s">
        <v>3362</v>
      </c>
      <c r="IF74" s="71">
        <v>14769612</v>
      </c>
      <c r="IH74" s="72" t="s">
        <v>3365</v>
      </c>
      <c r="II74" s="72" t="s">
        <v>3366</v>
      </c>
      <c r="IJ74" s="71">
        <v>0</v>
      </c>
      <c r="IM74" s="72" t="s">
        <v>3363</v>
      </c>
      <c r="IN74" s="72" t="s">
        <v>3364</v>
      </c>
      <c r="IO74" s="71">
        <v>0</v>
      </c>
    </row>
    <row r="75" spans="1:254">
      <c r="A75" s="72" t="s">
        <v>1910</v>
      </c>
      <c r="B75" s="70">
        <v>-6052779.9000000004</v>
      </c>
      <c r="C75" s="70">
        <v>2278249.25</v>
      </c>
      <c r="D75" s="71">
        <v>-3774530.6500000004</v>
      </c>
      <c r="E75" s="70">
        <v>45438446.880000003</v>
      </c>
      <c r="F75" s="71">
        <v>0</v>
      </c>
      <c r="G75" s="70">
        <v>0</v>
      </c>
      <c r="H75" s="71">
        <v>41663916.230000004</v>
      </c>
      <c r="I75" s="71">
        <v>-92737.620000002906</v>
      </c>
      <c r="J75" s="71">
        <v>41795937.950000003</v>
      </c>
      <c r="K75" s="71">
        <v>41663916.230000004</v>
      </c>
      <c r="L75" s="71">
        <v>28171.47</v>
      </c>
      <c r="M75" s="71">
        <v>103850.24999999881</v>
      </c>
      <c r="N75" s="71">
        <v>103850.25000000291</v>
      </c>
      <c r="O75" s="71">
        <v>-4.1036400943994522E-9</v>
      </c>
      <c r="P75" s="70"/>
      <c r="Q75" s="71">
        <v>1622.5099999940394</v>
      </c>
      <c r="ID75" s="72" t="s">
        <v>3367</v>
      </c>
      <c r="IE75" s="72" t="s">
        <v>3368</v>
      </c>
      <c r="IF75" s="71">
        <v>-15841259</v>
      </c>
      <c r="IH75" s="72" t="s">
        <v>3371</v>
      </c>
      <c r="II75" s="72" t="s">
        <v>3372</v>
      </c>
      <c r="IJ75" s="71">
        <v>0</v>
      </c>
      <c r="IM75" s="72" t="s">
        <v>3369</v>
      </c>
      <c r="IN75" s="72" t="s">
        <v>3370</v>
      </c>
      <c r="IO75" s="71">
        <v>268663560.84766263</v>
      </c>
    </row>
    <row r="76" spans="1:254">
      <c r="A76" s="72" t="s">
        <v>588</v>
      </c>
      <c r="B76" s="70">
        <v>-15160135.130000001</v>
      </c>
      <c r="C76" s="70">
        <v>2296479.08</v>
      </c>
      <c r="D76" s="71">
        <v>-12863656.050000001</v>
      </c>
      <c r="E76" s="70">
        <v>70435608.689999998</v>
      </c>
      <c r="F76" s="71">
        <v>0</v>
      </c>
      <c r="G76" s="70">
        <v>0</v>
      </c>
      <c r="H76" s="71">
        <v>57571952.640000001</v>
      </c>
      <c r="I76" s="71">
        <v>-93506.760000001406</v>
      </c>
      <c r="J76" s="71">
        <v>57636799.609999999</v>
      </c>
      <c r="K76" s="71">
        <v>57571952.640000001</v>
      </c>
      <c r="L76" s="71">
        <v>37919.58</v>
      </c>
      <c r="M76" s="71">
        <v>26927.389999998806</v>
      </c>
      <c r="N76" s="71">
        <v>26927.390000001411</v>
      </c>
      <c r="O76" s="71">
        <v>-2.6047928258776665E-9</v>
      </c>
      <c r="P76" s="70"/>
      <c r="Q76" s="71">
        <v>2112.4000000008964</v>
      </c>
      <c r="ID76" s="72" t="s">
        <v>3374</v>
      </c>
      <c r="IE76" s="72" t="s">
        <v>3375</v>
      </c>
      <c r="IF76" s="71">
        <v>0</v>
      </c>
      <c r="IH76" s="72" t="s">
        <v>3378</v>
      </c>
      <c r="II76" s="72" t="s">
        <v>3379</v>
      </c>
      <c r="IJ76" s="71">
        <v>-6480124</v>
      </c>
      <c r="IM76" s="72" t="s">
        <v>3376</v>
      </c>
      <c r="IN76" s="72" t="s">
        <v>3377</v>
      </c>
      <c r="IO76" s="71">
        <v>5488683</v>
      </c>
    </row>
    <row r="77" spans="1:254">
      <c r="A77" s="72" t="s">
        <v>598</v>
      </c>
      <c r="B77" s="70">
        <v>-13110184.040000003</v>
      </c>
      <c r="C77" s="70">
        <v>4050889.13</v>
      </c>
      <c r="D77" s="71">
        <v>-9059294.9100000039</v>
      </c>
      <c r="E77" s="70">
        <v>78878086.519999996</v>
      </c>
      <c r="F77" s="71">
        <v>0</v>
      </c>
      <c r="G77" s="70">
        <v>0</v>
      </c>
      <c r="H77" s="71">
        <v>69818791.609999985</v>
      </c>
      <c r="I77" s="71">
        <v>-88215.380000015255</v>
      </c>
      <c r="J77" s="71">
        <v>69849067.75</v>
      </c>
      <c r="K77" s="71">
        <v>69818791.609999985</v>
      </c>
      <c r="L77" s="71">
        <v>42744.13</v>
      </c>
      <c r="M77" s="71">
        <v>-12467.9899999845</v>
      </c>
      <c r="N77" s="71">
        <v>-12467.98999998474</v>
      </c>
      <c r="O77" s="71">
        <v>2.4010660126805305E-10</v>
      </c>
      <c r="P77" s="70"/>
      <c r="Q77" s="71">
        <v>3327.4499999979016</v>
      </c>
      <c r="ID77" s="72" t="s">
        <v>3382</v>
      </c>
      <c r="IE77" s="72" t="s">
        <v>3383</v>
      </c>
      <c r="IF77" s="71">
        <v>0</v>
      </c>
      <c r="IH77" s="72" t="s">
        <v>3386</v>
      </c>
      <c r="II77" s="72" t="s">
        <v>3387</v>
      </c>
      <c r="IJ77" s="71">
        <v>4.57767969E-2</v>
      </c>
      <c r="IM77" s="72" t="s">
        <v>3384</v>
      </c>
      <c r="IN77" s="72" t="s">
        <v>3385</v>
      </c>
      <c r="IO77" s="71">
        <v>11428289.352376439</v>
      </c>
    </row>
    <row r="78" spans="1:254">
      <c r="A78" s="72" t="s">
        <v>609</v>
      </c>
      <c r="B78" s="70">
        <v>-2012143.0838753425</v>
      </c>
      <c r="C78" s="70">
        <v>4775303.9000000004</v>
      </c>
      <c r="D78" s="71">
        <v>2763160.8161246581</v>
      </c>
      <c r="E78" s="70">
        <v>68387817.00999999</v>
      </c>
      <c r="F78" s="71">
        <v>0</v>
      </c>
      <c r="G78" s="70">
        <v>0</v>
      </c>
      <c r="H78" s="71">
        <v>71150977.826124653</v>
      </c>
      <c r="I78" s="71">
        <v>473051.42612465611</v>
      </c>
      <c r="J78" s="71">
        <v>70640929.329999998</v>
      </c>
      <c r="K78" s="71">
        <v>71150977.826124653</v>
      </c>
      <c r="L78" s="71">
        <v>46293.3</v>
      </c>
      <c r="M78" s="71">
        <v>-556341.79612465505</v>
      </c>
      <c r="N78" s="71">
        <v>-556341.7961246561</v>
      </c>
      <c r="O78" s="71">
        <v>1.0477378964424133E-9</v>
      </c>
      <c r="Q78" s="71">
        <v>3631.2699999922479</v>
      </c>
      <c r="ID78" s="178" t="s">
        <v>3388</v>
      </c>
      <c r="IE78" s="72" t="s">
        <v>3389</v>
      </c>
      <c r="IF78" s="71">
        <v>0</v>
      </c>
      <c r="IH78" s="72" t="s">
        <v>3392</v>
      </c>
      <c r="II78" s="72" t="s">
        <v>3393</v>
      </c>
      <c r="IJ78" s="71">
        <v>6.3291889399999995E-2</v>
      </c>
      <c r="IM78" s="72" t="s">
        <v>3390</v>
      </c>
      <c r="IN78" s="72" t="s">
        <v>3391</v>
      </c>
      <c r="IO78" s="71">
        <v>9831219.0990493447</v>
      </c>
    </row>
    <row r="79" spans="1:254">
      <c r="A79" s="72" t="s">
        <v>618</v>
      </c>
      <c r="B79" s="70">
        <v>-20688173.432708081</v>
      </c>
      <c r="C79" s="70">
        <v>4387134.6399999997</v>
      </c>
      <c r="D79" s="71">
        <v>-16301038.79270808</v>
      </c>
      <c r="E79" s="70">
        <v>85791694.450000003</v>
      </c>
      <c r="F79" s="71">
        <v>0</v>
      </c>
      <c r="G79" s="70">
        <v>0</v>
      </c>
      <c r="H79" s="71">
        <v>69490655.657291919</v>
      </c>
      <c r="I79" s="71">
        <v>4527.9672919143923</v>
      </c>
      <c r="J79" s="71">
        <v>69361326.430000007</v>
      </c>
      <c r="K79" s="71">
        <v>69490655.657291919</v>
      </c>
      <c r="L79" s="71">
        <v>43996.11</v>
      </c>
      <c r="M79" s="71">
        <v>-173325.33729191183</v>
      </c>
      <c r="N79" s="71">
        <v>-173325.33729191439</v>
      </c>
      <c r="O79" s="71">
        <v>2.5611370801925659E-9</v>
      </c>
      <c r="P79" s="70"/>
      <c r="Q79" s="71">
        <v>3905.9000000020897</v>
      </c>
      <c r="ID79" s="73" t="s">
        <v>3248</v>
      </c>
      <c r="IE79" s="175">
        <v>0</v>
      </c>
      <c r="IF79" s="71">
        <v>0</v>
      </c>
      <c r="IH79" s="72" t="s">
        <v>3396</v>
      </c>
      <c r="II79" s="72" t="s">
        <v>3397</v>
      </c>
      <c r="IJ79" s="71">
        <v>1195182225.8299999</v>
      </c>
      <c r="IM79" s="72" t="s">
        <v>3394</v>
      </c>
      <c r="IN79" s="72" t="s">
        <v>3395</v>
      </c>
      <c r="IO79" s="71">
        <v>0</v>
      </c>
    </row>
    <row r="80" spans="1:254">
      <c r="A80" s="72" t="s">
        <v>629</v>
      </c>
      <c r="B80" s="70">
        <v>-4693993.1500000004</v>
      </c>
      <c r="C80" s="70">
        <v>2167367.84</v>
      </c>
      <c r="D80" s="71">
        <v>-2526625.3100000005</v>
      </c>
      <c r="E80" s="70">
        <v>63947017.219999999</v>
      </c>
      <c r="F80" s="71">
        <v>0</v>
      </c>
      <c r="G80" s="70">
        <v>0</v>
      </c>
      <c r="H80" s="71">
        <v>61420391.909999996</v>
      </c>
      <c r="I80" s="71">
        <v>-310619.31000000332</v>
      </c>
      <c r="J80" s="71">
        <v>61753998.149999999</v>
      </c>
      <c r="K80" s="71">
        <v>61420391.909999996</v>
      </c>
      <c r="L80" s="71">
        <v>40809.300000000003</v>
      </c>
      <c r="M80" s="71">
        <v>292796.9400000021</v>
      </c>
      <c r="N80" s="71">
        <v>292796.94000000332</v>
      </c>
      <c r="O80" s="71">
        <v>-1.2223608791828156E-9</v>
      </c>
      <c r="P80" s="70"/>
      <c r="Q80" s="71">
        <v>3586.8599999997023</v>
      </c>
      <c r="ID80" s="73" t="s">
        <v>3399</v>
      </c>
      <c r="IE80" s="73" t="s">
        <v>3400</v>
      </c>
      <c r="IF80" s="71">
        <v>11619</v>
      </c>
      <c r="IH80" s="72" t="s">
        <v>3403</v>
      </c>
      <c r="II80" s="72" t="s">
        <v>3404</v>
      </c>
      <c r="IJ80" s="71">
        <v>5664735.4399999995</v>
      </c>
      <c r="IM80" s="72" t="s">
        <v>3401</v>
      </c>
      <c r="IN80" s="72" t="s">
        <v>3402</v>
      </c>
      <c r="IO80" s="71">
        <v>0</v>
      </c>
    </row>
    <row r="81" spans="1:254">
      <c r="A81" s="72" t="s">
        <v>639</v>
      </c>
      <c r="B81" s="70">
        <v>-4082532.1</v>
      </c>
      <c r="C81" s="70">
        <v>464619.14</v>
      </c>
      <c r="D81" s="71">
        <v>-3617912.96</v>
      </c>
      <c r="E81" s="70">
        <v>45577039.93</v>
      </c>
      <c r="F81" s="71">
        <v>0</v>
      </c>
      <c r="G81" s="70">
        <v>0</v>
      </c>
      <c r="H81" s="71">
        <v>41959126.969999999</v>
      </c>
      <c r="I81" s="71">
        <v>183600.15999999503</v>
      </c>
      <c r="J81" s="71">
        <v>41805635.450000003</v>
      </c>
      <c r="K81" s="71">
        <v>41959126.969999999</v>
      </c>
      <c r="L81" s="71">
        <v>30861.01</v>
      </c>
      <c r="M81" s="71">
        <v>-184352.52999999584</v>
      </c>
      <c r="N81" s="71">
        <v>-184352.52999999502</v>
      </c>
      <c r="O81" s="71">
        <v>-8.149072527885437E-10</v>
      </c>
      <c r="P81" s="70"/>
      <c r="Q81" s="71">
        <v>5.9844751376658678E-10</v>
      </c>
      <c r="ID81" s="73" t="s">
        <v>3406</v>
      </c>
      <c r="IE81" s="175" t="s">
        <v>3407</v>
      </c>
      <c r="IF81" s="71">
        <v>7098</v>
      </c>
      <c r="IH81" s="72" t="s">
        <v>3410</v>
      </c>
      <c r="II81" s="72" t="s">
        <v>3411</v>
      </c>
      <c r="IJ81" s="71">
        <v>3733242422.1299996</v>
      </c>
      <c r="IM81" s="72" t="s">
        <v>3408</v>
      </c>
      <c r="IN81" s="72" t="s">
        <v>3409</v>
      </c>
      <c r="IO81" s="71">
        <v>1448854</v>
      </c>
    </row>
    <row r="82" spans="1:254">
      <c r="A82" s="72" t="s">
        <v>649</v>
      </c>
      <c r="B82" s="70">
        <v>-5579438.7566909594</v>
      </c>
      <c r="C82" s="70">
        <v>171098.1</v>
      </c>
      <c r="D82" s="71">
        <v>-5408340.6566909598</v>
      </c>
      <c r="E82" s="70">
        <v>46803448.289999999</v>
      </c>
      <c r="F82" s="71">
        <v>0</v>
      </c>
      <c r="G82" s="70">
        <v>0</v>
      </c>
      <c r="H82" s="71">
        <v>41395107.633309036</v>
      </c>
      <c r="I82" s="71">
        <v>-156995.67669096659</v>
      </c>
      <c r="J82" s="71">
        <v>41571070.030000001</v>
      </c>
      <c r="K82" s="71">
        <v>41395107.633309036</v>
      </c>
      <c r="L82" s="71">
        <v>27427.09</v>
      </c>
      <c r="M82" s="71">
        <v>148535.3066909647</v>
      </c>
      <c r="N82" s="71">
        <v>148535.30669096659</v>
      </c>
      <c r="O82" s="71">
        <v>-1.8917489796876907E-9</v>
      </c>
      <c r="P82" s="70"/>
      <c r="Q82" s="71">
        <v>-1.1932570487260818E-9</v>
      </c>
      <c r="ID82" s="73" t="s">
        <v>3406</v>
      </c>
      <c r="IE82" s="175" t="s">
        <v>3413</v>
      </c>
      <c r="IF82" s="71">
        <v>0</v>
      </c>
      <c r="IH82" s="72" t="s">
        <v>3414</v>
      </c>
      <c r="II82" s="72" t="s">
        <v>3415</v>
      </c>
      <c r="IJ82" s="71">
        <v>97998345.260000005</v>
      </c>
      <c r="IM82" s="72" t="s">
        <v>3408</v>
      </c>
      <c r="IN82" s="72" t="s">
        <v>3409</v>
      </c>
      <c r="IO82" s="71">
        <v>1448854</v>
      </c>
    </row>
    <row r="83" spans="1:254">
      <c r="A83" s="72" t="s">
        <v>658</v>
      </c>
      <c r="B83" s="70">
        <v>-4620673.3360167481</v>
      </c>
      <c r="C83" s="70">
        <v>2889766.87</v>
      </c>
      <c r="D83" s="71">
        <v>-1730906.466016748</v>
      </c>
      <c r="E83" s="70">
        <v>58747677.770000003</v>
      </c>
      <c r="F83" s="71">
        <v>0</v>
      </c>
      <c r="G83" s="70">
        <v>0</v>
      </c>
      <c r="H83" s="71">
        <v>57016771.303983256</v>
      </c>
      <c r="I83" s="71">
        <v>118016.59398325766</v>
      </c>
      <c r="J83" s="71">
        <v>56843231.830000006</v>
      </c>
      <c r="K83" s="71">
        <v>57016771.303983256</v>
      </c>
      <c r="L83" s="71">
        <v>36382.480000000003</v>
      </c>
      <c r="M83" s="71">
        <v>-209921.95398325057</v>
      </c>
      <c r="N83" s="71">
        <v>-209921.95398325764</v>
      </c>
      <c r="O83" s="71">
        <v>7.07223080098629E-9</v>
      </c>
      <c r="Q83" s="71">
        <v>4.7584762796759605E-9</v>
      </c>
      <c r="ID83" s="175" t="s">
        <v>3406</v>
      </c>
      <c r="IE83" s="73" t="s">
        <v>3416</v>
      </c>
      <c r="IF83" s="71">
        <v>0</v>
      </c>
      <c r="IH83" s="72" t="s">
        <v>3419</v>
      </c>
      <c r="II83" s="72" t="s">
        <v>3420</v>
      </c>
      <c r="IJ83" s="71">
        <v>86563058.700000003</v>
      </c>
      <c r="IM83" s="72" t="s">
        <v>3417</v>
      </c>
      <c r="IN83" s="72" t="s">
        <v>3418</v>
      </c>
      <c r="IO83" s="71">
        <v>0</v>
      </c>
    </row>
    <row r="84" spans="1:254">
      <c r="A84" s="72" t="s">
        <v>669</v>
      </c>
      <c r="B84" s="70">
        <v>7209166.3244541362</v>
      </c>
      <c r="C84" s="70">
        <v>3823180.02</v>
      </c>
      <c r="D84" s="71">
        <v>11032346.344454136</v>
      </c>
      <c r="E84" s="70">
        <v>44118741.240000002</v>
      </c>
      <c r="F84" s="71">
        <v>0</v>
      </c>
      <c r="G84" s="70">
        <v>0</v>
      </c>
      <c r="H84" s="71">
        <v>55151087.584454134</v>
      </c>
      <c r="I84" s="71">
        <v>315311.23445413262</v>
      </c>
      <c r="J84" s="71">
        <v>54834094.779999994</v>
      </c>
      <c r="K84" s="71">
        <v>55151087.584454134</v>
      </c>
      <c r="L84" s="71">
        <v>33254.19</v>
      </c>
      <c r="M84" s="71">
        <v>-350246.99445414037</v>
      </c>
      <c r="N84" s="71">
        <v>-350246.99445413263</v>
      </c>
      <c r="O84" s="71">
        <v>-7.7416189014911652E-9</v>
      </c>
      <c r="Q84" s="71">
        <v>-7.7488948591053486E-9</v>
      </c>
      <c r="IH84" s="72" t="s">
        <v>3423</v>
      </c>
      <c r="II84" s="72" t="s">
        <v>3424</v>
      </c>
      <c r="IJ84" s="71">
        <v>3380216.45</v>
      </c>
      <c r="IM84" s="72" t="s">
        <v>3421</v>
      </c>
      <c r="IN84" s="72" t="s">
        <v>3422</v>
      </c>
      <c r="IO84" s="71">
        <v>0</v>
      </c>
    </row>
    <row r="85" spans="1:254">
      <c r="A85" s="72" t="s">
        <v>679</v>
      </c>
      <c r="B85" s="70">
        <v>5985728.88110865</v>
      </c>
      <c r="C85" s="70">
        <v>3439601.44</v>
      </c>
      <c r="D85" s="71">
        <v>9425330.3211086504</v>
      </c>
      <c r="E85" s="70">
        <v>36909640.487111226</v>
      </c>
      <c r="F85" s="71">
        <v>0</v>
      </c>
      <c r="G85" s="70">
        <v>0</v>
      </c>
      <c r="H85" s="71">
        <v>46334970.80821988</v>
      </c>
      <c r="I85" s="71">
        <v>12295.118219880853</v>
      </c>
      <c r="J85" s="71">
        <v>46353732.079999998</v>
      </c>
      <c r="K85" s="71">
        <v>46334970.80821988</v>
      </c>
      <c r="L85" s="71">
        <v>29401.15</v>
      </c>
      <c r="M85" s="71">
        <v>-10639.878219881655</v>
      </c>
      <c r="N85" s="71">
        <v>-10639.878219880853</v>
      </c>
      <c r="O85" s="71">
        <v>-8.0217432696372271E-10</v>
      </c>
      <c r="Q85" s="71">
        <v>5.9480953495949507E-10</v>
      </c>
      <c r="ID85" s="72" t="s">
        <v>401</v>
      </c>
      <c r="IH85" s="72" t="s">
        <v>3429</v>
      </c>
      <c r="II85" s="72" t="s">
        <v>3430</v>
      </c>
      <c r="IJ85" s="71">
        <v>6.3291885199999995E-2</v>
      </c>
      <c r="IM85" s="72" t="s">
        <v>3427</v>
      </c>
      <c r="IN85" s="72" t="s">
        <v>3428</v>
      </c>
      <c r="IO85" s="71">
        <v>1227737615</v>
      </c>
    </row>
    <row r="86" spans="1:254">
      <c r="A86" s="72" t="s">
        <v>1557</v>
      </c>
      <c r="B86" s="70">
        <v>-1802322.0361848401</v>
      </c>
      <c r="C86" s="70">
        <v>3615304.9200000004</v>
      </c>
      <c r="D86" s="71">
        <v>1812982.8838151603</v>
      </c>
      <c r="E86" s="70">
        <v>39099495.270000003</v>
      </c>
      <c r="F86" s="71">
        <v>0</v>
      </c>
      <c r="G86" s="70">
        <v>0</v>
      </c>
      <c r="H86" s="71">
        <v>40912478.153815165</v>
      </c>
      <c r="I86" s="71">
        <v>-66880.136184833944</v>
      </c>
      <c r="J86" s="71">
        <v>40986319.25</v>
      </c>
      <c r="K86" s="71">
        <v>40912478.153815165</v>
      </c>
      <c r="L86" s="71">
        <v>27224.720000000001</v>
      </c>
      <c r="M86" s="71">
        <v>46616.376184834837</v>
      </c>
      <c r="N86" s="71">
        <v>46616.376184833942</v>
      </c>
      <c r="O86" s="71">
        <v>8.9494278654456139E-10</v>
      </c>
      <c r="P86" s="70"/>
      <c r="Q86" s="71">
        <v>8.9494278654456139E-10</v>
      </c>
      <c r="ID86" s="72" t="s">
        <v>3432</v>
      </c>
      <c r="IH86" s="72" t="s">
        <v>3434</v>
      </c>
      <c r="II86" s="72" t="s">
        <v>3435</v>
      </c>
      <c r="IJ86" s="71">
        <v>11428289.352376439</v>
      </c>
      <c r="IM86" s="72" t="s">
        <v>3433</v>
      </c>
      <c r="IN86" s="72" t="s">
        <v>883</v>
      </c>
      <c r="IO86" s="71">
        <v>5797177.4799999995</v>
      </c>
    </row>
    <row r="87" spans="1:254"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ID87" s="72" t="s">
        <v>402</v>
      </c>
      <c r="IH87" s="72" t="s">
        <v>3440</v>
      </c>
      <c r="II87" s="72" t="s">
        <v>3441</v>
      </c>
      <c r="IJ87" s="71">
        <v>-109097627.02195776</v>
      </c>
      <c r="IM87" s="72" t="s">
        <v>3438</v>
      </c>
      <c r="IN87" s="72" t="s">
        <v>3439</v>
      </c>
      <c r="IO87" s="71">
        <v>2300162.79</v>
      </c>
    </row>
    <row r="88" spans="1:254" ht="12.75" thickBot="1">
      <c r="A88" s="72" t="s">
        <v>3712</v>
      </c>
      <c r="B88" s="448">
        <v>-64607479.759913191</v>
      </c>
      <c r="C88" s="448">
        <v>34358994.330000006</v>
      </c>
      <c r="D88" s="448">
        <v>-30248485.429913189</v>
      </c>
      <c r="E88" s="448">
        <v>684134713.75711119</v>
      </c>
      <c r="F88" s="448">
        <v>0</v>
      </c>
      <c r="G88" s="448">
        <v>0</v>
      </c>
      <c r="H88" s="448">
        <v>653886228.32719803</v>
      </c>
      <c r="I88" s="448">
        <v>297847.61719801323</v>
      </c>
      <c r="J88" s="448">
        <v>653432142.63999999</v>
      </c>
      <c r="K88" s="448">
        <v>653886228.32719803</v>
      </c>
      <c r="L88" s="448">
        <v>424484.53</v>
      </c>
      <c r="M88" s="448">
        <v>-878570.21719802066</v>
      </c>
      <c r="N88" s="448">
        <v>-878570.21719801321</v>
      </c>
      <c r="O88" s="448">
        <v>-7.3650880949571729E-9</v>
      </c>
      <c r="ID88" s="72" t="s">
        <v>403</v>
      </c>
      <c r="IH88" s="72" t="s">
        <v>895</v>
      </c>
      <c r="II88" s="72" t="s">
        <v>3447</v>
      </c>
      <c r="IJ88" s="71">
        <v>-8530473.1799999997</v>
      </c>
      <c r="IM88" s="72" t="s">
        <v>3445</v>
      </c>
      <c r="IN88" s="72" t="s">
        <v>3446</v>
      </c>
      <c r="IO88" s="71">
        <v>2281115.0734389164</v>
      </c>
    </row>
    <row r="89" spans="1:254" ht="12.75" thickTop="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IH89" s="72" t="s">
        <v>3451</v>
      </c>
      <c r="II89" s="72" t="s">
        <v>3452</v>
      </c>
      <c r="IJ89" s="71">
        <v>0</v>
      </c>
      <c r="IM89" s="72" t="s">
        <v>3449</v>
      </c>
      <c r="IN89" s="72" t="s">
        <v>3450</v>
      </c>
      <c r="IO89" s="71">
        <v>-1103695</v>
      </c>
    </row>
    <row r="90" spans="1:254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ID90" s="72" t="s">
        <v>404</v>
      </c>
      <c r="IH90" s="72" t="s">
        <v>3456</v>
      </c>
      <c r="II90" s="72" t="s">
        <v>3457</v>
      </c>
      <c r="IJ90" s="71">
        <v>0</v>
      </c>
      <c r="IM90" s="72" t="s">
        <v>3455</v>
      </c>
      <c r="IN90" s="72" t="s">
        <v>628</v>
      </c>
      <c r="IO90" s="71">
        <v>0</v>
      </c>
    </row>
    <row r="91" spans="1:254">
      <c r="H91" s="170" t="s">
        <v>405</v>
      </c>
      <c r="K91" s="457" t="s">
        <v>406</v>
      </c>
      <c r="L91" s="458"/>
      <c r="M91" s="458"/>
      <c r="O91" s="183" t="s">
        <v>2581</v>
      </c>
      <c r="IH91" s="72" t="s">
        <v>3460</v>
      </c>
      <c r="II91" s="72" t="s">
        <v>3461</v>
      </c>
      <c r="IJ91" s="71">
        <v>0</v>
      </c>
      <c r="IM91" s="72" t="s">
        <v>3459</v>
      </c>
      <c r="IN91" s="72" t="s">
        <v>689</v>
      </c>
      <c r="IO91" s="71">
        <v>0</v>
      </c>
    </row>
    <row r="92" spans="1:254">
      <c r="B92" s="72" t="s">
        <v>407</v>
      </c>
      <c r="C92" s="72" t="s">
        <v>408</v>
      </c>
      <c r="D92" s="72" t="s">
        <v>409</v>
      </c>
      <c r="E92" s="72" t="s">
        <v>410</v>
      </c>
      <c r="F92" s="72" t="s">
        <v>411</v>
      </c>
      <c r="G92" s="72" t="s">
        <v>412</v>
      </c>
      <c r="H92" s="73" t="s">
        <v>413</v>
      </c>
      <c r="I92" s="449"/>
      <c r="J92" s="183" t="s">
        <v>414</v>
      </c>
      <c r="K92" s="443"/>
      <c r="L92" s="443"/>
      <c r="M92" s="443"/>
      <c r="N92" s="183" t="s">
        <v>415</v>
      </c>
      <c r="O92" s="183" t="s">
        <v>416</v>
      </c>
      <c r="IH92" s="72" t="s">
        <v>3464</v>
      </c>
      <c r="II92" s="72" t="s">
        <v>3465</v>
      </c>
      <c r="IJ92" s="71">
        <v>0</v>
      </c>
      <c r="IM92" s="72" t="s">
        <v>3463</v>
      </c>
      <c r="IN92" s="72" t="s">
        <v>698</v>
      </c>
      <c r="IO92" s="71">
        <v>0</v>
      </c>
    </row>
    <row r="93" spans="1:254">
      <c r="B93" s="72" t="s">
        <v>368</v>
      </c>
      <c r="C93" s="72" t="s">
        <v>417</v>
      </c>
      <c r="D93" s="72" t="s">
        <v>417</v>
      </c>
      <c r="E93" s="72" t="s">
        <v>1922</v>
      </c>
      <c r="F93" s="72" t="s">
        <v>1922</v>
      </c>
      <c r="G93" s="72" t="s">
        <v>321</v>
      </c>
      <c r="I93" s="449"/>
      <c r="K93" s="183" t="s">
        <v>418</v>
      </c>
      <c r="L93" s="183" t="s">
        <v>419</v>
      </c>
      <c r="M93" s="183" t="s">
        <v>420</v>
      </c>
      <c r="O93" s="183" t="s">
        <v>421</v>
      </c>
      <c r="IH93" s="178" t="s">
        <v>3468</v>
      </c>
      <c r="II93" s="459" t="s">
        <v>3469</v>
      </c>
      <c r="IJ93" s="71">
        <v>434014545.26000005</v>
      </c>
      <c r="IM93" s="72" t="s">
        <v>3467</v>
      </c>
      <c r="IN93" s="72" t="s">
        <v>678</v>
      </c>
      <c r="IO93" s="71">
        <v>0</v>
      </c>
    </row>
    <row r="94" spans="1:254">
      <c r="B94" s="72" t="s">
        <v>367</v>
      </c>
      <c r="C94" s="72" t="s">
        <v>281</v>
      </c>
      <c r="D94" s="72" t="s">
        <v>422</v>
      </c>
      <c r="E94" s="72" t="s">
        <v>423</v>
      </c>
      <c r="F94" s="72" t="s">
        <v>423</v>
      </c>
      <c r="G94" s="72" t="s">
        <v>423</v>
      </c>
      <c r="H94" s="72" t="s">
        <v>281</v>
      </c>
      <c r="I94" s="176"/>
      <c r="J94" s="183" t="s">
        <v>424</v>
      </c>
      <c r="K94" s="183" t="s">
        <v>425</v>
      </c>
      <c r="L94" s="183" t="s">
        <v>426</v>
      </c>
      <c r="M94" s="183" t="s">
        <v>427</v>
      </c>
      <c r="O94" s="183" t="s">
        <v>428</v>
      </c>
      <c r="IH94" s="178" t="s">
        <v>3473</v>
      </c>
      <c r="II94" s="459" t="s">
        <v>3474</v>
      </c>
      <c r="IJ94" s="71">
        <v>26175334</v>
      </c>
      <c r="IM94" s="72" t="s">
        <v>3471</v>
      </c>
      <c r="IN94" s="72" t="s">
        <v>3472</v>
      </c>
      <c r="IO94" s="71">
        <v>0</v>
      </c>
    </row>
    <row r="95" spans="1:254">
      <c r="B95" s="444" t="s">
        <v>375</v>
      </c>
      <c r="C95" s="444" t="s">
        <v>291</v>
      </c>
      <c r="D95" s="444" t="s">
        <v>380</v>
      </c>
      <c r="E95" s="458"/>
      <c r="F95" s="444" t="s">
        <v>429</v>
      </c>
      <c r="G95" s="458"/>
      <c r="H95" s="444" t="s">
        <v>291</v>
      </c>
      <c r="I95" s="458"/>
      <c r="J95" s="452" t="s">
        <v>1365</v>
      </c>
      <c r="K95" s="452" t="s">
        <v>430</v>
      </c>
      <c r="L95" s="452" t="s">
        <v>2669</v>
      </c>
      <c r="M95" s="452" t="s">
        <v>431</v>
      </c>
      <c r="N95" s="452" t="s">
        <v>416</v>
      </c>
      <c r="O95" s="452" t="s">
        <v>432</v>
      </c>
      <c r="IH95" s="178" t="s">
        <v>3477</v>
      </c>
      <c r="II95" s="459" t="s">
        <v>3478</v>
      </c>
      <c r="IJ95" s="71">
        <v>101576487</v>
      </c>
      <c r="IM95" s="72" t="s">
        <v>3475</v>
      </c>
      <c r="IN95" s="72" t="s">
        <v>3476</v>
      </c>
      <c r="IO95" s="71">
        <v>0</v>
      </c>
      <c r="IT95" s="179"/>
    </row>
    <row r="96" spans="1:254">
      <c r="B96" s="72"/>
      <c r="C96" s="72"/>
      <c r="D96" s="72"/>
      <c r="E96" s="72"/>
      <c r="F96" s="72"/>
      <c r="G96" s="72"/>
      <c r="J96" s="72"/>
      <c r="K96" s="72"/>
      <c r="L96" s="72"/>
      <c r="M96" s="72"/>
      <c r="N96" s="72"/>
      <c r="O96" s="72"/>
      <c r="IH96" s="178" t="s">
        <v>1558</v>
      </c>
      <c r="II96" s="459" t="s">
        <v>3481</v>
      </c>
      <c r="IJ96" s="71">
        <v>9503466</v>
      </c>
      <c r="IM96" s="72" t="s">
        <v>3480</v>
      </c>
      <c r="IN96" s="72" t="s">
        <v>668</v>
      </c>
      <c r="IO96" s="71">
        <v>0</v>
      </c>
      <c r="IT96" s="179"/>
    </row>
    <row r="97" spans="1:254">
      <c r="F97" s="72" t="s">
        <v>433</v>
      </c>
      <c r="G97" s="72" t="s">
        <v>434</v>
      </c>
      <c r="O97" s="183" t="s">
        <v>435</v>
      </c>
      <c r="IH97" s="178" t="s">
        <v>3485</v>
      </c>
      <c r="II97" s="459" t="s">
        <v>3486</v>
      </c>
      <c r="IJ97" s="71">
        <v>36773990</v>
      </c>
      <c r="IM97" s="72" t="s">
        <v>436</v>
      </c>
      <c r="IN97" s="72" t="s">
        <v>3484</v>
      </c>
      <c r="IO97" s="71">
        <v>16628.541232215564</v>
      </c>
      <c r="IT97" s="179"/>
    </row>
    <row r="98" spans="1:254">
      <c r="A98" s="72" t="s">
        <v>1910</v>
      </c>
      <c r="B98" s="70">
        <v>79923.830000000075</v>
      </c>
      <c r="C98" s="70">
        <v>-1744.17</v>
      </c>
      <c r="D98" s="70">
        <v>0</v>
      </c>
      <c r="E98" s="80">
        <v>0.96781300000000003</v>
      </c>
      <c r="F98" s="74">
        <v>0.96916793820000013</v>
      </c>
      <c r="G98" s="74">
        <v>3.2186999999999966E-2</v>
      </c>
      <c r="H98" s="177"/>
      <c r="I98" s="78"/>
      <c r="J98" s="70">
        <v>44004556.880000003</v>
      </c>
      <c r="K98" s="70">
        <v>0</v>
      </c>
      <c r="L98" s="70">
        <v>0</v>
      </c>
      <c r="M98" s="70">
        <v>0</v>
      </c>
      <c r="N98" s="71">
        <v>44004556.880000003</v>
      </c>
      <c r="O98" s="71">
        <v>41663916</v>
      </c>
      <c r="IH98" s="178" t="s">
        <v>3489</v>
      </c>
      <c r="II98" s="459" t="s">
        <v>3490</v>
      </c>
      <c r="IJ98" s="71">
        <v>21351166</v>
      </c>
      <c r="IM98" s="72" t="s">
        <v>437</v>
      </c>
      <c r="IN98" s="72" t="s">
        <v>3488</v>
      </c>
      <c r="IO98" s="71">
        <v>325474.38117101946</v>
      </c>
    </row>
    <row r="99" spans="1:254">
      <c r="A99" s="72" t="s">
        <v>588</v>
      </c>
      <c r="B99" s="70">
        <v>302650.06</v>
      </c>
      <c r="C99" s="70">
        <v>78464.78</v>
      </c>
      <c r="D99" s="70">
        <v>0</v>
      </c>
      <c r="E99" s="80">
        <v>0.968634</v>
      </c>
      <c r="F99" s="74">
        <v>0.96999008760000005</v>
      </c>
      <c r="G99" s="74">
        <v>3.1366000000000005E-2</v>
      </c>
      <c r="H99" s="177"/>
      <c r="I99" s="78"/>
      <c r="J99" s="70">
        <v>68883190.689999998</v>
      </c>
      <c r="K99" s="70">
        <v>0</v>
      </c>
      <c r="L99" s="70">
        <v>0</v>
      </c>
      <c r="M99" s="70">
        <v>0</v>
      </c>
      <c r="N99" s="71">
        <v>68883190.689999998</v>
      </c>
      <c r="O99" s="71">
        <v>57571953</v>
      </c>
      <c r="IH99" s="178" t="s">
        <v>438</v>
      </c>
      <c r="II99" s="459" t="s">
        <v>3495</v>
      </c>
      <c r="IJ99" s="71">
        <v>0</v>
      </c>
      <c r="IM99" s="72" t="s">
        <v>3492</v>
      </c>
      <c r="IN99" s="72" t="s">
        <v>3493</v>
      </c>
      <c r="IO99" s="71">
        <v>264605092.82494095</v>
      </c>
    </row>
    <row r="100" spans="1:254">
      <c r="A100" s="72" t="s">
        <v>598</v>
      </c>
      <c r="B100" s="70">
        <v>501334.99</v>
      </c>
      <c r="C100" s="70">
        <v>113751.75</v>
      </c>
      <c r="D100" s="70">
        <v>0</v>
      </c>
      <c r="E100" s="80">
        <v>0.96796400000000005</v>
      </c>
      <c r="F100" s="74">
        <v>0.9693191496000001</v>
      </c>
      <c r="G100" s="74">
        <v>3.2035999999999953E-2</v>
      </c>
      <c r="H100" s="177"/>
      <c r="I100" s="78"/>
      <c r="J100" s="70">
        <v>77548722.519999996</v>
      </c>
      <c r="K100" s="70">
        <v>0</v>
      </c>
      <c r="L100" s="70">
        <v>0</v>
      </c>
      <c r="M100" s="70">
        <v>0</v>
      </c>
      <c r="N100" s="71">
        <v>77548722.519999996</v>
      </c>
      <c r="O100" s="71">
        <v>69818792</v>
      </c>
      <c r="IH100" s="178" t="s">
        <v>3498</v>
      </c>
      <c r="II100" s="459" t="s">
        <v>3499</v>
      </c>
      <c r="IJ100" s="71">
        <v>13882343</v>
      </c>
      <c r="IM100" s="72" t="s">
        <v>3496</v>
      </c>
      <c r="IN100" s="72" t="s">
        <v>3497</v>
      </c>
      <c r="IO100" s="71">
        <v>361323729.6856367</v>
      </c>
    </row>
    <row r="101" spans="1:254">
      <c r="A101" s="72" t="s">
        <v>609</v>
      </c>
      <c r="B101" s="70">
        <v>508097.76</v>
      </c>
      <c r="C101" s="70">
        <v>95701.169999999911</v>
      </c>
      <c r="D101" s="70">
        <v>0</v>
      </c>
      <c r="E101" s="80">
        <v>0.96879499999999996</v>
      </c>
      <c r="F101" s="74">
        <v>0.97015131300000002</v>
      </c>
      <c r="G101" s="74">
        <v>3.1205000000000038E-2</v>
      </c>
      <c r="H101" s="177"/>
      <c r="I101" s="78"/>
      <c r="J101" s="70">
        <v>66705003.009999998</v>
      </c>
      <c r="K101" s="70">
        <v>0</v>
      </c>
      <c r="L101" s="70">
        <v>0</v>
      </c>
      <c r="M101" s="70">
        <v>0</v>
      </c>
      <c r="N101" s="71">
        <v>66705003.009999998</v>
      </c>
      <c r="O101" s="71">
        <v>71150978</v>
      </c>
      <c r="IH101" s="178" t="s">
        <v>3504</v>
      </c>
      <c r="II101" s="459" t="s">
        <v>3505</v>
      </c>
      <c r="IJ101" s="71">
        <v>756924</v>
      </c>
      <c r="IM101" s="72" t="s">
        <v>3502</v>
      </c>
      <c r="IN101" s="72" t="s">
        <v>3503</v>
      </c>
      <c r="IO101" s="71">
        <v>-103459628.46230771</v>
      </c>
    </row>
    <row r="102" spans="1:254">
      <c r="A102" s="72" t="s">
        <v>618</v>
      </c>
      <c r="B102" s="70">
        <v>413259.14</v>
      </c>
      <c r="C102" s="70">
        <v>184229.52</v>
      </c>
      <c r="D102" s="70">
        <v>0</v>
      </c>
      <c r="E102" s="80">
        <v>0.96738900000000005</v>
      </c>
      <c r="F102" s="74">
        <v>0.96874334460000011</v>
      </c>
      <c r="G102" s="74">
        <v>3.2610999999999946E-2</v>
      </c>
      <c r="H102" s="177"/>
      <c r="I102" s="78"/>
      <c r="J102" s="70">
        <v>84055156.450000003</v>
      </c>
      <c r="K102" s="70">
        <v>0</v>
      </c>
      <c r="L102" s="70">
        <v>0</v>
      </c>
      <c r="M102" s="70">
        <v>0</v>
      </c>
      <c r="N102" s="71">
        <v>84055156.450000003</v>
      </c>
      <c r="O102" s="71">
        <v>69490656</v>
      </c>
      <c r="IH102" s="178" t="s">
        <v>3509</v>
      </c>
      <c r="II102" s="459" t="s">
        <v>3510</v>
      </c>
      <c r="IJ102" s="71">
        <v>65462737</v>
      </c>
      <c r="IM102" s="72" t="s">
        <v>3507</v>
      </c>
      <c r="IN102" s="72" t="s">
        <v>3508</v>
      </c>
      <c r="IO102" s="71">
        <v>-105282720.02</v>
      </c>
    </row>
    <row r="103" spans="1:254">
      <c r="A103" s="72" t="s">
        <v>629</v>
      </c>
      <c r="B103" s="70">
        <v>326176.75</v>
      </c>
      <c r="C103" s="70">
        <v>28142.139999999941</v>
      </c>
      <c r="D103" s="70">
        <v>0</v>
      </c>
      <c r="E103" s="80">
        <v>0.9681820000000001</v>
      </c>
      <c r="F103" s="74">
        <v>0.9695374548000002</v>
      </c>
      <c r="G103" s="74">
        <v>3.1817999999999902E-2</v>
      </c>
      <c r="H103" s="177"/>
      <c r="I103" s="78"/>
      <c r="J103" s="70">
        <v>62147847.219999999</v>
      </c>
      <c r="K103" s="70">
        <v>0</v>
      </c>
      <c r="L103" s="70">
        <v>0</v>
      </c>
      <c r="M103" s="70">
        <v>0</v>
      </c>
      <c r="N103" s="71">
        <v>62147847.219999999</v>
      </c>
      <c r="O103" s="71">
        <v>61420392</v>
      </c>
      <c r="IH103" s="178" t="s">
        <v>1617</v>
      </c>
      <c r="II103" s="459" t="s">
        <v>3514</v>
      </c>
      <c r="IJ103" s="71">
        <v>77980748</v>
      </c>
      <c r="IM103" s="72" t="s">
        <v>3512</v>
      </c>
      <c r="IN103" s="72" t="s">
        <v>3513</v>
      </c>
      <c r="IO103" s="71">
        <v>5754077.557692308</v>
      </c>
    </row>
    <row r="104" spans="1:254">
      <c r="A104" s="72" t="s">
        <v>639</v>
      </c>
      <c r="B104" s="70">
        <v>203603.20000000001</v>
      </c>
      <c r="C104" s="70">
        <v>10517.13</v>
      </c>
      <c r="D104" s="70">
        <v>0</v>
      </c>
      <c r="E104" s="80">
        <v>0.96763999999999994</v>
      </c>
      <c r="F104" s="74">
        <v>0.96899469599999999</v>
      </c>
      <c r="G104" s="74">
        <v>3.2360000000000055E-2</v>
      </c>
      <c r="H104" s="177"/>
      <c r="I104" s="78"/>
      <c r="J104" s="70">
        <v>43735579.93</v>
      </c>
      <c r="K104" s="70">
        <v>0</v>
      </c>
      <c r="L104" s="70">
        <v>0</v>
      </c>
      <c r="M104" s="70">
        <v>0</v>
      </c>
      <c r="N104" s="71">
        <v>43735579.93</v>
      </c>
      <c r="O104" s="71">
        <v>41959127</v>
      </c>
      <c r="IH104" s="178" t="s">
        <v>2669</v>
      </c>
      <c r="II104" s="459" t="s">
        <v>3518</v>
      </c>
      <c r="IJ104" s="71">
        <v>5135148</v>
      </c>
      <c r="IM104" s="72" t="s">
        <v>3516</v>
      </c>
      <c r="IN104" s="72" t="s">
        <v>3517</v>
      </c>
      <c r="IO104" s="71">
        <v>5797177.4799999995</v>
      </c>
      <c r="IT104" s="179"/>
    </row>
    <row r="105" spans="1:254">
      <c r="A105" s="72" t="s">
        <v>649</v>
      </c>
      <c r="B105" s="70">
        <v>193641.71</v>
      </c>
      <c r="C105" s="70">
        <v>18527.91</v>
      </c>
      <c r="D105" s="70">
        <v>0</v>
      </c>
      <c r="E105" s="80">
        <v>0.96531499999999992</v>
      </c>
      <c r="F105" s="74">
        <v>0.96666644099999999</v>
      </c>
      <c r="G105" s="74">
        <v>3.4685000000000077E-2</v>
      </c>
      <c r="H105" s="177"/>
      <c r="I105" s="78"/>
      <c r="J105" s="70">
        <v>45047480.289999999</v>
      </c>
      <c r="K105" s="70">
        <v>0</v>
      </c>
      <c r="L105" s="70">
        <v>0</v>
      </c>
      <c r="M105" s="70">
        <v>0</v>
      </c>
      <c r="N105" s="71">
        <v>45047480.289999999</v>
      </c>
      <c r="O105" s="71">
        <v>41395108</v>
      </c>
      <c r="IH105" s="178" t="s">
        <v>3522</v>
      </c>
      <c r="II105" s="459" t="s">
        <v>3523</v>
      </c>
      <c r="IJ105" s="71">
        <v>-1133805</v>
      </c>
      <c r="IM105" s="72" t="s">
        <v>3520</v>
      </c>
      <c r="IN105" s="72" t="s">
        <v>3521</v>
      </c>
      <c r="IO105" s="71">
        <v>2088659.4784615384</v>
      </c>
      <c r="IT105" s="179"/>
    </row>
    <row r="106" spans="1:254">
      <c r="A106" s="72" t="s">
        <v>658</v>
      </c>
      <c r="B106" s="70">
        <v>298203.73</v>
      </c>
      <c r="C106" s="70">
        <v>105213.3</v>
      </c>
      <c r="D106" s="70">
        <v>0</v>
      </c>
      <c r="E106" s="80">
        <v>0.96309500000000003</v>
      </c>
      <c r="F106" s="74">
        <v>0.96444333300000007</v>
      </c>
      <c r="G106" s="74">
        <v>3.6904999999999966E-2</v>
      </c>
      <c r="H106" s="177"/>
      <c r="I106" s="78"/>
      <c r="J106" s="70">
        <v>57736759.770000003</v>
      </c>
      <c r="K106" s="70">
        <v>0</v>
      </c>
      <c r="L106" s="70">
        <v>0</v>
      </c>
      <c r="M106" s="70">
        <v>0</v>
      </c>
      <c r="N106" s="71">
        <v>57736759.770000003</v>
      </c>
      <c r="O106" s="71">
        <v>57016771</v>
      </c>
      <c r="IH106" s="178" t="s">
        <v>3527</v>
      </c>
      <c r="II106" s="459" t="s">
        <v>3528</v>
      </c>
      <c r="IJ106" s="71">
        <v>25910860</v>
      </c>
      <c r="IM106" s="72" t="s">
        <v>3525</v>
      </c>
      <c r="IN106" s="72" t="s">
        <v>3526</v>
      </c>
      <c r="IO106" s="71">
        <v>2300162.79</v>
      </c>
      <c r="IT106" s="179"/>
    </row>
    <row r="107" spans="1:254">
      <c r="A107" s="72" t="s">
        <v>669</v>
      </c>
      <c r="B107" s="70">
        <v>40765.179999999818</v>
      </c>
      <c r="C107" s="70">
        <v>43421.03</v>
      </c>
      <c r="D107" s="70">
        <v>0</v>
      </c>
      <c r="E107" s="80">
        <v>0.96232399999999996</v>
      </c>
      <c r="F107" s="74">
        <v>0.96367125360000006</v>
      </c>
      <c r="G107" s="74">
        <v>3.7676000000000043E-2</v>
      </c>
      <c r="H107" s="177"/>
      <c r="I107" s="78"/>
      <c r="J107" s="70">
        <v>43002115.240000002</v>
      </c>
      <c r="K107" s="70">
        <v>0</v>
      </c>
      <c r="L107" s="70">
        <v>0</v>
      </c>
      <c r="M107" s="70">
        <v>0</v>
      </c>
      <c r="N107" s="71">
        <v>43002115.240000002</v>
      </c>
      <c r="O107" s="71">
        <v>55151088</v>
      </c>
      <c r="IH107" s="178" t="s">
        <v>2663</v>
      </c>
      <c r="II107" s="459" t="s">
        <v>3534</v>
      </c>
      <c r="IJ107" s="71">
        <v>20894831</v>
      </c>
      <c r="IM107" s="72" t="s">
        <v>3532</v>
      </c>
      <c r="IN107" s="72" t="s">
        <v>3533</v>
      </c>
      <c r="IO107" s="71">
        <v>1850652.182950807</v>
      </c>
    </row>
    <row r="108" spans="1:254">
      <c r="A108" s="72" t="s">
        <v>679</v>
      </c>
      <c r="B108" s="70">
        <v>243422.29</v>
      </c>
      <c r="C108" s="70">
        <v>5367.75</v>
      </c>
      <c r="D108" s="70">
        <v>0</v>
      </c>
      <c r="E108" s="80">
        <v>0.96759799999999996</v>
      </c>
      <c r="F108" s="74">
        <v>0.96895263720000002</v>
      </c>
      <c r="G108" s="74">
        <v>3.2402000000000042E-2</v>
      </c>
      <c r="H108" s="177"/>
      <c r="I108" s="78"/>
      <c r="J108" s="70">
        <v>35707613.487111226</v>
      </c>
      <c r="K108" s="70">
        <v>0</v>
      </c>
      <c r="L108" s="70">
        <v>0</v>
      </c>
      <c r="M108" s="70">
        <v>0</v>
      </c>
      <c r="N108" s="71">
        <v>35707613.487111226</v>
      </c>
      <c r="O108" s="71">
        <v>46334971</v>
      </c>
      <c r="IH108" s="178" t="s">
        <v>3536</v>
      </c>
      <c r="II108" s="459" t="s">
        <v>3537</v>
      </c>
      <c r="IJ108" s="71">
        <v>6085943</v>
      </c>
      <c r="IM108" s="72" t="s">
        <v>3535</v>
      </c>
      <c r="IN108" s="72" t="s">
        <v>846</v>
      </c>
      <c r="IO108" s="71">
        <v>2281115.0734389164</v>
      </c>
    </row>
    <row r="109" spans="1:254">
      <c r="A109" s="72" t="s">
        <v>1557</v>
      </c>
      <c r="B109" s="70">
        <v>179571.36</v>
      </c>
      <c r="C109" s="70">
        <v>28020.52</v>
      </c>
      <c r="D109" s="70">
        <v>0</v>
      </c>
      <c r="E109" s="80">
        <v>0.96762900000000007</v>
      </c>
      <c r="F109" s="74">
        <v>0.96898368060000017</v>
      </c>
      <c r="G109" s="74">
        <v>3.2370999999999928E-2</v>
      </c>
      <c r="H109" s="177"/>
      <c r="I109" s="78"/>
      <c r="J109" s="70">
        <v>37668992.270000003</v>
      </c>
      <c r="K109" s="70">
        <v>0</v>
      </c>
      <c r="L109" s="70">
        <v>0</v>
      </c>
      <c r="M109" s="70">
        <v>0</v>
      </c>
      <c r="N109" s="71">
        <v>37668992.270000003</v>
      </c>
      <c r="O109" s="71">
        <v>40912478</v>
      </c>
      <c r="IH109" s="178" t="s">
        <v>3541</v>
      </c>
      <c r="II109" s="459" t="s">
        <v>3542</v>
      </c>
      <c r="IJ109" s="71">
        <v>662318915.20076466</v>
      </c>
      <c r="IM109" s="72" t="s">
        <v>3539</v>
      </c>
      <c r="IN109" s="72" t="s">
        <v>3540</v>
      </c>
      <c r="IO109" s="71">
        <v>-1585512</v>
      </c>
    </row>
    <row r="110" spans="1:254">
      <c r="B110" s="447"/>
      <c r="C110" s="447"/>
      <c r="D110" s="447"/>
      <c r="E110" s="74"/>
      <c r="F110" s="74"/>
      <c r="H110" s="74"/>
      <c r="J110" s="447"/>
      <c r="K110" s="447"/>
      <c r="L110" s="447"/>
      <c r="M110" s="447"/>
      <c r="N110" s="447"/>
      <c r="O110" s="447"/>
      <c r="IH110" s="178" t="s">
        <v>2573</v>
      </c>
      <c r="II110" s="459" t="s">
        <v>3546</v>
      </c>
      <c r="IJ110" s="71">
        <v>16531399</v>
      </c>
      <c r="IM110" s="72" t="s">
        <v>3544</v>
      </c>
      <c r="IN110" s="72" t="s">
        <v>3545</v>
      </c>
      <c r="IO110" s="71">
        <v>-2575553.1414129599</v>
      </c>
    </row>
    <row r="111" spans="1:254" ht="12.75" thickBot="1">
      <c r="B111" s="448">
        <v>3290650</v>
      </c>
      <c r="C111" s="448">
        <v>709612.83</v>
      </c>
      <c r="D111" s="448">
        <v>0</v>
      </c>
      <c r="E111" s="74"/>
      <c r="F111" s="74"/>
      <c r="H111" s="460"/>
      <c r="J111" s="448">
        <v>666243017.75711119</v>
      </c>
      <c r="K111" s="448">
        <v>0</v>
      </c>
      <c r="L111" s="448">
        <v>0</v>
      </c>
      <c r="M111" s="448">
        <v>0</v>
      </c>
      <c r="N111" s="448">
        <v>666243017.75711119</v>
      </c>
      <c r="O111" s="448">
        <v>653886230</v>
      </c>
      <c r="IH111" s="178" t="s">
        <v>2574</v>
      </c>
      <c r="II111" s="459" t="s">
        <v>3547</v>
      </c>
      <c r="IJ111" s="71">
        <v>53369489</v>
      </c>
    </row>
    <row r="112" spans="1:254" ht="13.5" thickTop="1" thickBot="1">
      <c r="B112" s="72"/>
      <c r="C112" s="72"/>
      <c r="D112" s="72"/>
      <c r="E112" s="74"/>
      <c r="F112" s="74"/>
      <c r="H112" s="461"/>
      <c r="J112" s="72"/>
      <c r="K112" s="72"/>
      <c r="L112" s="72"/>
      <c r="M112" s="72"/>
      <c r="N112" s="72"/>
      <c r="O112" s="72"/>
      <c r="IH112" s="178" t="s">
        <v>2575</v>
      </c>
      <c r="II112" s="459" t="s">
        <v>3549</v>
      </c>
      <c r="IJ112" s="71">
        <v>22179914</v>
      </c>
    </row>
    <row r="113" spans="1:254" ht="12.75" thickTop="1">
      <c r="B113" s="70"/>
      <c r="C113" s="70"/>
      <c r="D113" s="70"/>
      <c r="E113" s="456"/>
      <c r="F113" s="80"/>
      <c r="H113" s="462"/>
      <c r="J113" s="181" t="s">
        <v>439</v>
      </c>
      <c r="K113" s="181" t="s">
        <v>440</v>
      </c>
      <c r="L113" s="181" t="s">
        <v>441</v>
      </c>
      <c r="M113" s="181" t="s">
        <v>442</v>
      </c>
      <c r="N113" s="182"/>
      <c r="O113" s="182"/>
      <c r="IH113" s="178" t="s">
        <v>3553</v>
      </c>
      <c r="II113" s="459" t="s">
        <v>3554</v>
      </c>
      <c r="IJ113" s="71">
        <v>0</v>
      </c>
    </row>
    <row r="114" spans="1:254">
      <c r="E114" s="175"/>
      <c r="F114" s="74"/>
      <c r="G114" s="78"/>
      <c r="H114" s="462"/>
      <c r="IH114" s="178" t="s">
        <v>3555</v>
      </c>
      <c r="II114" s="459" t="s">
        <v>3556</v>
      </c>
      <c r="IJ114" s="71">
        <v>201584961</v>
      </c>
      <c r="IT114" s="179"/>
    </row>
    <row r="115" spans="1:254">
      <c r="E115" s="175"/>
      <c r="F115" s="74"/>
      <c r="G115" s="78"/>
      <c r="H115" s="462"/>
      <c r="IH115" s="178" t="s">
        <v>2576</v>
      </c>
      <c r="II115" s="459" t="s">
        <v>3558</v>
      </c>
      <c r="IJ115" s="71">
        <v>602338018</v>
      </c>
      <c r="IM115" s="72" t="s">
        <v>443</v>
      </c>
      <c r="IN115" s="72" t="s">
        <v>3587</v>
      </c>
      <c r="IO115" s="71">
        <v>261726489.90307695</v>
      </c>
    </row>
    <row r="116" spans="1:254">
      <c r="F116" s="74"/>
      <c r="G116" s="78"/>
      <c r="H116" s="462"/>
      <c r="IH116" s="178" t="s">
        <v>3561</v>
      </c>
      <c r="II116" s="459" t="s">
        <v>3562</v>
      </c>
      <c r="IJ116" s="71">
        <v>4245758</v>
      </c>
      <c r="IM116" s="72" t="s">
        <v>444</v>
      </c>
      <c r="IN116" s="72" t="s">
        <v>955</v>
      </c>
      <c r="IO116" s="71">
        <v>2878602.9218640001</v>
      </c>
    </row>
    <row r="117" spans="1:254">
      <c r="F117" s="463"/>
      <c r="G117" s="78"/>
      <c r="H117" s="462"/>
      <c r="IH117" s="72" t="s">
        <v>3564</v>
      </c>
      <c r="II117" s="72" t="s">
        <v>3565</v>
      </c>
      <c r="IJ117" s="71">
        <v>261726490</v>
      </c>
      <c r="IM117" s="72" t="s">
        <v>445</v>
      </c>
      <c r="IN117" s="72" t="s">
        <v>963</v>
      </c>
      <c r="IO117" s="71">
        <v>-103459628.46230771</v>
      </c>
    </row>
    <row r="118" spans="1:254">
      <c r="A118" s="72" t="s">
        <v>2583</v>
      </c>
      <c r="F118" s="74"/>
      <c r="H118" s="462"/>
      <c r="IH118" s="72" t="s">
        <v>3567</v>
      </c>
      <c r="II118" s="72" t="s">
        <v>3568</v>
      </c>
      <c r="IJ118" s="71">
        <v>-103459628</v>
      </c>
      <c r="IM118" s="72" t="s">
        <v>446</v>
      </c>
      <c r="IN118" s="72" t="s">
        <v>993</v>
      </c>
      <c r="IO118" s="71">
        <v>0</v>
      </c>
    </row>
    <row r="119" spans="1:254">
      <c r="H119" s="462"/>
      <c r="IH119" s="72" t="s">
        <v>3569</v>
      </c>
      <c r="II119" s="72" t="s">
        <v>3570</v>
      </c>
      <c r="IJ119" s="71">
        <v>0</v>
      </c>
      <c r="IM119" s="72" t="s">
        <v>447</v>
      </c>
      <c r="IN119" s="72" t="s">
        <v>997</v>
      </c>
      <c r="IO119" s="71">
        <v>0</v>
      </c>
    </row>
    <row r="120" spans="1:254">
      <c r="H120" s="462"/>
      <c r="IH120" s="72" t="s">
        <v>3571</v>
      </c>
      <c r="II120" s="72" t="s">
        <v>3572</v>
      </c>
      <c r="IJ120" s="71">
        <v>0</v>
      </c>
      <c r="IM120" s="72" t="s">
        <v>448</v>
      </c>
      <c r="IN120" s="72" t="s">
        <v>3513</v>
      </c>
      <c r="IO120" s="71">
        <v>5754077.557692308</v>
      </c>
    </row>
    <row r="121" spans="1:254">
      <c r="A121" s="72" t="s">
        <v>2155</v>
      </c>
      <c r="IH121" s="72" t="s">
        <v>3574</v>
      </c>
      <c r="II121" s="72" t="s">
        <v>3575</v>
      </c>
      <c r="IJ121" s="71">
        <v>0</v>
      </c>
      <c r="IM121" s="72" t="s">
        <v>449</v>
      </c>
      <c r="IN121" s="72" t="s">
        <v>972</v>
      </c>
      <c r="IO121" s="71">
        <v>2088659.4784615384</v>
      </c>
    </row>
    <row r="122" spans="1:254">
      <c r="A122" s="72" t="s">
        <v>450</v>
      </c>
      <c r="IH122" s="72" t="s">
        <v>3578</v>
      </c>
      <c r="II122" s="72" t="s">
        <v>3579</v>
      </c>
      <c r="IJ122" s="71">
        <v>0</v>
      </c>
      <c r="IM122" s="72" t="s">
        <v>451</v>
      </c>
      <c r="IN122" s="72" t="s">
        <v>3533</v>
      </c>
      <c r="IO122" s="71">
        <v>1850652.182950807</v>
      </c>
    </row>
    <row r="123" spans="1:254">
      <c r="A123" s="72" t="s">
        <v>452</v>
      </c>
      <c r="IH123" s="72" t="s">
        <v>3583</v>
      </c>
      <c r="II123" s="72" t="s">
        <v>3584</v>
      </c>
      <c r="IJ123" s="71">
        <v>0</v>
      </c>
      <c r="IM123" s="72" t="s">
        <v>453</v>
      </c>
      <c r="IN123" s="72" t="s">
        <v>454</v>
      </c>
      <c r="IO123" s="71">
        <v>-1585512</v>
      </c>
    </row>
    <row r="124" spans="1:254">
      <c r="A124" s="72" t="s">
        <v>2587</v>
      </c>
      <c r="IH124" s="72" t="s">
        <v>3588</v>
      </c>
      <c r="II124" s="72" t="s">
        <v>3589</v>
      </c>
      <c r="IJ124" s="71">
        <v>358173130.94</v>
      </c>
      <c r="IM124" s="72" t="s">
        <v>455</v>
      </c>
      <c r="IN124" s="72" t="s">
        <v>1001</v>
      </c>
      <c r="IO124" s="71">
        <v>0</v>
      </c>
    </row>
    <row r="125" spans="1:254">
      <c r="A125" s="72" t="s">
        <v>456</v>
      </c>
      <c r="IH125" s="72" t="s">
        <v>952</v>
      </c>
      <c r="II125" s="72" t="s">
        <v>953</v>
      </c>
      <c r="IJ125" s="71">
        <v>-105282720.02</v>
      </c>
      <c r="IM125" s="72" t="s">
        <v>457</v>
      </c>
      <c r="IN125" s="72" t="s">
        <v>1006</v>
      </c>
      <c r="IO125" s="71">
        <v>0</v>
      </c>
    </row>
    <row r="126" spans="1:254">
      <c r="A126" s="72" t="s">
        <v>1557</v>
      </c>
      <c r="IH126" s="72" t="s">
        <v>956</v>
      </c>
      <c r="II126" s="72" t="s">
        <v>957</v>
      </c>
      <c r="IJ126" s="71">
        <v>0</v>
      </c>
      <c r="IM126" s="72" t="s">
        <v>978</v>
      </c>
      <c r="IN126" s="72" t="s">
        <v>797</v>
      </c>
      <c r="IO126" s="71">
        <v>-105282720.02</v>
      </c>
    </row>
    <row r="127" spans="1:254">
      <c r="IH127" s="72" t="s">
        <v>960</v>
      </c>
      <c r="II127" s="72" t="s">
        <v>961</v>
      </c>
      <c r="IJ127" s="71">
        <v>0</v>
      </c>
      <c r="IM127" s="72" t="s">
        <v>458</v>
      </c>
      <c r="IN127" s="72" t="s">
        <v>857</v>
      </c>
      <c r="IO127" s="71">
        <v>0</v>
      </c>
    </row>
    <row r="128" spans="1:254">
      <c r="A128" s="72" t="s">
        <v>2345</v>
      </c>
      <c r="B128" s="183" t="s">
        <v>100</v>
      </c>
      <c r="C128" s="183" t="s">
        <v>101</v>
      </c>
      <c r="D128" s="183" t="s">
        <v>102</v>
      </c>
      <c r="E128" s="183" t="s">
        <v>103</v>
      </c>
      <c r="F128" s="72" t="s">
        <v>459</v>
      </c>
      <c r="G128" s="183" t="s">
        <v>104</v>
      </c>
      <c r="H128" s="183" t="s">
        <v>105</v>
      </c>
      <c r="I128" s="183" t="s">
        <v>106</v>
      </c>
      <c r="J128" s="183" t="s">
        <v>107</v>
      </c>
      <c r="IH128" s="72" t="s">
        <v>964</v>
      </c>
      <c r="II128" s="72" t="s">
        <v>965</v>
      </c>
      <c r="IJ128" s="71">
        <v>0</v>
      </c>
      <c r="IM128" s="72" t="s">
        <v>460</v>
      </c>
      <c r="IN128" s="72" t="s">
        <v>1013</v>
      </c>
      <c r="IO128" s="71">
        <v>0</v>
      </c>
    </row>
    <row r="129" spans="1:254">
      <c r="A129" s="72" t="s">
        <v>3538</v>
      </c>
      <c r="E129" s="183" t="s">
        <v>461</v>
      </c>
      <c r="F129" s="443" t="s">
        <v>1583</v>
      </c>
      <c r="J129" s="183" t="s">
        <v>461</v>
      </c>
      <c r="IH129" s="72" t="s">
        <v>967</v>
      </c>
      <c r="II129" s="72" t="s">
        <v>968</v>
      </c>
      <c r="IJ129" s="71">
        <v>0</v>
      </c>
      <c r="IM129" s="72" t="s">
        <v>462</v>
      </c>
      <c r="IN129" s="72" t="s">
        <v>3517</v>
      </c>
      <c r="IO129" s="71">
        <v>5797177.4799999995</v>
      </c>
    </row>
    <row r="130" spans="1:254">
      <c r="B130" s="183" t="s">
        <v>2345</v>
      </c>
      <c r="D130" s="183" t="s">
        <v>1985</v>
      </c>
      <c r="E130" s="183" t="s">
        <v>1996</v>
      </c>
      <c r="G130" s="183" t="s">
        <v>459</v>
      </c>
      <c r="I130" s="183" t="s">
        <v>1985</v>
      </c>
      <c r="J130" s="183" t="s">
        <v>1996</v>
      </c>
      <c r="IH130" s="72" t="s">
        <v>973</v>
      </c>
      <c r="II130" s="72" t="s">
        <v>974</v>
      </c>
      <c r="IJ130" s="71">
        <v>0</v>
      </c>
      <c r="IM130" s="72" t="s">
        <v>463</v>
      </c>
      <c r="IN130" s="72" t="s">
        <v>751</v>
      </c>
      <c r="IO130" s="71">
        <v>2300162.79</v>
      </c>
    </row>
    <row r="131" spans="1:254">
      <c r="B131" s="72" t="s">
        <v>288</v>
      </c>
      <c r="C131" s="72" t="s">
        <v>387</v>
      </c>
      <c r="D131" s="183" t="s">
        <v>1098</v>
      </c>
      <c r="E131" s="183" t="s">
        <v>464</v>
      </c>
      <c r="G131" s="183" t="s">
        <v>2666</v>
      </c>
      <c r="H131" s="183" t="s">
        <v>2674</v>
      </c>
      <c r="I131" s="183" t="s">
        <v>1098</v>
      </c>
      <c r="J131" s="183" t="s">
        <v>465</v>
      </c>
      <c r="IH131" s="72" t="s">
        <v>976</v>
      </c>
      <c r="II131" s="72" t="s">
        <v>977</v>
      </c>
      <c r="IJ131" s="71">
        <v>18069477.220136665</v>
      </c>
      <c r="IM131" s="72" t="s">
        <v>466</v>
      </c>
      <c r="IN131" s="72" t="s">
        <v>846</v>
      </c>
      <c r="IO131" s="71">
        <v>2281115.0734389164</v>
      </c>
    </row>
    <row r="132" spans="1:254">
      <c r="IH132" s="72" t="s">
        <v>979</v>
      </c>
      <c r="II132" s="72" t="s">
        <v>980</v>
      </c>
      <c r="IJ132" s="71">
        <v>-332483</v>
      </c>
      <c r="IM132" s="72" t="s">
        <v>467</v>
      </c>
      <c r="IN132" s="72" t="s">
        <v>468</v>
      </c>
      <c r="IO132" s="71">
        <v>-2575553.1414129599</v>
      </c>
    </row>
    <row r="133" spans="1:254">
      <c r="A133" s="72" t="s">
        <v>1910</v>
      </c>
      <c r="B133" s="70">
        <v>799032.38</v>
      </c>
      <c r="C133" s="75">
        <v>835733.75</v>
      </c>
      <c r="D133" s="70">
        <v>535.62</v>
      </c>
      <c r="E133" s="75">
        <v>84986.5</v>
      </c>
      <c r="F133" s="70">
        <v>47749.51</v>
      </c>
      <c r="G133" s="75">
        <v>3037028.05</v>
      </c>
      <c r="H133" s="75">
        <v>797594.65</v>
      </c>
      <c r="I133" s="75">
        <v>2186.6601959999998</v>
      </c>
      <c r="J133" s="75">
        <v>-2076388</v>
      </c>
      <c r="K133" s="70"/>
      <c r="IH133" s="72" t="s">
        <v>982</v>
      </c>
      <c r="II133" s="72" t="s">
        <v>983</v>
      </c>
      <c r="IJ133" s="71">
        <v>1080878</v>
      </c>
      <c r="IM133" s="72" t="s">
        <v>469</v>
      </c>
      <c r="IN133" s="72" t="s">
        <v>1017</v>
      </c>
      <c r="IO133" s="71">
        <v>0</v>
      </c>
    </row>
    <row r="134" spans="1:254">
      <c r="A134" s="72" t="s">
        <v>588</v>
      </c>
      <c r="B134" s="70">
        <v>1065883.05</v>
      </c>
      <c r="C134" s="75">
        <v>785059.18</v>
      </c>
      <c r="D134" s="70">
        <v>725.33</v>
      </c>
      <c r="E134" s="75">
        <v>-232307.21</v>
      </c>
      <c r="F134" s="70">
        <v>47791.329999999987</v>
      </c>
      <c r="G134" s="75">
        <v>4177164.19</v>
      </c>
      <c r="H134" s="75">
        <v>2038393.99</v>
      </c>
      <c r="I134" s="75">
        <v>3007.5582168000005</v>
      </c>
      <c r="J134" s="75">
        <v>-2019310.63</v>
      </c>
      <c r="K134" s="70"/>
      <c r="IH134" s="72" t="s">
        <v>986</v>
      </c>
      <c r="II134" s="72" t="s">
        <v>987</v>
      </c>
      <c r="IJ134" s="71">
        <v>6323273.3998633325</v>
      </c>
      <c r="IM134" s="72" t="s">
        <v>470</v>
      </c>
      <c r="IN134" s="72" t="s">
        <v>1021</v>
      </c>
      <c r="IO134" s="71">
        <v>0</v>
      </c>
    </row>
    <row r="135" spans="1:254">
      <c r="A135" s="72" t="s">
        <v>598</v>
      </c>
      <c r="B135" s="70">
        <v>1215247.07</v>
      </c>
      <c r="C135" s="75">
        <v>833434.07</v>
      </c>
      <c r="D135" s="70">
        <v>823.77</v>
      </c>
      <c r="E135" s="75">
        <v>-333113.88</v>
      </c>
      <c r="F135" s="70">
        <v>47875.350000000093</v>
      </c>
      <c r="G135" s="75">
        <v>4831256.12</v>
      </c>
      <c r="H135" s="75">
        <v>7372582.7773040002</v>
      </c>
      <c r="I135" s="75">
        <v>3478.5044064000003</v>
      </c>
      <c r="J135" s="75">
        <v>2470581</v>
      </c>
      <c r="K135" s="70"/>
      <c r="IH135" s="72" t="s">
        <v>990</v>
      </c>
      <c r="II135" s="72" t="s">
        <v>991</v>
      </c>
      <c r="IJ135" s="71">
        <v>29079897.899999999</v>
      </c>
      <c r="IM135" s="72" t="s">
        <v>471</v>
      </c>
      <c r="IN135" s="72" t="s">
        <v>951</v>
      </c>
      <c r="IO135" s="71">
        <v>358173130.94</v>
      </c>
    </row>
    <row r="136" spans="1:254">
      <c r="A136" s="72" t="s">
        <v>609</v>
      </c>
      <c r="B136" s="70">
        <v>1311341.8700000001</v>
      </c>
      <c r="C136" s="75">
        <v>793134.32</v>
      </c>
      <c r="D136" s="70">
        <v>891.8</v>
      </c>
      <c r="E136" s="75">
        <v>-469417.43</v>
      </c>
      <c r="F136" s="70">
        <v>47898.320000000182</v>
      </c>
      <c r="G136" s="75">
        <v>5221731.63</v>
      </c>
      <c r="H136" s="75">
        <v>12830223.260000004</v>
      </c>
      <c r="I136" s="75">
        <v>3759.6467736</v>
      </c>
      <c r="J136" s="75">
        <v>7342540</v>
      </c>
      <c r="K136" s="70"/>
      <c r="IH136" s="72" t="s">
        <v>994</v>
      </c>
      <c r="II136" s="72" t="s">
        <v>995</v>
      </c>
      <c r="IJ136" s="71">
        <v>7478137.209999999</v>
      </c>
      <c r="IM136" s="72" t="s">
        <v>472</v>
      </c>
      <c r="IN136" s="72" t="s">
        <v>820</v>
      </c>
      <c r="IO136" s="71">
        <v>3150598.7456367076</v>
      </c>
    </row>
    <row r="137" spans="1:254">
      <c r="A137" s="72" t="s">
        <v>618</v>
      </c>
      <c r="B137" s="70">
        <v>1252834.77</v>
      </c>
      <c r="C137" s="75">
        <v>769666.04</v>
      </c>
      <c r="D137" s="70">
        <v>847.24</v>
      </c>
      <c r="E137" s="75">
        <v>-434572.68</v>
      </c>
      <c r="F137" s="70">
        <v>47748.81</v>
      </c>
      <c r="G137" s="75">
        <v>4963352.2300000004</v>
      </c>
      <c r="H137" s="75">
        <v>8543530.8300000019</v>
      </c>
      <c r="I137" s="75">
        <v>3573.6136056000005</v>
      </c>
      <c r="J137" s="75">
        <v>3467423</v>
      </c>
      <c r="K137" s="70"/>
      <c r="IH137" s="72" t="s">
        <v>998</v>
      </c>
      <c r="II137" s="72" t="s">
        <v>999</v>
      </c>
      <c r="IJ137" s="71">
        <v>55662411.979863338</v>
      </c>
      <c r="IM137" s="72" t="s">
        <v>978</v>
      </c>
      <c r="IN137" s="72" t="s">
        <v>797</v>
      </c>
      <c r="IO137" s="71">
        <v>-105282720.02</v>
      </c>
    </row>
    <row r="138" spans="1:254">
      <c r="A138" s="72" t="s">
        <v>629</v>
      </c>
      <c r="B138" s="70">
        <v>1162726.19</v>
      </c>
      <c r="C138" s="75">
        <v>764349.71</v>
      </c>
      <c r="D138" s="70">
        <v>784.6</v>
      </c>
      <c r="E138" s="75">
        <v>-349758.23</v>
      </c>
      <c r="F138" s="70">
        <v>47833.650000000023</v>
      </c>
      <c r="G138" s="75">
        <v>4576462.8499999996</v>
      </c>
      <c r="H138" s="75">
        <v>6445742.6295999996</v>
      </c>
      <c r="I138" s="75">
        <v>3295.0532520000002</v>
      </c>
      <c r="J138" s="75">
        <v>1831279</v>
      </c>
      <c r="K138" s="70"/>
      <c r="IH138" s="72" t="s">
        <v>1002</v>
      </c>
      <c r="II138" s="72" t="s">
        <v>1003</v>
      </c>
      <c r="IJ138" s="71">
        <v>5484279.8000000007</v>
      </c>
      <c r="IM138" s="72" t="s">
        <v>458</v>
      </c>
      <c r="IN138" s="72" t="s">
        <v>857</v>
      </c>
      <c r="IO138" s="71">
        <v>0</v>
      </c>
    </row>
    <row r="139" spans="1:254">
      <c r="A139" s="72" t="s">
        <v>639</v>
      </c>
      <c r="B139" s="70">
        <v>885009.52</v>
      </c>
      <c r="C139" s="75">
        <v>821398.27</v>
      </c>
      <c r="D139" s="70">
        <v>589.4</v>
      </c>
      <c r="E139" s="75">
        <v>-14987.23</v>
      </c>
      <c r="F139" s="70">
        <v>48034.619999999995</v>
      </c>
      <c r="G139" s="75">
        <v>3380435.36</v>
      </c>
      <c r="H139" s="75">
        <v>1849604.68</v>
      </c>
      <c r="I139" s="75">
        <v>2433.9134592</v>
      </c>
      <c r="J139" s="75">
        <v>-1422623.45</v>
      </c>
      <c r="K139" s="70"/>
      <c r="IH139" s="72" t="s">
        <v>1007</v>
      </c>
      <c r="II139" s="72" t="s">
        <v>1008</v>
      </c>
      <c r="IJ139" s="71">
        <v>74929</v>
      </c>
      <c r="IM139" s="72" t="s">
        <v>460</v>
      </c>
      <c r="IN139" s="72" t="s">
        <v>1013</v>
      </c>
      <c r="IO139" s="71">
        <v>0</v>
      </c>
    </row>
    <row r="140" spans="1:254">
      <c r="A140" s="72" t="s">
        <v>649</v>
      </c>
      <c r="B140" s="70">
        <v>782454.67</v>
      </c>
      <c r="C140" s="75">
        <v>899970.14</v>
      </c>
      <c r="D140" s="70">
        <v>522.13</v>
      </c>
      <c r="E140" s="75">
        <v>166542.57999999999</v>
      </c>
      <c r="F140" s="70">
        <v>48504.98000000001</v>
      </c>
      <c r="G140" s="75">
        <v>2966462.04</v>
      </c>
      <c r="H140" s="75">
        <v>1443629.7</v>
      </c>
      <c r="I140" s="75">
        <v>2135.8526688000002</v>
      </c>
      <c r="J140" s="75">
        <v>-1384864</v>
      </c>
      <c r="K140" s="70"/>
      <c r="IH140" s="72" t="s">
        <v>1010</v>
      </c>
      <c r="II140" s="72" t="s">
        <v>1011</v>
      </c>
      <c r="IJ140" s="71">
        <v>22804541.40986333</v>
      </c>
      <c r="IM140" s="72" t="s">
        <v>473</v>
      </c>
      <c r="IN140" s="72" t="s">
        <v>474</v>
      </c>
      <c r="IO140" s="180">
        <v>2361578</v>
      </c>
    </row>
    <row r="141" spans="1:254">
      <c r="A141" s="72" t="s">
        <v>658</v>
      </c>
      <c r="B141" s="70">
        <v>926753.79</v>
      </c>
      <c r="C141" s="75">
        <v>1147362.55</v>
      </c>
      <c r="D141" s="70">
        <v>626.95000000000005</v>
      </c>
      <c r="E141" s="75">
        <v>270173.94</v>
      </c>
      <c r="F141" s="70">
        <v>48938.229999999981</v>
      </c>
      <c r="G141" s="75">
        <v>4099888.74</v>
      </c>
      <c r="H141" s="75">
        <v>1170918.9809919999</v>
      </c>
      <c r="I141" s="75">
        <v>2951.9198928000005</v>
      </c>
      <c r="J141" s="75">
        <v>-2758993</v>
      </c>
      <c r="K141" s="70"/>
      <c r="IH141" s="72" t="s">
        <v>475</v>
      </c>
      <c r="II141" s="72" t="s">
        <v>1015</v>
      </c>
      <c r="IJ141" s="71">
        <v>0</v>
      </c>
      <c r="IO141" s="180"/>
    </row>
    <row r="142" spans="1:254">
      <c r="A142" s="72" t="s">
        <v>669</v>
      </c>
      <c r="B142" s="70">
        <v>750899.27</v>
      </c>
      <c r="C142" s="75">
        <v>743687.75</v>
      </c>
      <c r="D142" s="70">
        <v>498.54</v>
      </c>
      <c r="E142" s="75">
        <v>42178.9</v>
      </c>
      <c r="F142" s="70">
        <v>48891.880000000019</v>
      </c>
      <c r="G142" s="75">
        <v>3795542.01</v>
      </c>
      <c r="H142" s="75">
        <v>2136821.73</v>
      </c>
      <c r="I142" s="75">
        <v>2732.7902472000001</v>
      </c>
      <c r="J142" s="75">
        <v>-1542507.92</v>
      </c>
      <c r="K142" s="70"/>
      <c r="IH142" s="72" t="s">
        <v>1018</v>
      </c>
      <c r="II142" s="72" t="s">
        <v>1019</v>
      </c>
      <c r="IJ142" s="71">
        <v>-31705134.799999997</v>
      </c>
      <c r="IT142" s="179"/>
    </row>
    <row r="143" spans="1:254">
      <c r="A143" s="72" t="s">
        <v>679</v>
      </c>
      <c r="B143" s="70">
        <v>663040.19999999995</v>
      </c>
      <c r="C143" s="75">
        <v>864587.04</v>
      </c>
      <c r="D143" s="70">
        <v>436.78</v>
      </c>
      <c r="E143" s="75">
        <v>251136.53</v>
      </c>
      <c r="F143" s="70">
        <v>49152.909999999916</v>
      </c>
      <c r="G143" s="75">
        <v>3279472.63</v>
      </c>
      <c r="H143" s="75">
        <v>1631247.83</v>
      </c>
      <c r="I143" s="75">
        <v>2361.2202935999999</v>
      </c>
      <c r="J143" s="75">
        <v>-1514435</v>
      </c>
      <c r="K143" s="70"/>
      <c r="IH143" s="72" t="s">
        <v>476</v>
      </c>
      <c r="II143" s="72" t="s">
        <v>1023</v>
      </c>
      <c r="IJ143" s="71">
        <v>-98610966.966629371</v>
      </c>
    </row>
    <row r="144" spans="1:254">
      <c r="A144" s="72" t="s">
        <v>1557</v>
      </c>
      <c r="B144" s="70">
        <v>611757.71000000008</v>
      </c>
      <c r="C144" s="75">
        <v>779081.01</v>
      </c>
      <c r="D144" s="70">
        <v>402.31</v>
      </c>
      <c r="E144" s="75">
        <v>216887.98</v>
      </c>
      <c r="F144" s="70">
        <v>49162.370000000083</v>
      </c>
      <c r="G144" s="75">
        <v>2947329.31</v>
      </c>
      <c r="H144" s="75">
        <v>1334161.78</v>
      </c>
      <c r="I144" s="75">
        <v>2122.0771032000007</v>
      </c>
      <c r="J144" s="75">
        <v>-1469037.23</v>
      </c>
      <c r="K144" s="70"/>
      <c r="IH144" s="72" t="s">
        <v>1025</v>
      </c>
      <c r="II144" s="72" t="s">
        <v>1026</v>
      </c>
      <c r="IJ144" s="71">
        <v>0</v>
      </c>
    </row>
    <row r="145" spans="1:244">
      <c r="B145" s="447"/>
      <c r="C145" s="447"/>
      <c r="D145" s="447"/>
      <c r="E145" s="464"/>
      <c r="F145" s="70"/>
      <c r="G145" s="465"/>
      <c r="H145" s="465"/>
      <c r="I145" s="465"/>
      <c r="J145" s="465"/>
      <c r="IH145" s="72" t="s">
        <v>1029</v>
      </c>
      <c r="II145" s="72" t="s">
        <v>1030</v>
      </c>
      <c r="IJ145" s="71">
        <v>0</v>
      </c>
    </row>
    <row r="146" spans="1:244">
      <c r="B146" s="181" t="s">
        <v>477</v>
      </c>
      <c r="C146" s="181" t="s">
        <v>478</v>
      </c>
      <c r="D146" s="181" t="s">
        <v>479</v>
      </c>
      <c r="E146" s="181" t="s">
        <v>480</v>
      </c>
      <c r="F146" s="182"/>
      <c r="G146" s="181" t="s">
        <v>481</v>
      </c>
      <c r="H146" s="181" t="s">
        <v>482</v>
      </c>
      <c r="I146" s="181" t="s">
        <v>483</v>
      </c>
      <c r="J146" s="181" t="s">
        <v>484</v>
      </c>
      <c r="IH146" s="72" t="s">
        <v>1031</v>
      </c>
      <c r="II146" s="72" t="s">
        <v>1032</v>
      </c>
      <c r="IJ146" s="71">
        <v>0</v>
      </c>
    </row>
    <row r="147" spans="1:244" ht="12.75" thickBot="1">
      <c r="A147" s="72" t="s">
        <v>3712</v>
      </c>
      <c r="B147" s="448">
        <v>11426980.489999998</v>
      </c>
      <c r="C147" s="448">
        <v>10037463.83</v>
      </c>
      <c r="D147" s="448">
        <v>7684.47</v>
      </c>
      <c r="E147" s="448">
        <v>-802250.23</v>
      </c>
      <c r="F147" s="70"/>
      <c r="G147" s="448">
        <v>47276125.160000004</v>
      </c>
      <c r="H147" s="448">
        <v>47594452.837895997</v>
      </c>
      <c r="I147" s="448">
        <v>34038.810115200002</v>
      </c>
      <c r="J147" s="448">
        <v>923663.77000000188</v>
      </c>
      <c r="L147" s="71">
        <v>210831570.31999999</v>
      </c>
      <c r="M147" s="72" t="s">
        <v>485</v>
      </c>
      <c r="IH147" s="72" t="s">
        <v>1034</v>
      </c>
      <c r="II147" s="72" t="s">
        <v>1035</v>
      </c>
      <c r="IJ147" s="71">
        <v>0</v>
      </c>
    </row>
    <row r="148" spans="1:244" ht="12.75" thickTop="1">
      <c r="B148" s="466"/>
      <c r="C148" s="466"/>
      <c r="D148" s="466"/>
      <c r="E148" s="466"/>
      <c r="F148" s="70"/>
      <c r="G148" s="467"/>
      <c r="H148" s="467"/>
      <c r="I148" s="467"/>
      <c r="J148" s="467"/>
      <c r="L148" s="71">
        <v>2266728.6500000018</v>
      </c>
      <c r="M148" s="72" t="s">
        <v>486</v>
      </c>
      <c r="IH148" s="72" t="s">
        <v>1036</v>
      </c>
      <c r="II148" s="72" t="s">
        <v>1037</v>
      </c>
      <c r="IJ148" s="71">
        <v>709612.83</v>
      </c>
    </row>
    <row r="149" spans="1:244">
      <c r="B149" s="468"/>
      <c r="C149" s="468"/>
      <c r="D149" s="468"/>
      <c r="E149" s="469" t="s">
        <v>2342</v>
      </c>
      <c r="F149" s="182"/>
      <c r="G149" s="468"/>
      <c r="H149" s="468"/>
      <c r="I149" s="468"/>
      <c r="J149" s="469"/>
      <c r="IH149" s="72" t="s">
        <v>487</v>
      </c>
      <c r="II149" s="72" t="s">
        <v>488</v>
      </c>
      <c r="IJ149" s="71">
        <v>4245845.6499999994</v>
      </c>
    </row>
    <row r="150" spans="1:244">
      <c r="F150" s="70"/>
      <c r="L150" s="70">
        <v>2145315.11</v>
      </c>
      <c r="M150" s="72" t="s">
        <v>489</v>
      </c>
      <c r="IH150" s="72" t="s">
        <v>490</v>
      </c>
      <c r="II150" s="72" t="s">
        <v>491</v>
      </c>
      <c r="IJ150" s="71">
        <v>-47796383.419999994</v>
      </c>
    </row>
    <row r="151" spans="1:244">
      <c r="F151" s="70"/>
      <c r="L151" s="70">
        <v>152128464.66999999</v>
      </c>
      <c r="M151" s="72" t="s">
        <v>492</v>
      </c>
      <c r="IH151" s="72" t="s">
        <v>493</v>
      </c>
      <c r="II151" s="72" t="s">
        <v>494</v>
      </c>
      <c r="IJ151" s="71">
        <v>-109532.49456240002</v>
      </c>
    </row>
    <row r="152" spans="1:244">
      <c r="F152" s="70"/>
      <c r="IH152" s="72" t="s">
        <v>2611</v>
      </c>
      <c r="II152" s="72" t="s">
        <v>495</v>
      </c>
      <c r="IJ152" s="71">
        <v>81625087</v>
      </c>
    </row>
    <row r="153" spans="1:244">
      <c r="F153" s="70"/>
      <c r="IH153" s="72" t="s">
        <v>496</v>
      </c>
      <c r="II153" s="72" t="s">
        <v>3613</v>
      </c>
      <c r="IJ153" s="71">
        <v>-856518610.87124264</v>
      </c>
    </row>
    <row r="154" spans="1:244">
      <c r="F154" s="70"/>
      <c r="IH154" s="72" t="s">
        <v>3614</v>
      </c>
      <c r="II154" s="72" t="s">
        <v>3615</v>
      </c>
      <c r="IJ154" s="71">
        <v>-46304320.534307264</v>
      </c>
    </row>
    <row r="155" spans="1:244">
      <c r="A155" s="72" t="s">
        <v>3616</v>
      </c>
      <c r="F155" s="70"/>
      <c r="IH155" s="72" t="s">
        <v>3617</v>
      </c>
      <c r="II155" s="72" t="s">
        <v>3618</v>
      </c>
      <c r="IJ155" s="71">
        <v>4819648.9800000004</v>
      </c>
    </row>
    <row r="156" spans="1:244">
      <c r="A156" s="72" t="s">
        <v>3619</v>
      </c>
      <c r="IH156" s="72" t="s">
        <v>3620</v>
      </c>
      <c r="II156" s="72" t="s">
        <v>3621</v>
      </c>
      <c r="IJ156" s="71">
        <v>-864956828.29000008</v>
      </c>
    </row>
    <row r="157" spans="1:244">
      <c r="A157" s="72" t="s">
        <v>3622</v>
      </c>
      <c r="IH157" s="72" t="s">
        <v>3623</v>
      </c>
      <c r="II157" s="72" t="s">
        <v>3624</v>
      </c>
      <c r="IJ157" s="71">
        <v>-64011387.299999997</v>
      </c>
    </row>
    <row r="158" spans="1:244">
      <c r="A158" s="72" t="s">
        <v>3625</v>
      </c>
      <c r="IH158" s="72" t="s">
        <v>3626</v>
      </c>
      <c r="II158" s="72" t="s">
        <v>3627</v>
      </c>
      <c r="IJ158" s="71">
        <v>-10348760.044615384</v>
      </c>
    </row>
    <row r="159" spans="1:244">
      <c r="A159" s="72" t="s">
        <v>3628</v>
      </c>
      <c r="IH159" s="72" t="s">
        <v>3629</v>
      </c>
      <c r="II159" s="72" t="s">
        <v>3630</v>
      </c>
      <c r="IJ159" s="71">
        <v>831113.16811161535</v>
      </c>
    </row>
    <row r="160" spans="1:244">
      <c r="A160" s="72" t="s">
        <v>3631</v>
      </c>
      <c r="IH160" s="72" t="s">
        <v>3632</v>
      </c>
      <c r="II160" s="72" t="s">
        <v>3633</v>
      </c>
      <c r="IJ160" s="71">
        <v>-10113231.799999999</v>
      </c>
    </row>
    <row r="161" spans="1:245">
      <c r="A161" s="72" t="s">
        <v>3634</v>
      </c>
      <c r="IH161" s="72" t="s">
        <v>3635</v>
      </c>
      <c r="II161" s="72" t="s">
        <v>3636</v>
      </c>
      <c r="IJ161" s="71">
        <v>1117787.5027269998</v>
      </c>
    </row>
    <row r="162" spans="1:245">
      <c r="A162" s="72" t="s">
        <v>3637</v>
      </c>
      <c r="IH162" s="72" t="s">
        <v>3638</v>
      </c>
      <c r="II162" s="72" t="s">
        <v>3639</v>
      </c>
      <c r="IJ162" s="71">
        <v>-14179424.535615385</v>
      </c>
      <c r="IK162" s="70"/>
    </row>
    <row r="163" spans="1:245">
      <c r="IH163" s="70"/>
      <c r="II163" s="70"/>
      <c r="IJ163" s="70"/>
      <c r="IK163" s="70"/>
    </row>
    <row r="181" spans="1:6">
      <c r="A181" s="72" t="s">
        <v>766</v>
      </c>
      <c r="E181" s="74"/>
      <c r="F181" s="74"/>
    </row>
    <row r="182" spans="1:6">
      <c r="A182" s="72" t="s">
        <v>3640</v>
      </c>
      <c r="E182" s="470" t="s">
        <v>3641</v>
      </c>
      <c r="F182" s="74"/>
    </row>
    <row r="183" spans="1:6">
      <c r="A183" s="72" t="s">
        <v>3642</v>
      </c>
      <c r="E183" s="72" t="s">
        <v>3643</v>
      </c>
      <c r="F183" s="74"/>
    </row>
    <row r="184" spans="1:6">
      <c r="A184" s="72" t="s">
        <v>3644</v>
      </c>
      <c r="F184" s="74"/>
    </row>
    <row r="185" spans="1:6">
      <c r="A185" s="72" t="s">
        <v>3645</v>
      </c>
      <c r="F185" s="74"/>
    </row>
    <row r="186" spans="1:6">
      <c r="A186" s="72" t="s">
        <v>3646</v>
      </c>
    </row>
    <row r="187" spans="1:6">
      <c r="A187" s="72" t="s">
        <v>3647</v>
      </c>
    </row>
    <row r="188" spans="1:6">
      <c r="A188" s="72" t="s">
        <v>3648</v>
      </c>
    </row>
    <row r="189" spans="1:6">
      <c r="A189" s="72" t="s">
        <v>3649</v>
      </c>
    </row>
    <row r="190" spans="1:6">
      <c r="A190" s="72" t="s">
        <v>3650</v>
      </c>
    </row>
    <row r="191" spans="1:6">
      <c r="A191" s="70"/>
    </row>
    <row r="192" spans="1:6">
      <c r="A192" s="72" t="s">
        <v>3651</v>
      </c>
    </row>
    <row r="193" spans="1:1">
      <c r="A193" s="72" t="s">
        <v>3652</v>
      </c>
    </row>
    <row r="194" spans="1:1">
      <c r="A194" s="72" t="s">
        <v>3653</v>
      </c>
    </row>
    <row r="195" spans="1:1">
      <c r="A195" s="72" t="s">
        <v>3654</v>
      </c>
    </row>
    <row r="196" spans="1:1">
      <c r="A196" s="72" t="s">
        <v>3655</v>
      </c>
    </row>
    <row r="197" spans="1:1">
      <c r="A197" s="72" t="s">
        <v>3656</v>
      </c>
    </row>
    <row r="198" spans="1:1">
      <c r="A198" s="72" t="s">
        <v>3657</v>
      </c>
    </row>
    <row r="199" spans="1:1">
      <c r="A199" s="72" t="s">
        <v>3658</v>
      </c>
    </row>
    <row r="200" spans="1:1">
      <c r="A200" s="72" t="s">
        <v>3659</v>
      </c>
    </row>
    <row r="201" spans="1:1">
      <c r="A201" s="72" t="s">
        <v>3660</v>
      </c>
    </row>
    <row r="202" spans="1:1">
      <c r="A202" s="72" t="s">
        <v>3661</v>
      </c>
    </row>
    <row r="203" spans="1:1">
      <c r="A203" s="72" t="s">
        <v>3662</v>
      </c>
    </row>
    <row r="204" spans="1:1">
      <c r="A204" s="72" t="s">
        <v>3663</v>
      </c>
    </row>
    <row r="205" spans="1:1">
      <c r="A205" s="72" t="s">
        <v>3664</v>
      </c>
    </row>
    <row r="206" spans="1:1">
      <c r="A206" s="72" t="s">
        <v>3665</v>
      </c>
    </row>
    <row r="207" spans="1:1">
      <c r="A207" s="72" t="s">
        <v>3666</v>
      </c>
    </row>
    <row r="208" spans="1:1">
      <c r="A208" s="72" t="s">
        <v>3667</v>
      </c>
    </row>
    <row r="209" spans="1:1">
      <c r="A209" s="72" t="s">
        <v>3668</v>
      </c>
    </row>
    <row r="210" spans="1:1">
      <c r="A210" s="72" t="s">
        <v>2583</v>
      </c>
    </row>
    <row r="211" spans="1:1">
      <c r="A211" s="72" t="s">
        <v>3669</v>
      </c>
    </row>
    <row r="212" spans="1:1">
      <c r="A212" s="72" t="s">
        <v>3670</v>
      </c>
    </row>
    <row r="213" spans="1:1">
      <c r="A213" s="72" t="s">
        <v>3671</v>
      </c>
    </row>
    <row r="214" spans="1:1">
      <c r="A214" s="72" t="s">
        <v>3672</v>
      </c>
    </row>
    <row r="215" spans="1:1">
      <c r="A215" s="72" t="s">
        <v>3673</v>
      </c>
    </row>
    <row r="216" spans="1:1">
      <c r="A216" s="72" t="s">
        <v>3674</v>
      </c>
    </row>
    <row r="217" spans="1:1">
      <c r="A217" s="72" t="s">
        <v>3675</v>
      </c>
    </row>
    <row r="218" spans="1:1">
      <c r="A218" s="72" t="s">
        <v>3676</v>
      </c>
    </row>
    <row r="220" spans="1:1">
      <c r="A220" s="72" t="s">
        <v>3677</v>
      </c>
    </row>
    <row r="222" spans="1:1">
      <c r="A222" s="72" t="s">
        <v>3678</v>
      </c>
    </row>
    <row r="223" spans="1:1">
      <c r="A223" s="72" t="s">
        <v>3679</v>
      </c>
    </row>
    <row r="224" spans="1:1">
      <c r="A224" s="72" t="s">
        <v>3680</v>
      </c>
    </row>
    <row r="225" spans="1:1">
      <c r="A225" s="72" t="s">
        <v>3681</v>
      </c>
    </row>
    <row r="226" spans="1:1">
      <c r="A226" s="72" t="s">
        <v>3682</v>
      </c>
    </row>
    <row r="227" spans="1:1">
      <c r="A227" s="72" t="s">
        <v>3683</v>
      </c>
    </row>
    <row r="228" spans="1:1">
      <c r="A228" s="72" t="s">
        <v>3684</v>
      </c>
    </row>
    <row r="229" spans="1:1">
      <c r="A229" s="72" t="s">
        <v>3685</v>
      </c>
    </row>
    <row r="230" spans="1:1">
      <c r="A230" s="72" t="s">
        <v>3686</v>
      </c>
    </row>
    <row r="231" spans="1:1">
      <c r="A231" s="72" t="s">
        <v>3687</v>
      </c>
    </row>
    <row r="232" spans="1:1">
      <c r="A232" s="72" t="s">
        <v>3688</v>
      </c>
    </row>
    <row r="241" spans="1:15">
      <c r="A241" s="72" t="s">
        <v>3689</v>
      </c>
    </row>
    <row r="242" spans="1:15">
      <c r="A242" s="72" t="s">
        <v>3037</v>
      </c>
    </row>
    <row r="243" spans="1:15">
      <c r="A243" s="72" t="s">
        <v>1557</v>
      </c>
    </row>
    <row r="245" spans="1:15">
      <c r="C245" s="72" t="s">
        <v>3038</v>
      </c>
      <c r="D245" s="72" t="s">
        <v>3318</v>
      </c>
      <c r="E245" s="72" t="s">
        <v>3318</v>
      </c>
      <c r="F245" s="72" t="s">
        <v>3318</v>
      </c>
      <c r="G245" s="72" t="s">
        <v>1193</v>
      </c>
      <c r="H245" s="72" t="s">
        <v>3318</v>
      </c>
      <c r="I245" s="72" t="s">
        <v>3039</v>
      </c>
      <c r="J245" s="72" t="s">
        <v>3040</v>
      </c>
      <c r="K245" s="72" t="s">
        <v>1193</v>
      </c>
      <c r="L245" s="72" t="s">
        <v>3040</v>
      </c>
      <c r="M245" s="72" t="s">
        <v>3318</v>
      </c>
      <c r="N245" s="72" t="s">
        <v>3041</v>
      </c>
      <c r="O245" s="72" t="s">
        <v>3041</v>
      </c>
    </row>
    <row r="246" spans="1:15">
      <c r="B246" s="72" t="s">
        <v>3318</v>
      </c>
      <c r="C246" s="72" t="s">
        <v>3042</v>
      </c>
      <c r="D246" s="72" t="s">
        <v>1193</v>
      </c>
      <c r="E246" s="72" t="s">
        <v>3043</v>
      </c>
      <c r="F246" s="72" t="s">
        <v>1193</v>
      </c>
      <c r="G246" s="72" t="s">
        <v>2042</v>
      </c>
      <c r="H246" s="72" t="s">
        <v>3044</v>
      </c>
      <c r="I246" s="72" t="s">
        <v>3045</v>
      </c>
      <c r="J246" s="72" t="s">
        <v>3046</v>
      </c>
      <c r="K246" s="72" t="s">
        <v>2042</v>
      </c>
      <c r="L246" s="72" t="s">
        <v>3047</v>
      </c>
      <c r="M246" s="72" t="s">
        <v>3048</v>
      </c>
      <c r="N246" s="72" t="s">
        <v>3049</v>
      </c>
      <c r="O246" s="72" t="s">
        <v>3050</v>
      </c>
    </row>
    <row r="247" spans="1:15">
      <c r="B247" s="72" t="s">
        <v>3051</v>
      </c>
      <c r="C247" s="72" t="s">
        <v>3052</v>
      </c>
      <c r="D247" s="72" t="s">
        <v>3053</v>
      </c>
      <c r="E247" s="72" t="s">
        <v>1157</v>
      </c>
      <c r="F247" s="72" t="s">
        <v>3054</v>
      </c>
      <c r="G247" s="72" t="s">
        <v>3055</v>
      </c>
      <c r="H247" s="72" t="s">
        <v>1056</v>
      </c>
      <c r="I247" s="72" t="s">
        <v>3056</v>
      </c>
      <c r="J247" s="72" t="s">
        <v>3057</v>
      </c>
      <c r="K247" s="72" t="s">
        <v>3057</v>
      </c>
      <c r="L247" s="72" t="s">
        <v>3058</v>
      </c>
      <c r="M247" s="72" t="s">
        <v>3059</v>
      </c>
      <c r="N247" s="72" t="s">
        <v>3060</v>
      </c>
      <c r="O247" s="72" t="s">
        <v>3061</v>
      </c>
    </row>
    <row r="248" spans="1:15">
      <c r="B248" s="72" t="s">
        <v>1878</v>
      </c>
      <c r="C248" s="72" t="s">
        <v>1878</v>
      </c>
      <c r="D248" s="72" t="s">
        <v>1878</v>
      </c>
      <c r="E248" s="72" t="s">
        <v>1878</v>
      </c>
      <c r="F248" s="72" t="s">
        <v>1878</v>
      </c>
      <c r="G248" s="72" t="s">
        <v>1878</v>
      </c>
      <c r="H248" s="72" t="s">
        <v>1878</v>
      </c>
      <c r="I248" s="72" t="s">
        <v>1878</v>
      </c>
      <c r="J248" s="72" t="s">
        <v>1878</v>
      </c>
      <c r="K248" s="72" t="s">
        <v>1878</v>
      </c>
      <c r="L248" s="72" t="s">
        <v>1878</v>
      </c>
      <c r="M248" s="72" t="s">
        <v>1878</v>
      </c>
      <c r="N248" s="72" t="s">
        <v>1878</v>
      </c>
      <c r="O248" s="72" t="s">
        <v>1878</v>
      </c>
    </row>
    <row r="249" spans="1:15">
      <c r="A249" s="72" t="s">
        <v>1899</v>
      </c>
      <c r="B249" s="70">
        <v>2468510774</v>
      </c>
      <c r="C249" s="70">
        <v>83589606.719999999</v>
      </c>
      <c r="D249" s="70">
        <v>384238165.32999998</v>
      </c>
      <c r="E249" s="70">
        <v>1118938946.98</v>
      </c>
      <c r="F249" s="70">
        <v>241819908.72</v>
      </c>
      <c r="G249" s="70">
        <v>365931627.48000002</v>
      </c>
      <c r="H249" s="70">
        <v>1152077758.1100001</v>
      </c>
      <c r="I249" s="70">
        <v>14235931.699999999</v>
      </c>
      <c r="J249" s="70">
        <v>9963604.5199999996</v>
      </c>
      <c r="K249" s="70">
        <v>68504662.879999995</v>
      </c>
      <c r="L249" s="70">
        <v>6417053.0199999996</v>
      </c>
      <c r="M249" s="70">
        <v>196889557.84999999</v>
      </c>
      <c r="N249" s="70">
        <v>0</v>
      </c>
      <c r="O249" s="70">
        <v>0</v>
      </c>
    </row>
    <row r="250" spans="1:15">
      <c r="A250" s="72" t="s">
        <v>1910</v>
      </c>
      <c r="B250" s="70">
        <v>2479205193.8800001</v>
      </c>
      <c r="C250" s="70">
        <v>83582457.789999992</v>
      </c>
      <c r="D250" s="70">
        <v>386470018.97999996</v>
      </c>
      <c r="E250" s="70">
        <v>1292767199.2</v>
      </c>
      <c r="F250" s="70">
        <v>245610054</v>
      </c>
      <c r="G250" s="70">
        <v>369409297</v>
      </c>
      <c r="H250" s="70">
        <v>1131482405.04</v>
      </c>
      <c r="I250" s="70">
        <v>14121705.76</v>
      </c>
      <c r="J250" s="70">
        <v>10238661.939999999</v>
      </c>
      <c r="K250" s="70">
        <v>67406782.5</v>
      </c>
      <c r="L250" s="70">
        <v>7539800.7999999998</v>
      </c>
      <c r="M250" s="70">
        <v>197403713.27000001</v>
      </c>
      <c r="N250" s="70">
        <v>0</v>
      </c>
      <c r="O250" s="70">
        <v>0</v>
      </c>
    </row>
    <row r="251" spans="1:15">
      <c r="A251" s="72" t="s">
        <v>588</v>
      </c>
      <c r="B251" s="70">
        <v>2489581077.29</v>
      </c>
      <c r="C251" s="70">
        <v>83548347.640000001</v>
      </c>
      <c r="D251" s="70">
        <v>396379004.80000001</v>
      </c>
      <c r="E251" s="70">
        <v>1292728018.3900001</v>
      </c>
      <c r="F251" s="70">
        <v>254608157.91</v>
      </c>
      <c r="G251" s="70">
        <v>372398237.10000002</v>
      </c>
      <c r="H251" s="70">
        <v>1144125732.1600001</v>
      </c>
      <c r="I251" s="70">
        <v>14007479.82</v>
      </c>
      <c r="J251" s="70">
        <v>10216289.6</v>
      </c>
      <c r="K251" s="70">
        <v>69593908.760000005</v>
      </c>
      <c r="L251" s="70">
        <v>7491981.6100000003</v>
      </c>
      <c r="M251" s="70">
        <v>197807444.03999999</v>
      </c>
      <c r="N251" s="70">
        <v>0</v>
      </c>
      <c r="O251" s="70">
        <v>0</v>
      </c>
    </row>
    <row r="252" spans="1:15">
      <c r="A252" s="72" t="s">
        <v>598</v>
      </c>
      <c r="B252" s="70">
        <v>2505382086.8600001</v>
      </c>
      <c r="C252" s="70">
        <v>83526061.960000008</v>
      </c>
      <c r="D252" s="70">
        <v>402752026.85000002</v>
      </c>
      <c r="E252" s="70">
        <v>1173618391.8599999</v>
      </c>
      <c r="F252" s="70">
        <v>262399048.01999998</v>
      </c>
      <c r="G252" s="70">
        <v>376633998.18000001</v>
      </c>
      <c r="H252" s="70">
        <v>1160462463.55</v>
      </c>
      <c r="I252" s="70">
        <v>13893253.880000001</v>
      </c>
      <c r="J252" s="70">
        <v>10653939.65</v>
      </c>
      <c r="K252" s="70">
        <v>71235593.489999995</v>
      </c>
      <c r="L252" s="70">
        <v>7517608.1399999997</v>
      </c>
      <c r="M252" s="70">
        <v>198235897.17999998</v>
      </c>
      <c r="N252" s="70">
        <v>0</v>
      </c>
      <c r="O252" s="70">
        <v>0</v>
      </c>
    </row>
    <row r="253" spans="1:15">
      <c r="A253" s="72" t="s">
        <v>609</v>
      </c>
      <c r="B253" s="70">
        <v>2508565520.6900001</v>
      </c>
      <c r="C253" s="70">
        <v>83559571.939999998</v>
      </c>
      <c r="D253" s="70">
        <v>408770201.64999998</v>
      </c>
      <c r="E253" s="70">
        <v>1173612126.23</v>
      </c>
      <c r="F253" s="70">
        <v>267003053.02999997</v>
      </c>
      <c r="G253" s="70">
        <v>379133953.95999998</v>
      </c>
      <c r="H253" s="70">
        <v>1149262578.8399999</v>
      </c>
      <c r="I253" s="70">
        <v>13779027.939999999</v>
      </c>
      <c r="J253" s="70">
        <v>10610230.48</v>
      </c>
      <c r="K253" s="70">
        <v>70636315.730000004</v>
      </c>
      <c r="L253" s="70">
        <v>7470873.7699999996</v>
      </c>
      <c r="M253" s="70">
        <v>198561870.13</v>
      </c>
      <c r="N253" s="70">
        <v>0</v>
      </c>
      <c r="O253" s="70">
        <v>0</v>
      </c>
    </row>
    <row r="254" spans="1:15">
      <c r="A254" s="72" t="s">
        <v>618</v>
      </c>
      <c r="B254" s="70">
        <v>2512313510.1900001</v>
      </c>
      <c r="C254" s="70">
        <v>83580800.059999987</v>
      </c>
      <c r="D254" s="70">
        <v>419705942.01999998</v>
      </c>
      <c r="E254" s="70">
        <v>1173604609.0899999</v>
      </c>
      <c r="F254" s="70">
        <v>269637292.44</v>
      </c>
      <c r="G254" s="70">
        <v>382393184.94</v>
      </c>
      <c r="H254" s="70">
        <v>1165621608.04</v>
      </c>
      <c r="I254" s="70">
        <v>13664802</v>
      </c>
      <c r="J254" s="70">
        <v>10561399.300000001</v>
      </c>
      <c r="K254" s="70">
        <v>69534431.299999997</v>
      </c>
      <c r="L254" s="70">
        <v>7423390.9100000001</v>
      </c>
      <c r="M254" s="70">
        <v>198610845.35999998</v>
      </c>
      <c r="N254" s="70">
        <v>0</v>
      </c>
      <c r="O254" s="70">
        <v>0</v>
      </c>
    </row>
    <row r="255" spans="1:15">
      <c r="A255" s="72" t="s">
        <v>629</v>
      </c>
      <c r="B255" s="70">
        <v>2524856662.7199998</v>
      </c>
      <c r="C255" s="70">
        <v>83572424.489999995</v>
      </c>
      <c r="D255" s="70">
        <v>429074010.89999998</v>
      </c>
      <c r="E255" s="70">
        <v>1297478131.72</v>
      </c>
      <c r="F255" s="70">
        <v>277010352.00999999</v>
      </c>
      <c r="G255" s="70">
        <v>424125253.88999999</v>
      </c>
      <c r="H255" s="70">
        <v>1178969852.8399999</v>
      </c>
      <c r="I255" s="70">
        <v>13550576.060000001</v>
      </c>
      <c r="J255" s="70">
        <v>10602171.890000001</v>
      </c>
      <c r="K255" s="70">
        <v>67423960.650000006</v>
      </c>
      <c r="L255" s="70">
        <v>8549868.2799999993</v>
      </c>
      <c r="M255" s="70">
        <v>198605993.59</v>
      </c>
      <c r="N255" s="70">
        <v>0</v>
      </c>
      <c r="O255" s="70">
        <v>0</v>
      </c>
    </row>
    <row r="256" spans="1:15">
      <c r="A256" s="72" t="s">
        <v>639</v>
      </c>
      <c r="B256" s="70">
        <v>2538431508.73</v>
      </c>
      <c r="C256" s="70">
        <v>83722315.319999993</v>
      </c>
      <c r="D256" s="70">
        <v>423898992.20999998</v>
      </c>
      <c r="E256" s="70">
        <v>1222479401.75</v>
      </c>
      <c r="F256" s="70">
        <v>277371813.94</v>
      </c>
      <c r="G256" s="70">
        <v>425511899.31999999</v>
      </c>
      <c r="H256" s="70">
        <v>1159859813.78</v>
      </c>
      <c r="I256" s="70">
        <v>13436350.119999999</v>
      </c>
      <c r="J256" s="70">
        <v>10564830.34</v>
      </c>
      <c r="K256" s="70">
        <v>68700131.530000001</v>
      </c>
      <c r="L256" s="70">
        <v>8499598.25</v>
      </c>
      <c r="M256" s="70">
        <v>197402747.66</v>
      </c>
      <c r="N256" s="70">
        <v>0</v>
      </c>
      <c r="O256" s="70">
        <v>0</v>
      </c>
    </row>
    <row r="257" spans="1:22">
      <c r="A257" s="72" t="s">
        <v>649</v>
      </c>
      <c r="B257" s="70">
        <v>2546206044.7600002</v>
      </c>
      <c r="C257" s="70">
        <v>83690933.810000002</v>
      </c>
      <c r="D257" s="70">
        <v>430794780.62</v>
      </c>
      <c r="E257" s="70">
        <v>1224373699.03</v>
      </c>
      <c r="F257" s="70">
        <v>278239596.97000003</v>
      </c>
      <c r="G257" s="70">
        <v>429056954.01999998</v>
      </c>
      <c r="H257" s="70">
        <v>1165376467.6900001</v>
      </c>
      <c r="I257" s="70">
        <v>15996378.810000001</v>
      </c>
      <c r="J257" s="70">
        <v>9714498.4100000001</v>
      </c>
      <c r="K257" s="70">
        <v>68109204.209999993</v>
      </c>
      <c r="L257" s="70">
        <v>6572300.9699999997</v>
      </c>
      <c r="M257" s="70">
        <v>197828170.54000002</v>
      </c>
      <c r="N257" s="70">
        <v>0</v>
      </c>
      <c r="O257" s="70">
        <v>0</v>
      </c>
    </row>
    <row r="258" spans="1:22">
      <c r="A258" s="72" t="s">
        <v>658</v>
      </c>
      <c r="B258" s="70">
        <v>2567881975.8499999</v>
      </c>
      <c r="C258" s="70">
        <v>111789008.29000001</v>
      </c>
      <c r="D258" s="70">
        <v>413201135.11000001</v>
      </c>
      <c r="E258" s="70">
        <v>1224397579.1700001</v>
      </c>
      <c r="F258" s="70">
        <v>277553377.76999998</v>
      </c>
      <c r="G258" s="70">
        <v>459490455.92000002</v>
      </c>
      <c r="H258" s="70">
        <v>1173033891.8900001</v>
      </c>
      <c r="I258" s="70">
        <v>15873585.060000001</v>
      </c>
      <c r="J258" s="70">
        <v>9664084.0199999996</v>
      </c>
      <c r="K258" s="70">
        <v>70410285.310000002</v>
      </c>
      <c r="L258" s="70">
        <v>6528420.8300000001</v>
      </c>
      <c r="M258" s="70">
        <v>177635455.25999999</v>
      </c>
      <c r="N258" s="70">
        <v>0</v>
      </c>
      <c r="O258" s="70">
        <v>0</v>
      </c>
    </row>
    <row r="259" spans="1:22">
      <c r="A259" s="72" t="s">
        <v>669</v>
      </c>
      <c r="B259" s="70">
        <v>2583701603.98</v>
      </c>
      <c r="C259" s="70">
        <v>111311855.61999999</v>
      </c>
      <c r="D259" s="70">
        <v>430247611.00999999</v>
      </c>
      <c r="E259" s="70">
        <v>1224440990.3599999</v>
      </c>
      <c r="F259" s="70">
        <v>284255137.91999996</v>
      </c>
      <c r="G259" s="70">
        <v>458168995.19</v>
      </c>
      <c r="H259" s="70">
        <v>1201606118.0999999</v>
      </c>
      <c r="I259" s="70">
        <v>15750791.310000001</v>
      </c>
      <c r="J259" s="70">
        <v>9613976.5199999996</v>
      </c>
      <c r="K259" s="70">
        <v>71601192.719999999</v>
      </c>
      <c r="L259" s="70">
        <v>6485009.6399999997</v>
      </c>
      <c r="M259" s="70">
        <v>185084858.42000002</v>
      </c>
      <c r="N259" s="70">
        <v>0</v>
      </c>
      <c r="O259" s="70">
        <v>0</v>
      </c>
    </row>
    <row r="260" spans="1:22">
      <c r="A260" s="72" t="s">
        <v>679</v>
      </c>
      <c r="B260" s="70">
        <v>2610971497.0599999</v>
      </c>
      <c r="C260" s="70">
        <v>111504937.38</v>
      </c>
      <c r="D260" s="70">
        <v>440791770.19999999</v>
      </c>
      <c r="E260" s="70">
        <v>1224413095.51</v>
      </c>
      <c r="F260" s="70">
        <v>285297296.59999996</v>
      </c>
      <c r="G260" s="70">
        <v>466654584.99000001</v>
      </c>
      <c r="H260" s="70">
        <v>1205434822.51</v>
      </c>
      <c r="I260" s="70">
        <v>15627997.560000001</v>
      </c>
      <c r="J260" s="70">
        <v>9562760.4499999993</v>
      </c>
      <c r="K260" s="70">
        <v>72231535.739999995</v>
      </c>
      <c r="L260" s="70">
        <v>6439904.4900000002</v>
      </c>
      <c r="M260" s="70">
        <v>185514174.06999999</v>
      </c>
      <c r="N260" s="70">
        <v>0</v>
      </c>
      <c r="O260" s="70">
        <v>0</v>
      </c>
    </row>
    <row r="261" spans="1:22">
      <c r="A261" s="72" t="s">
        <v>1557</v>
      </c>
      <c r="B261" s="70">
        <v>2644718260.6900001</v>
      </c>
      <c r="C261" s="70">
        <v>113790650.84</v>
      </c>
      <c r="D261" s="70">
        <v>433040667.70999998</v>
      </c>
      <c r="E261" s="70">
        <v>1224405702</v>
      </c>
      <c r="F261" s="70">
        <v>287946399.88</v>
      </c>
      <c r="G261" s="70">
        <v>477209104.36000001</v>
      </c>
      <c r="H261" s="70">
        <v>1208860065.95</v>
      </c>
      <c r="I261" s="70">
        <v>15505203.810000001</v>
      </c>
      <c r="J261" s="70">
        <v>9512190.3599999994</v>
      </c>
      <c r="K261" s="70">
        <v>72064613.930000007</v>
      </c>
      <c r="L261" s="70">
        <v>6395298</v>
      </c>
      <c r="M261" s="70">
        <v>185879786.61999997</v>
      </c>
      <c r="N261" s="70">
        <v>0</v>
      </c>
      <c r="O261" s="70">
        <v>0</v>
      </c>
    </row>
    <row r="262" spans="1:22">
      <c r="I262" s="70"/>
    </row>
    <row r="263" spans="1:22">
      <c r="B263" s="72" t="s">
        <v>1878</v>
      </c>
      <c r="C263" s="72" t="s">
        <v>1878</v>
      </c>
      <c r="D263" s="72" t="s">
        <v>1878</v>
      </c>
      <c r="E263" s="72" t="s">
        <v>1878</v>
      </c>
      <c r="F263" s="72" t="s">
        <v>1878</v>
      </c>
      <c r="G263" s="72" t="s">
        <v>1878</v>
      </c>
      <c r="H263" s="72" t="s">
        <v>1878</v>
      </c>
      <c r="I263" s="72" t="s">
        <v>1878</v>
      </c>
      <c r="J263" s="72" t="s">
        <v>1878</v>
      </c>
      <c r="K263" s="72" t="s">
        <v>1878</v>
      </c>
      <c r="L263" s="72" t="s">
        <v>1878</v>
      </c>
      <c r="M263" s="72" t="s">
        <v>1878</v>
      </c>
      <c r="N263" s="72" t="s">
        <v>1878</v>
      </c>
      <c r="O263" s="72" t="s">
        <v>1878</v>
      </c>
    </row>
    <row r="264" spans="1:22">
      <c r="A264" s="72" t="s">
        <v>3062</v>
      </c>
      <c r="B264" s="71">
        <v>32980325716.700001</v>
      </c>
      <c r="C264" s="71">
        <v>1200768971.8599999</v>
      </c>
      <c r="D264" s="71">
        <v>5399364327.3900003</v>
      </c>
      <c r="E264" s="71">
        <v>15867257891.290003</v>
      </c>
      <c r="F264" s="71">
        <v>3508751489.21</v>
      </c>
      <c r="G264" s="71">
        <v>5386117546.3499994</v>
      </c>
      <c r="H264" s="71">
        <v>15196173578.500002</v>
      </c>
      <c r="I264" s="71">
        <v>189443083.83000001</v>
      </c>
      <c r="J264" s="71">
        <v>131478637.47999999</v>
      </c>
      <c r="K264" s="71">
        <v>907452618.75000024</v>
      </c>
      <c r="L264" s="71">
        <v>93331108.709999993</v>
      </c>
      <c r="M264" s="71">
        <v>2515460513.9899998</v>
      </c>
      <c r="N264" s="71">
        <v>0</v>
      </c>
      <c r="O264" s="71">
        <v>0</v>
      </c>
    </row>
    <row r="266" spans="1:22">
      <c r="A266" s="72" t="s">
        <v>726</v>
      </c>
      <c r="B266" s="71">
        <v>2536948132</v>
      </c>
      <c r="C266" s="71">
        <v>92366844</v>
      </c>
      <c r="D266" s="71">
        <v>415335717</v>
      </c>
      <c r="E266" s="71">
        <v>1220558299</v>
      </c>
      <c r="F266" s="71">
        <v>269903961</v>
      </c>
      <c r="G266" s="71">
        <v>414316734</v>
      </c>
      <c r="H266" s="71">
        <v>1168936429</v>
      </c>
      <c r="I266" s="71">
        <v>14572545</v>
      </c>
      <c r="J266" s="71">
        <v>10113741</v>
      </c>
      <c r="K266" s="71">
        <v>69804048</v>
      </c>
      <c r="L266" s="71">
        <v>7179316</v>
      </c>
      <c r="M266" s="71">
        <v>193496963</v>
      </c>
      <c r="N266" s="71">
        <v>0</v>
      </c>
      <c r="O266" s="71">
        <v>0</v>
      </c>
    </row>
    <row r="267" spans="1:22">
      <c r="B267" s="72" t="s">
        <v>736</v>
      </c>
      <c r="C267" s="72" t="s">
        <v>736</v>
      </c>
      <c r="D267" s="72" t="s">
        <v>736</v>
      </c>
      <c r="E267" s="72" t="s">
        <v>736</v>
      </c>
      <c r="F267" s="72" t="s">
        <v>736</v>
      </c>
      <c r="G267" s="72" t="s">
        <v>736</v>
      </c>
      <c r="H267" s="72" t="s">
        <v>736</v>
      </c>
      <c r="I267" s="72" t="s">
        <v>736</v>
      </c>
      <c r="J267" s="72" t="s">
        <v>736</v>
      </c>
      <c r="K267" s="72" t="s">
        <v>736</v>
      </c>
      <c r="L267" s="72" t="s">
        <v>736</v>
      </c>
      <c r="M267" s="72" t="s">
        <v>736</v>
      </c>
      <c r="N267" s="72" t="s">
        <v>736</v>
      </c>
      <c r="O267" s="72" t="s">
        <v>736</v>
      </c>
    </row>
    <row r="270" spans="1:22">
      <c r="A270" s="72" t="s">
        <v>3063</v>
      </c>
    </row>
    <row r="271" spans="1:22">
      <c r="A271" s="72" t="s">
        <v>1557</v>
      </c>
      <c r="V271" s="183" t="s">
        <v>1580</v>
      </c>
    </row>
    <row r="272" spans="1:22">
      <c r="E272" s="72" t="s">
        <v>1526</v>
      </c>
      <c r="L272" s="183" t="s">
        <v>3064</v>
      </c>
      <c r="M272" s="183" t="s">
        <v>3065</v>
      </c>
      <c r="N272" s="183" t="s">
        <v>3066</v>
      </c>
      <c r="O272" s="183" t="s">
        <v>3067</v>
      </c>
      <c r="S272" s="183" t="s">
        <v>1601</v>
      </c>
      <c r="T272" s="183" t="s">
        <v>1602</v>
      </c>
      <c r="U272" s="183" t="s">
        <v>1601</v>
      </c>
      <c r="V272" s="183" t="s">
        <v>36</v>
      </c>
    </row>
    <row r="273" spans="1:26">
      <c r="C273" s="72" t="s">
        <v>1878</v>
      </c>
      <c r="D273" s="443" t="s">
        <v>1583</v>
      </c>
      <c r="E273" s="443" t="s">
        <v>1583</v>
      </c>
      <c r="F273" s="443" t="s">
        <v>1583</v>
      </c>
      <c r="G273" s="443" t="s">
        <v>1583</v>
      </c>
      <c r="H273" s="443" t="s">
        <v>1583</v>
      </c>
      <c r="I273" s="443" t="s">
        <v>1583</v>
      </c>
      <c r="L273" s="183" t="s">
        <v>1148</v>
      </c>
      <c r="S273" s="183" t="s">
        <v>1615</v>
      </c>
      <c r="T273" s="183" t="s">
        <v>1616</v>
      </c>
      <c r="U273" s="183" t="s">
        <v>1617</v>
      </c>
      <c r="V273" s="183" t="s">
        <v>41</v>
      </c>
    </row>
    <row r="274" spans="1:26">
      <c r="C274" s="72" t="s">
        <v>3318</v>
      </c>
      <c r="E274" s="72" t="s">
        <v>3068</v>
      </c>
      <c r="F274" s="72" t="s">
        <v>3069</v>
      </c>
      <c r="G274" s="72" t="s">
        <v>3070</v>
      </c>
      <c r="H274" s="72" t="s">
        <v>3071</v>
      </c>
      <c r="I274" s="183" t="s">
        <v>1932</v>
      </c>
      <c r="L274" s="443" t="s">
        <v>1583</v>
      </c>
      <c r="M274" s="443" t="s">
        <v>1583</v>
      </c>
      <c r="N274" s="183" t="s">
        <v>3072</v>
      </c>
      <c r="O274" s="183" t="s">
        <v>1604</v>
      </c>
      <c r="S274" s="183" t="s">
        <v>39</v>
      </c>
      <c r="T274" s="183" t="s">
        <v>1633</v>
      </c>
      <c r="U274" s="183" t="s">
        <v>1634</v>
      </c>
      <c r="V274" s="183" t="s">
        <v>1635</v>
      </c>
    </row>
    <row r="275" spans="1:26">
      <c r="C275" s="72" t="s">
        <v>3069</v>
      </c>
      <c r="D275" s="72" t="s">
        <v>3073</v>
      </c>
      <c r="E275" s="72" t="s">
        <v>3074</v>
      </c>
      <c r="F275" s="72" t="s">
        <v>3075</v>
      </c>
      <c r="G275" s="72" t="s">
        <v>3076</v>
      </c>
      <c r="H275" s="72" t="s">
        <v>3077</v>
      </c>
      <c r="I275" s="72" t="s">
        <v>3078</v>
      </c>
      <c r="L275" s="183" t="s">
        <v>1151</v>
      </c>
      <c r="M275" s="183" t="s">
        <v>1151</v>
      </c>
      <c r="N275" s="183" t="s">
        <v>3079</v>
      </c>
      <c r="O275" s="183" t="s">
        <v>3080</v>
      </c>
      <c r="S275" s="183" t="s">
        <v>1216</v>
      </c>
      <c r="T275" s="183" t="s">
        <v>1216</v>
      </c>
      <c r="U275" s="183" t="s">
        <v>1216</v>
      </c>
      <c r="V275" s="183" t="s">
        <v>1216</v>
      </c>
    </row>
    <row r="276" spans="1:26">
      <c r="C276" s="72" t="s">
        <v>3081</v>
      </c>
      <c r="D276" s="72" t="s">
        <v>3082</v>
      </c>
      <c r="E276" s="72" t="s">
        <v>3082</v>
      </c>
      <c r="F276" s="72" t="s">
        <v>3083</v>
      </c>
      <c r="G276" s="72" t="s">
        <v>16</v>
      </c>
      <c r="H276" s="72" t="s">
        <v>3084</v>
      </c>
      <c r="I276" s="72" t="s">
        <v>3085</v>
      </c>
      <c r="L276" s="183" t="s">
        <v>3086</v>
      </c>
      <c r="M276" s="183" t="s">
        <v>3087</v>
      </c>
      <c r="N276" s="183" t="s">
        <v>3088</v>
      </c>
      <c r="O276" s="183" t="s">
        <v>3089</v>
      </c>
    </row>
    <row r="277" spans="1:26">
      <c r="C277" s="72" t="s">
        <v>1878</v>
      </c>
      <c r="D277" s="72" t="s">
        <v>1878</v>
      </c>
      <c r="E277" s="72" t="s">
        <v>1878</v>
      </c>
      <c r="F277" s="72" t="s">
        <v>1878</v>
      </c>
      <c r="G277" s="72" t="s">
        <v>1878</v>
      </c>
      <c r="H277" s="72" t="s">
        <v>1878</v>
      </c>
      <c r="I277" s="443" t="s">
        <v>1583</v>
      </c>
      <c r="L277" s="443" t="s">
        <v>1583</v>
      </c>
      <c r="M277" s="443" t="s">
        <v>1583</v>
      </c>
      <c r="N277" s="72" t="s">
        <v>1878</v>
      </c>
      <c r="O277" s="443" t="s">
        <v>1583</v>
      </c>
    </row>
    <row r="278" spans="1:26">
      <c r="A278" s="72" t="s">
        <v>3090</v>
      </c>
      <c r="C278" s="71">
        <v>2536948132</v>
      </c>
      <c r="D278" s="71">
        <v>2536948131</v>
      </c>
      <c r="F278" s="71">
        <v>0</v>
      </c>
      <c r="G278" s="71">
        <v>0</v>
      </c>
      <c r="H278" s="71">
        <v>1</v>
      </c>
      <c r="I278" s="71">
        <v>14769961</v>
      </c>
      <c r="K278" s="71" t="s">
        <v>1899</v>
      </c>
      <c r="L278" s="70">
        <v>39523338.920000002</v>
      </c>
      <c r="M278" s="70">
        <v>11037048.890000001</v>
      </c>
      <c r="N278" s="70">
        <v>0</v>
      </c>
      <c r="O278" s="70">
        <v>0</v>
      </c>
      <c r="S278" s="71">
        <v>3573416714</v>
      </c>
      <c r="T278" s="71">
        <v>5664735</v>
      </c>
      <c r="U278" s="71">
        <v>1248570984</v>
      </c>
      <c r="V278" s="71">
        <v>206437666</v>
      </c>
      <c r="W278" s="71">
        <v>4584344</v>
      </c>
      <c r="X278" s="71">
        <v>-10185617</v>
      </c>
    </row>
    <row r="279" spans="1:26">
      <c r="A279" s="72" t="s">
        <v>3091</v>
      </c>
      <c r="C279" s="71">
        <v>35089846</v>
      </c>
      <c r="D279" s="71">
        <v>24333448</v>
      </c>
      <c r="F279" s="71">
        <v>13498114</v>
      </c>
      <c r="G279" s="71">
        <v>0</v>
      </c>
      <c r="H279" s="71">
        <v>-2741716</v>
      </c>
      <c r="I279" s="71">
        <v>13498114</v>
      </c>
      <c r="K279" s="71" t="s">
        <v>1910</v>
      </c>
      <c r="L279" s="70">
        <v>39691640.079999998</v>
      </c>
      <c r="M279" s="70">
        <v>10887144.960000001</v>
      </c>
      <c r="N279" s="70">
        <v>0</v>
      </c>
      <c r="O279" s="70">
        <v>0</v>
      </c>
      <c r="S279" s="71">
        <v>11204223</v>
      </c>
      <c r="T279" s="71">
        <v>81048364</v>
      </c>
      <c r="U279" s="71">
        <v>227043</v>
      </c>
      <c r="V279" s="71">
        <v>0</v>
      </c>
      <c r="W279" s="71">
        <v>50196</v>
      </c>
      <c r="X279" s="71">
        <v>811351</v>
      </c>
      <c r="Y279" s="71">
        <v>0</v>
      </c>
      <c r="Z279" s="71">
        <v>0</v>
      </c>
    </row>
    <row r="280" spans="1:26">
      <c r="A280" s="72" t="s">
        <v>3431</v>
      </c>
      <c r="C280" s="71">
        <v>505060483</v>
      </c>
      <c r="D280" s="71">
        <v>505060483</v>
      </c>
      <c r="F280" s="71">
        <v>0</v>
      </c>
      <c r="G280" s="71">
        <v>0</v>
      </c>
      <c r="H280" s="71">
        <v>0</v>
      </c>
      <c r="I280" s="71">
        <v>2048538</v>
      </c>
      <c r="K280" s="71" t="s">
        <v>588</v>
      </c>
      <c r="L280" s="70">
        <v>39859941.240000002</v>
      </c>
      <c r="M280" s="70">
        <v>10737240.99</v>
      </c>
      <c r="N280" s="70">
        <v>0</v>
      </c>
      <c r="O280" s="70">
        <v>0</v>
      </c>
      <c r="S280" s="71">
        <v>282498790</v>
      </c>
      <c r="T280" s="71">
        <v>97075766</v>
      </c>
      <c r="U280" s="71">
        <v>0</v>
      </c>
      <c r="V280" s="73">
        <v>7098</v>
      </c>
      <c r="W280" s="73">
        <v>0</v>
      </c>
    </row>
    <row r="281" spans="1:26">
      <c r="A281" s="72" t="s">
        <v>3448</v>
      </c>
      <c r="C281" s="71">
        <v>415335717</v>
      </c>
      <c r="D281" s="71">
        <v>279610495</v>
      </c>
      <c r="E281" s="71">
        <v>135725228</v>
      </c>
      <c r="F281" s="71">
        <v>0</v>
      </c>
      <c r="G281" s="71">
        <v>0</v>
      </c>
      <c r="H281" s="71">
        <v>-6</v>
      </c>
      <c r="I281" s="71">
        <v>0</v>
      </c>
      <c r="K281" s="71" t="s">
        <v>598</v>
      </c>
      <c r="L281" s="70">
        <v>40028242.380000003</v>
      </c>
      <c r="M281" s="70">
        <v>10587337.09</v>
      </c>
      <c r="N281" s="70">
        <v>0</v>
      </c>
      <c r="O281" s="70">
        <v>0</v>
      </c>
      <c r="S281" s="71">
        <v>-2416226</v>
      </c>
      <c r="T281" s="71">
        <v>-11767702</v>
      </c>
      <c r="U281" s="71">
        <v>-12271272</v>
      </c>
      <c r="V281" s="71">
        <v>-151930570</v>
      </c>
      <c r="W281" s="71">
        <v>4.5095165999999999E-2</v>
      </c>
      <c r="X281" s="71">
        <v>-186122892</v>
      </c>
    </row>
    <row r="282" spans="1:26">
      <c r="C282" s="72" t="s">
        <v>1878</v>
      </c>
      <c r="D282" s="72" t="s">
        <v>1878</v>
      </c>
      <c r="E282" s="72" t="s">
        <v>1878</v>
      </c>
      <c r="F282" s="72" t="s">
        <v>1878</v>
      </c>
      <c r="G282" s="72" t="s">
        <v>1878</v>
      </c>
      <c r="H282" s="72" t="s">
        <v>1878</v>
      </c>
      <c r="I282" s="443" t="s">
        <v>1583</v>
      </c>
      <c r="K282" s="71" t="s">
        <v>609</v>
      </c>
      <c r="L282" s="70">
        <v>40196543.539999999</v>
      </c>
      <c r="M282" s="70">
        <v>10437433.27</v>
      </c>
      <c r="N282" s="70">
        <v>0</v>
      </c>
      <c r="O282" s="70">
        <v>0</v>
      </c>
      <c r="S282" s="71">
        <v>1191081752.306154</v>
      </c>
    </row>
    <row r="283" spans="1:26">
      <c r="A283" s="72" t="s">
        <v>3092</v>
      </c>
      <c r="C283" s="71">
        <v>3492434178</v>
      </c>
      <c r="D283" s="71">
        <v>3345952557</v>
      </c>
      <c r="E283" s="71">
        <v>135725228</v>
      </c>
      <c r="F283" s="71">
        <v>13498114</v>
      </c>
      <c r="G283" s="71">
        <v>0</v>
      </c>
      <c r="H283" s="71">
        <v>-2741721</v>
      </c>
      <c r="I283" s="71">
        <v>30316613</v>
      </c>
      <c r="K283" s="71" t="s">
        <v>618</v>
      </c>
      <c r="L283" s="70">
        <v>40364844.670000002</v>
      </c>
      <c r="M283" s="70">
        <v>10287529.41</v>
      </c>
      <c r="N283" s="70">
        <v>0</v>
      </c>
      <c r="O283" s="70">
        <v>0</v>
      </c>
      <c r="S283" s="71">
        <v>35060633</v>
      </c>
      <c r="T283" s="71">
        <v>45742650</v>
      </c>
      <c r="U283" s="73">
        <v>7098</v>
      </c>
    </row>
    <row r="284" spans="1:26">
      <c r="C284" s="72" t="s">
        <v>1878</v>
      </c>
      <c r="D284" s="72" t="s">
        <v>1878</v>
      </c>
      <c r="E284" s="72" t="s">
        <v>1878</v>
      </c>
      <c r="F284" s="72" t="s">
        <v>1878</v>
      </c>
      <c r="G284" s="72" t="s">
        <v>1878</v>
      </c>
      <c r="H284" s="72" t="s">
        <v>1878</v>
      </c>
      <c r="I284" s="443" t="s">
        <v>1583</v>
      </c>
      <c r="K284" s="71" t="s">
        <v>629</v>
      </c>
      <c r="L284" s="70">
        <v>40533145.850000001</v>
      </c>
      <c r="M284" s="70">
        <v>10137625.51</v>
      </c>
      <c r="N284" s="70">
        <v>0</v>
      </c>
      <c r="O284" s="70">
        <v>0</v>
      </c>
      <c r="S284" s="71">
        <v>97998345</v>
      </c>
      <c r="T284" s="71">
        <v>35060633</v>
      </c>
      <c r="U284" s="71">
        <v>0</v>
      </c>
      <c r="V284" s="71">
        <v>315189746</v>
      </c>
      <c r="W284" s="71">
        <v>1073746182</v>
      </c>
      <c r="X284" s="71">
        <v>8500825</v>
      </c>
    </row>
    <row r="285" spans="1:26">
      <c r="K285" s="71" t="s">
        <v>639</v>
      </c>
      <c r="L285" s="70">
        <v>40701447</v>
      </c>
      <c r="M285" s="70">
        <v>9987721.5399999991</v>
      </c>
      <c r="N285" s="70">
        <v>0</v>
      </c>
      <c r="O285" s="70">
        <v>0</v>
      </c>
      <c r="S285" s="71">
        <v>273022</v>
      </c>
    </row>
    <row r="286" spans="1:26">
      <c r="K286" s="71" t="s">
        <v>649</v>
      </c>
      <c r="L286" s="70">
        <v>40869748.109999999</v>
      </c>
      <c r="M286" s="70">
        <v>9837817.6600000001</v>
      </c>
      <c r="N286" s="70">
        <v>0</v>
      </c>
      <c r="O286" s="70">
        <v>0</v>
      </c>
    </row>
    <row r="287" spans="1:26">
      <c r="A287" s="72" t="s">
        <v>3093</v>
      </c>
      <c r="C287" s="71">
        <v>1168936429</v>
      </c>
      <c r="E287" s="71">
        <v>1171744527</v>
      </c>
      <c r="F287" s="71">
        <v>0</v>
      </c>
      <c r="G287" s="70">
        <v>0</v>
      </c>
      <c r="H287" s="70">
        <v>-2808098</v>
      </c>
      <c r="I287" s="71">
        <v>0</v>
      </c>
      <c r="K287" s="71" t="s">
        <v>658</v>
      </c>
      <c r="L287" s="70">
        <v>42352192.159999996</v>
      </c>
      <c r="M287" s="70">
        <v>9361510.5099999998</v>
      </c>
      <c r="N287" s="70">
        <v>0</v>
      </c>
      <c r="O287" s="70">
        <v>0</v>
      </c>
    </row>
    <row r="288" spans="1:26">
      <c r="A288" s="72" t="s">
        <v>3094</v>
      </c>
      <c r="C288" s="71">
        <v>1220558299</v>
      </c>
      <c r="E288" s="71">
        <v>1215768038.306154</v>
      </c>
      <c r="F288" s="71">
        <v>0</v>
      </c>
      <c r="G288" s="71">
        <v>0</v>
      </c>
      <c r="H288" s="71">
        <v>4790260.6938459873</v>
      </c>
      <c r="I288" s="71">
        <v>0</v>
      </c>
      <c r="K288" s="71" t="s">
        <v>669</v>
      </c>
      <c r="L288" s="70">
        <v>42762586.359999999</v>
      </c>
      <c r="M288" s="70">
        <v>9228086.1900000013</v>
      </c>
      <c r="N288" s="70">
        <v>0</v>
      </c>
      <c r="O288" s="70">
        <v>0</v>
      </c>
    </row>
    <row r="289" spans="1:15">
      <c r="A289" s="72" t="s">
        <v>3436</v>
      </c>
      <c r="C289" s="71">
        <v>282498790</v>
      </c>
      <c r="D289" s="71">
        <v>185430122</v>
      </c>
      <c r="E289" s="71">
        <v>80803283</v>
      </c>
      <c r="F289" s="71">
        <v>16265385</v>
      </c>
      <c r="G289" s="71">
        <v>0</v>
      </c>
      <c r="H289" s="71">
        <v>0</v>
      </c>
      <c r="I289" s="71">
        <v>0</v>
      </c>
      <c r="K289" s="71" t="s">
        <v>679</v>
      </c>
      <c r="L289" s="70">
        <v>43172980.509999998</v>
      </c>
      <c r="M289" s="70">
        <v>9115100.9600000009</v>
      </c>
      <c r="N289" s="70">
        <v>0</v>
      </c>
      <c r="O289" s="70">
        <v>0</v>
      </c>
    </row>
    <row r="290" spans="1:15">
      <c r="A290" s="72" t="s">
        <v>3453</v>
      </c>
      <c r="C290" s="71">
        <v>269903961</v>
      </c>
      <c r="D290" s="71">
        <v>254215062</v>
      </c>
      <c r="E290" s="71">
        <v>18430617</v>
      </c>
      <c r="F290" s="71">
        <v>0</v>
      </c>
      <c r="G290" s="71">
        <v>0</v>
      </c>
      <c r="H290" s="71">
        <v>-2741718</v>
      </c>
      <c r="I290" s="71">
        <v>0</v>
      </c>
      <c r="K290" s="71" t="s">
        <v>1557</v>
      </c>
      <c r="L290" s="70">
        <v>45996976.670000002</v>
      </c>
      <c r="M290" s="70">
        <v>7445696.7200000007</v>
      </c>
      <c r="N290" s="70">
        <v>0</v>
      </c>
      <c r="O290" s="70">
        <v>0</v>
      </c>
    </row>
    <row r="291" spans="1:15">
      <c r="A291" s="72" t="s">
        <v>2358</v>
      </c>
      <c r="C291" s="71">
        <v>193496963</v>
      </c>
      <c r="D291" s="71">
        <v>193496964</v>
      </c>
      <c r="F291" s="71">
        <v>0</v>
      </c>
      <c r="G291" s="71">
        <v>0</v>
      </c>
      <c r="H291" s="71">
        <v>-1</v>
      </c>
      <c r="I291" s="71">
        <v>1</v>
      </c>
    </row>
    <row r="292" spans="1:15">
      <c r="A292" s="72" t="s">
        <v>3555</v>
      </c>
      <c r="C292" s="71">
        <v>414316734</v>
      </c>
      <c r="E292" s="71">
        <v>416298896</v>
      </c>
      <c r="F292" s="71">
        <v>0</v>
      </c>
      <c r="G292" s="71">
        <v>0</v>
      </c>
      <c r="H292" s="71">
        <v>-1982162</v>
      </c>
      <c r="I292" s="71">
        <v>0</v>
      </c>
      <c r="L292" s="443" t="s">
        <v>1583</v>
      </c>
      <c r="M292" s="443" t="s">
        <v>1583</v>
      </c>
      <c r="N292" s="72" t="s">
        <v>1878</v>
      </c>
      <c r="O292" s="443" t="s">
        <v>1583</v>
      </c>
    </row>
    <row r="293" spans="1:15">
      <c r="C293" s="72" t="s">
        <v>1878</v>
      </c>
      <c r="D293" s="72" t="s">
        <v>1878</v>
      </c>
      <c r="E293" s="72" t="s">
        <v>1878</v>
      </c>
      <c r="F293" s="72" t="s">
        <v>1878</v>
      </c>
      <c r="G293" s="72" t="s">
        <v>1878</v>
      </c>
      <c r="H293" s="72" t="s">
        <v>1878</v>
      </c>
      <c r="I293" s="443" t="s">
        <v>1583</v>
      </c>
      <c r="L293" s="71">
        <v>536053627.49000007</v>
      </c>
      <c r="M293" s="71">
        <v>129087293.69999999</v>
      </c>
      <c r="N293" s="71">
        <v>0</v>
      </c>
      <c r="O293" s="71">
        <v>0</v>
      </c>
    </row>
    <row r="294" spans="1:15">
      <c r="A294" s="72" t="s">
        <v>3095</v>
      </c>
      <c r="C294" s="71">
        <v>3549711176</v>
      </c>
      <c r="D294" s="71">
        <v>633142148</v>
      </c>
      <c r="E294" s="71">
        <v>2903045361.3061543</v>
      </c>
      <c r="F294" s="71">
        <v>16265385</v>
      </c>
      <c r="G294" s="71">
        <v>0</v>
      </c>
      <c r="H294" s="71">
        <v>-2741718.3061540127</v>
      </c>
      <c r="I294" s="71">
        <v>1</v>
      </c>
      <c r="L294" s="71">
        <v>41234894</v>
      </c>
      <c r="M294" s="71">
        <v>9929792</v>
      </c>
      <c r="N294" s="71">
        <v>0</v>
      </c>
      <c r="O294" s="71">
        <v>0</v>
      </c>
    </row>
    <row r="295" spans="1:15">
      <c r="C295" s="72" t="s">
        <v>1878</v>
      </c>
      <c r="D295" s="72" t="s">
        <v>1878</v>
      </c>
      <c r="E295" s="72" t="s">
        <v>1878</v>
      </c>
      <c r="F295" s="72" t="s">
        <v>1878</v>
      </c>
      <c r="G295" s="72" t="s">
        <v>1878</v>
      </c>
      <c r="H295" s="72" t="s">
        <v>1878</v>
      </c>
      <c r="I295" s="443" t="s">
        <v>1583</v>
      </c>
      <c r="L295" s="443" t="s">
        <v>510</v>
      </c>
      <c r="M295" s="443" t="s">
        <v>510</v>
      </c>
      <c r="N295" s="72" t="s">
        <v>736</v>
      </c>
      <c r="O295" s="443" t="s">
        <v>510</v>
      </c>
    </row>
    <row r="297" spans="1:15">
      <c r="A297" s="72" t="s">
        <v>2657</v>
      </c>
      <c r="C297" s="71">
        <v>-57276998</v>
      </c>
      <c r="D297" s="71">
        <v>2712810409</v>
      </c>
      <c r="E297" s="71">
        <v>-2767320133.3061543</v>
      </c>
      <c r="F297" s="71">
        <v>-2767271</v>
      </c>
      <c r="G297" s="71">
        <v>0</v>
      </c>
      <c r="H297" s="71">
        <v>-2.6938459873199463</v>
      </c>
      <c r="I297" s="71">
        <v>30316612</v>
      </c>
    </row>
    <row r="298" spans="1:15">
      <c r="C298" s="72" t="s">
        <v>736</v>
      </c>
      <c r="D298" s="72" t="s">
        <v>736</v>
      </c>
      <c r="E298" s="72" t="s">
        <v>736</v>
      </c>
      <c r="F298" s="72" t="s">
        <v>736</v>
      </c>
      <c r="G298" s="72" t="s">
        <v>736</v>
      </c>
      <c r="H298" s="72" t="s">
        <v>736</v>
      </c>
      <c r="I298" s="443" t="s">
        <v>510</v>
      </c>
    </row>
    <row r="299" spans="1:15">
      <c r="A299" s="72" t="s">
        <v>3096</v>
      </c>
      <c r="G299" s="71">
        <v>2808098</v>
      </c>
      <c r="H299" s="184" t="s">
        <v>3501</v>
      </c>
      <c r="K299" s="70"/>
    </row>
    <row r="300" spans="1:15">
      <c r="D300" s="73">
        <v>1127284823</v>
      </c>
      <c r="E300" s="73">
        <v>1118747475</v>
      </c>
    </row>
    <row r="301" spans="1:15">
      <c r="D301" s="73">
        <v>1585525586</v>
      </c>
    </row>
    <row r="302" spans="1:15">
      <c r="A302" s="72" t="s">
        <v>2869</v>
      </c>
    </row>
    <row r="303" spans="1:15">
      <c r="A303" s="72" t="s">
        <v>2870</v>
      </c>
    </row>
    <row r="304" spans="1:15">
      <c r="A304" s="72" t="s">
        <v>3097</v>
      </c>
    </row>
    <row r="305" spans="1:1">
      <c r="A305" s="72" t="s">
        <v>3098</v>
      </c>
    </row>
    <row r="306" spans="1:1">
      <c r="A306" s="72" t="s">
        <v>3099</v>
      </c>
    </row>
    <row r="307" spans="1:1">
      <c r="A307" s="72" t="s">
        <v>3100</v>
      </c>
    </row>
    <row r="308" spans="1:1">
      <c r="A308" s="72" t="s">
        <v>3101</v>
      </c>
    </row>
    <row r="309" spans="1:1">
      <c r="A309" s="72" t="s">
        <v>3102</v>
      </c>
    </row>
    <row r="310" spans="1:1">
      <c r="A310" s="72" t="s">
        <v>3103</v>
      </c>
    </row>
    <row r="311" spans="1:1">
      <c r="A311" s="72" t="s">
        <v>3104</v>
      </c>
    </row>
    <row r="312" spans="1:1">
      <c r="A312" s="72" t="s">
        <v>3105</v>
      </c>
    </row>
    <row r="313" spans="1:1">
      <c r="A313" s="72" t="s">
        <v>3106</v>
      </c>
    </row>
    <row r="314" spans="1:1">
      <c r="A314" s="72" t="s">
        <v>3107</v>
      </c>
    </row>
    <row r="315" spans="1:1">
      <c r="A315" s="72" t="s">
        <v>3108</v>
      </c>
    </row>
    <row r="316" spans="1:1">
      <c r="A316" s="72" t="s">
        <v>3109</v>
      </c>
    </row>
    <row r="318" spans="1:1">
      <c r="A318" s="72" t="s">
        <v>3110</v>
      </c>
    </row>
    <row r="319" spans="1:1">
      <c r="A319" s="72" t="s">
        <v>3111</v>
      </c>
    </row>
    <row r="320" spans="1:1">
      <c r="A320" s="72" t="s">
        <v>3112</v>
      </c>
    </row>
    <row r="321" spans="1:1">
      <c r="A321" s="72" t="s">
        <v>3113</v>
      </c>
    </row>
    <row r="322" spans="1:1">
      <c r="A322" s="72" t="s">
        <v>3114</v>
      </c>
    </row>
    <row r="323" spans="1:1">
      <c r="A323" s="72" t="s">
        <v>3115</v>
      </c>
    </row>
    <row r="324" spans="1:1">
      <c r="A324" s="72" t="s">
        <v>3116</v>
      </c>
    </row>
    <row r="325" spans="1:1">
      <c r="A325" s="72" t="s">
        <v>3117</v>
      </c>
    </row>
    <row r="326" spans="1:1">
      <c r="A326" s="72" t="s">
        <v>3118</v>
      </c>
    </row>
    <row r="327" spans="1:1">
      <c r="A327" s="72" t="s">
        <v>3119</v>
      </c>
    </row>
    <row r="328" spans="1:1">
      <c r="A328" s="72" t="s">
        <v>3120</v>
      </c>
    </row>
    <row r="329" spans="1:1">
      <c r="A329" s="72" t="s">
        <v>3121</v>
      </c>
    </row>
    <row r="330" spans="1:1">
      <c r="A330" s="72" t="s">
        <v>3118</v>
      </c>
    </row>
    <row r="331" spans="1:1">
      <c r="A331" s="72" t="s">
        <v>3122</v>
      </c>
    </row>
    <row r="332" spans="1:1">
      <c r="A332" s="72" t="s">
        <v>3123</v>
      </c>
    </row>
    <row r="358" spans="1:16">
      <c r="I358" s="471"/>
    </row>
    <row r="361" spans="1:16">
      <c r="A361" s="72" t="s">
        <v>3124</v>
      </c>
    </row>
    <row r="362" spans="1:16">
      <c r="A362" s="72" t="s">
        <v>3125</v>
      </c>
    </row>
    <row r="363" spans="1:16">
      <c r="A363" s="72" t="s">
        <v>1557</v>
      </c>
      <c r="O363" s="72" t="s">
        <v>3126</v>
      </c>
    </row>
    <row r="364" spans="1:16">
      <c r="C364" s="72" t="s">
        <v>1910</v>
      </c>
      <c r="D364" s="72" t="s">
        <v>588</v>
      </c>
      <c r="E364" s="72" t="s">
        <v>598</v>
      </c>
      <c r="F364" s="72" t="s">
        <v>609</v>
      </c>
      <c r="G364" s="72" t="s">
        <v>618</v>
      </c>
      <c r="H364" s="72" t="s">
        <v>629</v>
      </c>
      <c r="I364" s="72" t="s">
        <v>639</v>
      </c>
      <c r="J364" s="72" t="s">
        <v>649</v>
      </c>
      <c r="K364" s="72" t="s">
        <v>658</v>
      </c>
      <c r="L364" s="72" t="s">
        <v>669</v>
      </c>
      <c r="M364" s="72" t="s">
        <v>679</v>
      </c>
      <c r="N364" s="72" t="s">
        <v>1557</v>
      </c>
      <c r="O364" s="183" t="s">
        <v>2581</v>
      </c>
    </row>
    <row r="365" spans="1:16">
      <c r="C365" s="72" t="s">
        <v>1214</v>
      </c>
      <c r="D365" s="72" t="s">
        <v>1214</v>
      </c>
      <c r="E365" s="72" t="s">
        <v>1214</v>
      </c>
      <c r="F365" s="72" t="s">
        <v>1214</v>
      </c>
      <c r="G365" s="72" t="s">
        <v>1214</v>
      </c>
      <c r="H365" s="72" t="s">
        <v>1214</v>
      </c>
      <c r="I365" s="72" t="s">
        <v>1214</v>
      </c>
      <c r="J365" s="72" t="s">
        <v>1214</v>
      </c>
      <c r="K365" s="72" t="s">
        <v>1214</v>
      </c>
      <c r="L365" s="72" t="s">
        <v>1214</v>
      </c>
      <c r="M365" s="72" t="s">
        <v>1214</v>
      </c>
      <c r="N365" s="72" t="s">
        <v>1214</v>
      </c>
      <c r="O365" s="72" t="s">
        <v>1214</v>
      </c>
    </row>
    <row r="366" spans="1:16">
      <c r="A366" s="72" t="s">
        <v>3127</v>
      </c>
    </row>
    <row r="367" spans="1:16">
      <c r="A367" s="72" t="s">
        <v>3128</v>
      </c>
      <c r="C367" s="70">
        <v>5646245.5500000473</v>
      </c>
      <c r="D367" s="70">
        <v>12536619.689999998</v>
      </c>
      <c r="E367" s="70">
        <v>15216576.230000002</v>
      </c>
      <c r="F367" s="70">
        <v>16801091.669999998</v>
      </c>
      <c r="G367" s="70">
        <v>16198797.560000014</v>
      </c>
      <c r="H367" s="70">
        <v>11826900.360000011</v>
      </c>
      <c r="I367" s="70">
        <v>8360602.0199999902</v>
      </c>
      <c r="J367" s="70">
        <v>5397008.0900000045</v>
      </c>
      <c r="K367" s="70">
        <v>8879494.7800000049</v>
      </c>
      <c r="L367" s="70">
        <v>7406534.8999999873</v>
      </c>
      <c r="M367" s="70">
        <v>3712583.7799999854</v>
      </c>
      <c r="N367" s="70">
        <v>2122974.7199999783</v>
      </c>
      <c r="O367" s="71">
        <v>114105429.35000004</v>
      </c>
      <c r="P367" s="70"/>
    </row>
    <row r="368" spans="1:16">
      <c r="A368" s="72" t="s">
        <v>3129</v>
      </c>
      <c r="C368" s="70">
        <v>-516875</v>
      </c>
      <c r="D368" s="70">
        <v>-516875</v>
      </c>
      <c r="E368" s="70">
        <v>-516875</v>
      </c>
      <c r="F368" s="70">
        <v>-516875</v>
      </c>
      <c r="G368" s="70">
        <v>-516875</v>
      </c>
      <c r="H368" s="70">
        <v>-516875</v>
      </c>
      <c r="I368" s="70">
        <v>-516875</v>
      </c>
      <c r="J368" s="70">
        <v>-516875.00000000466</v>
      </c>
      <c r="K368" s="70">
        <v>-516875</v>
      </c>
      <c r="L368" s="70">
        <v>-516875</v>
      </c>
      <c r="M368" s="70">
        <v>-516875</v>
      </c>
      <c r="N368" s="70">
        <v>-516875</v>
      </c>
      <c r="O368" s="71">
        <v>-6202500.0000000047</v>
      </c>
      <c r="P368" s="70"/>
    </row>
    <row r="369" spans="1:20">
      <c r="A369" s="72" t="s">
        <v>3130</v>
      </c>
      <c r="C369" s="70">
        <v>-26075000</v>
      </c>
      <c r="D369" s="70">
        <v>0</v>
      </c>
      <c r="E369" s="70">
        <v>0</v>
      </c>
      <c r="F369" s="70">
        <v>-26075000</v>
      </c>
      <c r="G369" s="70">
        <v>0</v>
      </c>
      <c r="H369" s="70">
        <v>0</v>
      </c>
      <c r="I369" s="70">
        <v>-26075000</v>
      </c>
      <c r="J369" s="70">
        <v>0</v>
      </c>
      <c r="K369" s="70">
        <v>0</v>
      </c>
      <c r="L369" s="70">
        <v>-27500000</v>
      </c>
      <c r="M369" s="70">
        <v>0</v>
      </c>
      <c r="N369" s="70">
        <v>0</v>
      </c>
      <c r="O369" s="71">
        <v>-105725000</v>
      </c>
      <c r="P369" s="70"/>
    </row>
    <row r="370" spans="1:20">
      <c r="A370" s="72" t="s">
        <v>3131</v>
      </c>
      <c r="C370" s="70">
        <v>-755439.28</v>
      </c>
      <c r="D370" s="70">
        <v>-789462.33</v>
      </c>
      <c r="E370" s="70">
        <v>-826197.55</v>
      </c>
      <c r="F370" s="70">
        <v>-891676.74</v>
      </c>
      <c r="G370" s="70">
        <v>-946556.26</v>
      </c>
      <c r="H370" s="70">
        <v>-152622.54999999999</v>
      </c>
      <c r="I370" s="70">
        <v>-1004600.09</v>
      </c>
      <c r="J370" s="70">
        <v>-1846279.15</v>
      </c>
      <c r="K370" s="70">
        <v>-937477.35</v>
      </c>
      <c r="L370" s="70">
        <v>-971352.51</v>
      </c>
      <c r="M370" s="70">
        <v>-998144.25</v>
      </c>
      <c r="N370" s="70">
        <v>-1015992.3800000001</v>
      </c>
      <c r="O370" s="71">
        <v>-11135800.439999999</v>
      </c>
      <c r="P370" s="70"/>
    </row>
    <row r="371" spans="1:20">
      <c r="A371" s="72" t="s">
        <v>3132</v>
      </c>
      <c r="C371" s="71">
        <v>10165841.6</v>
      </c>
      <c r="D371" s="71">
        <v>10274722.029999997</v>
      </c>
      <c r="E371" s="71">
        <v>10452575.76</v>
      </c>
      <c r="F371" s="71">
        <v>10322695.719999999</v>
      </c>
      <c r="G371" s="71">
        <v>15237670.579999998</v>
      </c>
      <c r="H371" s="71">
        <v>10894121.84</v>
      </c>
      <c r="I371" s="71">
        <v>10986204.4</v>
      </c>
      <c r="J371" s="71">
        <v>11309317.549999999</v>
      </c>
      <c r="K371" s="71">
        <v>11009004.879999999</v>
      </c>
      <c r="L371" s="71">
        <v>11377840.84</v>
      </c>
      <c r="M371" s="71">
        <v>11356400.460000001</v>
      </c>
      <c r="N371" s="71">
        <v>11403632.479999999</v>
      </c>
      <c r="O371" s="71">
        <v>134790028.13999999</v>
      </c>
      <c r="P371" s="70"/>
    </row>
    <row r="372" spans="1:20">
      <c r="A372" s="72" t="s">
        <v>3133</v>
      </c>
      <c r="C372" s="70">
        <v>574869.24999999919</v>
      </c>
      <c r="D372" s="70">
        <v>443796.71</v>
      </c>
      <c r="E372" s="70">
        <v>2255727.31</v>
      </c>
      <c r="F372" s="70">
        <v>2151134.56</v>
      </c>
      <c r="G372" s="70">
        <v>4022766.42</v>
      </c>
      <c r="H372" s="70">
        <v>42989788.319999993</v>
      </c>
      <c r="I372" s="70">
        <v>-237708.57</v>
      </c>
      <c r="J372" s="70">
        <v>3787799.03</v>
      </c>
      <c r="K372" s="70">
        <v>26143691.600000001</v>
      </c>
      <c r="L372" s="70">
        <v>-3086164.66</v>
      </c>
      <c r="M372" s="70">
        <v>7301889.4000000004</v>
      </c>
      <c r="N372" s="70">
        <v>6233994.7800000012</v>
      </c>
      <c r="O372" s="71">
        <v>92581584.150000006</v>
      </c>
      <c r="P372" s="70"/>
    </row>
    <row r="373" spans="1:20">
      <c r="A373" s="72" t="s">
        <v>3134</v>
      </c>
      <c r="C373" s="70">
        <v>0</v>
      </c>
      <c r="D373" s="70">
        <v>0</v>
      </c>
      <c r="E373" s="70">
        <v>0</v>
      </c>
      <c r="F373" s="70">
        <v>0</v>
      </c>
      <c r="G373" s="70">
        <v>0</v>
      </c>
      <c r="H373" s="70">
        <v>0</v>
      </c>
      <c r="I373" s="70">
        <v>0</v>
      </c>
      <c r="J373" s="70">
        <v>0</v>
      </c>
      <c r="K373" s="70">
        <v>0</v>
      </c>
      <c r="L373" s="70">
        <v>0</v>
      </c>
      <c r="M373" s="70">
        <v>0</v>
      </c>
      <c r="N373" s="70">
        <v>0</v>
      </c>
      <c r="O373" s="71">
        <v>0</v>
      </c>
      <c r="P373" s="70"/>
    </row>
    <row r="374" spans="1:20">
      <c r="A374" s="72" t="s">
        <v>3135</v>
      </c>
      <c r="C374" s="71">
        <v>-62910461.860000037</v>
      </c>
      <c r="D374" s="71">
        <v>533160.8499999959</v>
      </c>
      <c r="E374" s="71">
        <v>29137005.570000015</v>
      </c>
      <c r="F374" s="71">
        <v>13599927.119999997</v>
      </c>
      <c r="G374" s="71">
        <v>-8203870.9499999974</v>
      </c>
      <c r="H374" s="71">
        <v>-91617496.440000072</v>
      </c>
      <c r="I374" s="71">
        <v>106171893.54000004</v>
      </c>
      <c r="J374" s="71">
        <v>-8034443.9800000507</v>
      </c>
      <c r="K374" s="71">
        <v>-50559774.85999997</v>
      </c>
      <c r="L374" s="71">
        <v>35752196.110000074</v>
      </c>
      <c r="M374" s="71">
        <v>26525820.59999989</v>
      </c>
      <c r="N374" s="71">
        <v>-31777821.829999894</v>
      </c>
      <c r="O374" s="71">
        <v>-41383866.13000001</v>
      </c>
      <c r="P374" s="70"/>
    </row>
    <row r="375" spans="1:20">
      <c r="C375" s="72" t="s">
        <v>1878</v>
      </c>
      <c r="D375" s="72" t="s">
        <v>1878</v>
      </c>
      <c r="E375" s="72" t="s">
        <v>1878</v>
      </c>
      <c r="F375" s="72" t="s">
        <v>1878</v>
      </c>
      <c r="G375" s="72" t="s">
        <v>1878</v>
      </c>
      <c r="H375" s="72" t="s">
        <v>1878</v>
      </c>
      <c r="I375" s="72" t="s">
        <v>1878</v>
      </c>
      <c r="J375" s="72" t="s">
        <v>1878</v>
      </c>
      <c r="K375" s="72" t="s">
        <v>1878</v>
      </c>
      <c r="L375" s="72" t="s">
        <v>1878</v>
      </c>
      <c r="M375" s="72" t="s">
        <v>1878</v>
      </c>
      <c r="N375" s="72" t="s">
        <v>1878</v>
      </c>
      <c r="O375" s="72" t="s">
        <v>1878</v>
      </c>
      <c r="P375" s="70"/>
    </row>
    <row r="376" spans="1:20">
      <c r="A376" s="72" t="s">
        <v>3136</v>
      </c>
      <c r="C376" s="71">
        <v>-73870819.739999995</v>
      </c>
      <c r="D376" s="71">
        <v>22481961.949999992</v>
      </c>
      <c r="E376" s="71">
        <v>55718812.320000023</v>
      </c>
      <c r="F376" s="71">
        <v>15391297.329999994</v>
      </c>
      <c r="G376" s="71">
        <v>25791932.350000016</v>
      </c>
      <c r="H376" s="71">
        <v>-26576183.470000058</v>
      </c>
      <c r="I376" s="71">
        <v>97684516.300000042</v>
      </c>
      <c r="J376" s="71">
        <v>10096526.539999947</v>
      </c>
      <c r="K376" s="71">
        <v>-5981935.9499999583</v>
      </c>
      <c r="L376" s="71">
        <v>22462179.680000067</v>
      </c>
      <c r="M376" s="71">
        <v>47381674.989999875</v>
      </c>
      <c r="N376" s="71">
        <v>-13550087.229999915</v>
      </c>
      <c r="O376" s="71">
        <v>177029875.07000005</v>
      </c>
      <c r="P376" s="70"/>
    </row>
    <row r="377" spans="1:20">
      <c r="C377" s="72" t="s">
        <v>736</v>
      </c>
      <c r="D377" s="72" t="s">
        <v>736</v>
      </c>
      <c r="E377" s="72" t="s">
        <v>736</v>
      </c>
      <c r="F377" s="72" t="s">
        <v>736</v>
      </c>
      <c r="G377" s="72" t="s">
        <v>736</v>
      </c>
      <c r="H377" s="72" t="s">
        <v>736</v>
      </c>
      <c r="I377" s="72" t="s">
        <v>736</v>
      </c>
      <c r="J377" s="72" t="s">
        <v>736</v>
      </c>
      <c r="K377" s="72" t="s">
        <v>736</v>
      </c>
      <c r="L377" s="72" t="s">
        <v>736</v>
      </c>
      <c r="M377" s="72" t="s">
        <v>736</v>
      </c>
      <c r="N377" s="72" t="s">
        <v>736</v>
      </c>
      <c r="O377" s="72" t="s">
        <v>736</v>
      </c>
      <c r="P377" s="70"/>
    </row>
    <row r="378" spans="1:20">
      <c r="A378" s="72" t="s">
        <v>3137</v>
      </c>
      <c r="P378" s="70"/>
    </row>
    <row r="379" spans="1:20"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P379" s="70"/>
    </row>
    <row r="380" spans="1:20">
      <c r="A380" s="72" t="s">
        <v>3138</v>
      </c>
      <c r="C380" s="70">
        <v>0</v>
      </c>
      <c r="D380" s="70">
        <v>0</v>
      </c>
      <c r="E380" s="70">
        <v>0</v>
      </c>
      <c r="F380" s="70">
        <v>0</v>
      </c>
      <c r="G380" s="70">
        <v>0</v>
      </c>
      <c r="H380" s="70">
        <v>0</v>
      </c>
      <c r="I380" s="70">
        <v>0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1">
        <v>0</v>
      </c>
      <c r="P380" s="70"/>
      <c r="S380" s="185" t="s">
        <v>3139</v>
      </c>
    </row>
    <row r="381" spans="1:20">
      <c r="A381" s="72" t="s">
        <v>3140</v>
      </c>
      <c r="C381" s="70">
        <v>88822.379999995232</v>
      </c>
      <c r="D381" s="70">
        <v>43315.430000007153</v>
      </c>
      <c r="E381" s="70">
        <v>1131402.5899999738</v>
      </c>
      <c r="F381" s="70">
        <v>176834.62000000477</v>
      </c>
      <c r="G381" s="70">
        <v>102667.63999998569</v>
      </c>
      <c r="H381" s="70">
        <v>1473614.4400000572</v>
      </c>
      <c r="I381" s="70">
        <v>107253.91999995708</v>
      </c>
      <c r="J381" s="70">
        <v>71915.820000052452</v>
      </c>
      <c r="K381" s="70">
        <v>-1269800.5800000429</v>
      </c>
      <c r="L381" s="70">
        <v>50168586.309999943</v>
      </c>
      <c r="M381" s="70">
        <v>68390.630000114441</v>
      </c>
      <c r="N381" s="70">
        <v>1254538.7199999094</v>
      </c>
      <c r="O381" s="71">
        <v>53417541.919999957</v>
      </c>
      <c r="P381" s="70"/>
      <c r="S381" s="186" t="s">
        <v>3141</v>
      </c>
      <c r="T381" s="186" t="s">
        <v>3142</v>
      </c>
    </row>
    <row r="382" spans="1:20">
      <c r="A382" s="72" t="s">
        <v>3143</v>
      </c>
      <c r="C382" s="70">
        <v>174951000</v>
      </c>
      <c r="D382" s="70">
        <v>-3908069.22</v>
      </c>
      <c r="E382" s="70">
        <v>-119127315</v>
      </c>
      <c r="F382" s="70">
        <v>-238057.41</v>
      </c>
      <c r="G382" s="70">
        <v>-55000</v>
      </c>
      <c r="H382" s="70">
        <v>125000000</v>
      </c>
      <c r="I382" s="70">
        <v>-75049000</v>
      </c>
      <c r="J382" s="70">
        <v>-33000</v>
      </c>
      <c r="K382" s="70">
        <v>-20000</v>
      </c>
      <c r="L382" s="70">
        <v>0</v>
      </c>
      <c r="M382" s="70">
        <v>-73000</v>
      </c>
      <c r="N382" s="70">
        <v>-52000</v>
      </c>
      <c r="O382" s="71">
        <v>101395558.37</v>
      </c>
      <c r="P382" s="70"/>
      <c r="S382" s="73">
        <v>0</v>
      </c>
      <c r="T382" s="73">
        <v>0</v>
      </c>
    </row>
    <row r="383" spans="1:20">
      <c r="A383" s="72" t="s">
        <v>3144</v>
      </c>
      <c r="C383" s="81">
        <v>-82288768.280000001</v>
      </c>
      <c r="D383" s="81">
        <v>0</v>
      </c>
      <c r="E383" s="81">
        <v>86041256.670000002</v>
      </c>
      <c r="F383" s="81">
        <v>-1259865.56</v>
      </c>
      <c r="G383" s="81">
        <v>-9498592.7800000012</v>
      </c>
      <c r="H383" s="81">
        <v>-75282798.329999998</v>
      </c>
      <c r="I383" s="81">
        <v>1205709.3</v>
      </c>
      <c r="J383" s="81">
        <v>5599962.6699999999</v>
      </c>
      <c r="K383" s="81">
        <v>86377781.510000005</v>
      </c>
      <c r="L383" s="81">
        <v>-47384966.260000005</v>
      </c>
      <c r="M383" s="81">
        <v>-13094632.369999997</v>
      </c>
      <c r="N383" s="81">
        <v>53859203.850000001</v>
      </c>
      <c r="O383" s="71">
        <v>4274290.4200000018</v>
      </c>
      <c r="P383" s="70"/>
    </row>
    <row r="384" spans="1:20">
      <c r="C384" s="72" t="s">
        <v>1878</v>
      </c>
      <c r="D384" s="72" t="s">
        <v>1878</v>
      </c>
      <c r="E384" s="72" t="s">
        <v>1878</v>
      </c>
      <c r="F384" s="72" t="s">
        <v>1878</v>
      </c>
      <c r="G384" s="72" t="s">
        <v>1878</v>
      </c>
      <c r="H384" s="72" t="s">
        <v>1878</v>
      </c>
      <c r="I384" s="72" t="s">
        <v>1878</v>
      </c>
      <c r="J384" s="72" t="s">
        <v>1878</v>
      </c>
      <c r="K384" s="72" t="s">
        <v>1878</v>
      </c>
      <c r="L384" s="72" t="s">
        <v>1878</v>
      </c>
      <c r="M384" s="72" t="s">
        <v>1878</v>
      </c>
      <c r="N384" s="72" t="s">
        <v>1878</v>
      </c>
      <c r="O384" s="72" t="s">
        <v>1878</v>
      </c>
      <c r="P384" s="70"/>
    </row>
    <row r="385" spans="1:16">
      <c r="A385" s="72" t="s">
        <v>3145</v>
      </c>
      <c r="C385" s="71">
        <v>92751054.099999994</v>
      </c>
      <c r="D385" s="71">
        <v>-3864753.7899999931</v>
      </c>
      <c r="E385" s="71">
        <v>-31954655.740000024</v>
      </c>
      <c r="F385" s="71">
        <v>-1321088.3499999952</v>
      </c>
      <c r="G385" s="71">
        <v>-9450925.1400000155</v>
      </c>
      <c r="H385" s="71">
        <v>51190816.110000059</v>
      </c>
      <c r="I385" s="71">
        <v>-73736036.780000046</v>
      </c>
      <c r="J385" s="71">
        <v>5638878.4900000524</v>
      </c>
      <c r="K385" s="71">
        <v>85087980.929999962</v>
      </c>
      <c r="L385" s="71">
        <v>2783620.0499999374</v>
      </c>
      <c r="M385" s="71">
        <v>-13099241.739999883</v>
      </c>
      <c r="N385" s="71">
        <v>55061742.569999911</v>
      </c>
      <c r="O385" s="71">
        <v>159087390.70999998</v>
      </c>
      <c r="P385" s="70"/>
    </row>
    <row r="386" spans="1:16">
      <c r="C386" s="72" t="s">
        <v>736</v>
      </c>
      <c r="D386" s="72" t="s">
        <v>736</v>
      </c>
      <c r="E386" s="72" t="s">
        <v>736</v>
      </c>
      <c r="F386" s="72" t="s">
        <v>736</v>
      </c>
      <c r="G386" s="72" t="s">
        <v>736</v>
      </c>
      <c r="H386" s="72" t="s">
        <v>736</v>
      </c>
      <c r="I386" s="72" t="s">
        <v>736</v>
      </c>
      <c r="J386" s="72" t="s">
        <v>736</v>
      </c>
      <c r="K386" s="72" t="s">
        <v>736</v>
      </c>
      <c r="L386" s="72" t="s">
        <v>736</v>
      </c>
      <c r="M386" s="72" t="s">
        <v>736</v>
      </c>
      <c r="N386" s="72" t="s">
        <v>736</v>
      </c>
      <c r="O386" s="72" t="s">
        <v>736</v>
      </c>
      <c r="P386" s="70"/>
    </row>
    <row r="387" spans="1:16">
      <c r="A387" s="72" t="s">
        <v>3146</v>
      </c>
      <c r="C387" s="70">
        <v>18880234.360000003</v>
      </c>
      <c r="D387" s="70">
        <v>18617208.16</v>
      </c>
      <c r="E387" s="70">
        <v>23764156.580000002</v>
      </c>
      <c r="F387" s="70">
        <v>14070208.979999999</v>
      </c>
      <c r="G387" s="70">
        <v>16341007.210000001</v>
      </c>
      <c r="H387" s="70">
        <v>24614632.640000001</v>
      </c>
      <c r="I387" s="70">
        <v>23948479.52</v>
      </c>
      <c r="J387" s="70">
        <v>15735405.029999999</v>
      </c>
      <c r="K387" s="70">
        <v>79106044.980000004</v>
      </c>
      <c r="L387" s="70">
        <v>25245799.730000004</v>
      </c>
      <c r="M387" s="70">
        <v>34282433.249999993</v>
      </c>
      <c r="N387" s="70">
        <v>41511655.339999996</v>
      </c>
      <c r="O387" s="71">
        <v>336117265.78000003</v>
      </c>
      <c r="P387" s="472">
        <v>0.52669081030152143</v>
      </c>
    </row>
    <row r="388" spans="1:16">
      <c r="C388" s="72" t="s">
        <v>736</v>
      </c>
      <c r="D388" s="72" t="s">
        <v>736</v>
      </c>
      <c r="E388" s="72" t="s">
        <v>736</v>
      </c>
      <c r="F388" s="72" t="s">
        <v>736</v>
      </c>
      <c r="G388" s="72" t="s">
        <v>736</v>
      </c>
      <c r="H388" s="72" t="s">
        <v>736</v>
      </c>
      <c r="I388" s="72" t="s">
        <v>736</v>
      </c>
      <c r="J388" s="72" t="s">
        <v>736</v>
      </c>
      <c r="K388" s="72" t="s">
        <v>736</v>
      </c>
      <c r="L388" s="72" t="s">
        <v>736</v>
      </c>
      <c r="M388" s="72" t="s">
        <v>736</v>
      </c>
      <c r="N388" s="72" t="s">
        <v>736</v>
      </c>
      <c r="O388" s="72" t="s">
        <v>736</v>
      </c>
      <c r="P388" s="70"/>
    </row>
    <row r="389" spans="1:16">
      <c r="A389" s="72" t="s">
        <v>3147</v>
      </c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P389" s="70"/>
    </row>
    <row r="390" spans="1:16">
      <c r="A390" s="72" t="s">
        <v>3148</v>
      </c>
      <c r="C390" s="75">
        <v>9677603.6199999992</v>
      </c>
      <c r="D390" s="75">
        <v>9779662.5499999989</v>
      </c>
      <c r="E390" s="75">
        <v>9955980.9199999999</v>
      </c>
      <c r="F390" s="75">
        <v>9880715.6899999995</v>
      </c>
      <c r="G390" s="75">
        <v>14753720.189999999</v>
      </c>
      <c r="H390" s="75">
        <v>10434997.609999999</v>
      </c>
      <c r="I390" s="75">
        <v>10538507.120000001</v>
      </c>
      <c r="J390" s="75">
        <v>10624729.299999999</v>
      </c>
      <c r="K390" s="75">
        <v>10551430.279999999</v>
      </c>
      <c r="L390" s="75">
        <v>10725082.34</v>
      </c>
      <c r="M390" s="75">
        <v>10668293.439999999</v>
      </c>
      <c r="N390" s="75">
        <v>10710257.949999999</v>
      </c>
      <c r="O390" s="71">
        <v>128300981.00999999</v>
      </c>
      <c r="P390" s="70"/>
    </row>
    <row r="391" spans="1:16">
      <c r="A391" s="72" t="s">
        <v>3149</v>
      </c>
      <c r="C391" s="70">
        <v>235094.72</v>
      </c>
      <c r="D391" s="70">
        <v>235094.7</v>
      </c>
      <c r="E391" s="70">
        <v>234679.83</v>
      </c>
      <c r="F391" s="70">
        <v>227737.74</v>
      </c>
      <c r="G391" s="70">
        <v>236306.1</v>
      </c>
      <c r="H391" s="70">
        <v>228567.58</v>
      </c>
      <c r="I391" s="70">
        <v>228567.58</v>
      </c>
      <c r="J391" s="70">
        <v>445701.79</v>
      </c>
      <c r="K391" s="70">
        <v>224181.11</v>
      </c>
      <c r="L391" s="70">
        <v>436446.06</v>
      </c>
      <c r="M391" s="70">
        <v>468992.05</v>
      </c>
      <c r="N391" s="70">
        <v>458958.53</v>
      </c>
      <c r="O391" s="71">
        <v>3660327.79</v>
      </c>
      <c r="P391" s="70"/>
    </row>
    <row r="392" spans="1:16">
      <c r="A392" s="72" t="s">
        <v>3150</v>
      </c>
      <c r="C392" s="70">
        <v>0</v>
      </c>
      <c r="D392" s="70">
        <v>0</v>
      </c>
      <c r="E392" s="70">
        <v>0</v>
      </c>
      <c r="F392" s="70">
        <v>0</v>
      </c>
      <c r="G392" s="70">
        <v>0</v>
      </c>
      <c r="H392" s="70">
        <v>0</v>
      </c>
      <c r="I392" s="70">
        <v>0</v>
      </c>
      <c r="J392" s="70">
        <v>0</v>
      </c>
      <c r="K392" s="70">
        <v>0</v>
      </c>
      <c r="L392" s="70">
        <v>0</v>
      </c>
      <c r="M392" s="70">
        <v>0</v>
      </c>
      <c r="N392" s="70">
        <v>0</v>
      </c>
      <c r="O392" s="71">
        <v>0</v>
      </c>
      <c r="P392" s="70"/>
    </row>
    <row r="393" spans="1:16">
      <c r="A393" s="72" t="s">
        <v>3151</v>
      </c>
      <c r="C393" s="70">
        <v>253143.26</v>
      </c>
      <c r="D393" s="70">
        <v>259964.78</v>
      </c>
      <c r="E393" s="70">
        <v>261915.01</v>
      </c>
      <c r="F393" s="70">
        <v>214242.29</v>
      </c>
      <c r="G393" s="70">
        <v>247644.29</v>
      </c>
      <c r="H393" s="70">
        <v>230556.65</v>
      </c>
      <c r="I393" s="70">
        <v>219129.7</v>
      </c>
      <c r="J393" s="70">
        <v>238886.46</v>
      </c>
      <c r="K393" s="70">
        <v>233393.49</v>
      </c>
      <c r="L393" s="70">
        <v>216312.44</v>
      </c>
      <c r="M393" s="70">
        <v>219114.97</v>
      </c>
      <c r="N393" s="70">
        <v>234416</v>
      </c>
      <c r="O393" s="71">
        <v>2828719.34</v>
      </c>
      <c r="P393" s="70"/>
    </row>
    <row r="394" spans="1:16">
      <c r="A394" s="72" t="s">
        <v>3152</v>
      </c>
      <c r="C394" s="72" t="s">
        <v>1878</v>
      </c>
      <c r="D394" s="72" t="s">
        <v>1878</v>
      </c>
      <c r="E394" s="72" t="s">
        <v>1878</v>
      </c>
      <c r="F394" s="72" t="s">
        <v>1878</v>
      </c>
      <c r="G394" s="72" t="s">
        <v>1878</v>
      </c>
      <c r="H394" s="72" t="s">
        <v>1878</v>
      </c>
      <c r="I394" s="72" t="s">
        <v>1878</v>
      </c>
      <c r="J394" s="72" t="s">
        <v>1878</v>
      </c>
      <c r="K394" s="72" t="s">
        <v>1878</v>
      </c>
      <c r="L394" s="72" t="s">
        <v>1878</v>
      </c>
      <c r="M394" s="72" t="s">
        <v>1878</v>
      </c>
      <c r="N394" s="72" t="s">
        <v>1878</v>
      </c>
      <c r="O394" s="72" t="s">
        <v>1878</v>
      </c>
    </row>
    <row r="395" spans="1:16">
      <c r="C395" s="71">
        <v>10165841.6</v>
      </c>
      <c r="D395" s="71">
        <v>10274722.029999997</v>
      </c>
      <c r="E395" s="71">
        <v>10452575.76</v>
      </c>
      <c r="F395" s="71">
        <v>10322695.719999999</v>
      </c>
      <c r="G395" s="71">
        <v>15237670.579999998</v>
      </c>
      <c r="H395" s="71">
        <v>10894121.84</v>
      </c>
      <c r="I395" s="71">
        <v>10986204.4</v>
      </c>
      <c r="J395" s="71">
        <v>11309317.549999999</v>
      </c>
      <c r="K395" s="71">
        <v>11009004.879999999</v>
      </c>
      <c r="L395" s="71">
        <v>11377840.84</v>
      </c>
      <c r="M395" s="71">
        <v>11356400.460000001</v>
      </c>
      <c r="N395" s="71">
        <v>11403632.479999999</v>
      </c>
      <c r="O395" s="71">
        <v>134790028.13999999</v>
      </c>
    </row>
    <row r="396" spans="1:16">
      <c r="C396" s="72" t="s">
        <v>736</v>
      </c>
      <c r="D396" s="72" t="s">
        <v>736</v>
      </c>
      <c r="E396" s="72" t="s">
        <v>736</v>
      </c>
      <c r="F396" s="72" t="s">
        <v>736</v>
      </c>
      <c r="G396" s="72" t="s">
        <v>736</v>
      </c>
      <c r="H396" s="72" t="s">
        <v>736</v>
      </c>
      <c r="I396" s="72" t="s">
        <v>736</v>
      </c>
      <c r="J396" s="72" t="s">
        <v>736</v>
      </c>
      <c r="K396" s="72" t="s">
        <v>736</v>
      </c>
      <c r="L396" s="72" t="s">
        <v>736</v>
      </c>
      <c r="M396" s="72" t="s">
        <v>736</v>
      </c>
      <c r="N396" s="72" t="s">
        <v>736</v>
      </c>
      <c r="O396" s="72" t="s">
        <v>736</v>
      </c>
    </row>
    <row r="398" spans="1:16">
      <c r="A398" s="72" t="s">
        <v>766</v>
      </c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</row>
    <row r="399" spans="1:16">
      <c r="A399" s="72" t="s">
        <v>3153</v>
      </c>
    </row>
    <row r="400" spans="1:16">
      <c r="A400" s="72" t="s">
        <v>3154</v>
      </c>
    </row>
    <row r="401" spans="1:1">
      <c r="A401" s="72" t="s">
        <v>3155</v>
      </c>
    </row>
    <row r="402" spans="1:1">
      <c r="A402" s="72" t="s">
        <v>3156</v>
      </c>
    </row>
    <row r="403" spans="1:1">
      <c r="A403" s="72" t="s">
        <v>3157</v>
      </c>
    </row>
    <row r="404" spans="1:1">
      <c r="A404" s="72" t="s">
        <v>3158</v>
      </c>
    </row>
    <row r="405" spans="1:1">
      <c r="A405" s="72" t="s">
        <v>3159</v>
      </c>
    </row>
    <row r="406" spans="1:1">
      <c r="A406" s="72" t="s">
        <v>3160</v>
      </c>
    </row>
    <row r="407" spans="1:1">
      <c r="A407" s="72" t="s">
        <v>3161</v>
      </c>
    </row>
    <row r="408" spans="1:1">
      <c r="A408" s="72" t="s">
        <v>3162</v>
      </c>
    </row>
    <row r="409" spans="1:1">
      <c r="A409" s="72" t="s">
        <v>3163</v>
      </c>
    </row>
    <row r="410" spans="1:1">
      <c r="A410" s="72" t="s">
        <v>3164</v>
      </c>
    </row>
    <row r="411" spans="1:1">
      <c r="A411" s="72" t="s">
        <v>3165</v>
      </c>
    </row>
    <row r="412" spans="1:1">
      <c r="A412" s="72" t="s">
        <v>567</v>
      </c>
    </row>
    <row r="413" spans="1:1">
      <c r="A413" s="72" t="s">
        <v>568</v>
      </c>
    </row>
    <row r="414" spans="1:1">
      <c r="A414" s="72" t="s">
        <v>569</v>
      </c>
    </row>
    <row r="415" spans="1:1">
      <c r="A415" s="72" t="s">
        <v>570</v>
      </c>
    </row>
    <row r="416" spans="1:1">
      <c r="A416" s="72" t="s">
        <v>571</v>
      </c>
    </row>
    <row r="417" spans="1:30">
      <c r="A417" s="72" t="s">
        <v>572</v>
      </c>
    </row>
    <row r="418" spans="1:30">
      <c r="A418" s="72" t="s">
        <v>573</v>
      </c>
    </row>
    <row r="419" spans="1:30">
      <c r="A419" s="72" t="s">
        <v>574</v>
      </c>
    </row>
    <row r="421" spans="1:30">
      <c r="A421" s="72" t="s">
        <v>575</v>
      </c>
      <c r="D421" s="72" t="s">
        <v>1309</v>
      </c>
      <c r="I421" s="72" t="s">
        <v>58</v>
      </c>
    </row>
    <row r="422" spans="1:30">
      <c r="A422" s="72" t="s">
        <v>2587</v>
      </c>
      <c r="D422" s="72" t="s">
        <v>1311</v>
      </c>
      <c r="I422" s="72" t="s">
        <v>2587</v>
      </c>
    </row>
    <row r="423" spans="1:30">
      <c r="A423" s="72" t="s">
        <v>576</v>
      </c>
      <c r="D423" s="72" t="s">
        <v>577</v>
      </c>
    </row>
    <row r="424" spans="1:30">
      <c r="A424" s="72" t="s">
        <v>578</v>
      </c>
      <c r="E424" s="72" t="s">
        <v>1557</v>
      </c>
    </row>
    <row r="426" spans="1:30">
      <c r="A426" s="187" t="s">
        <v>2589</v>
      </c>
      <c r="D426" s="188" t="s">
        <v>2590</v>
      </c>
      <c r="F426" s="187" t="s">
        <v>2591</v>
      </c>
      <c r="I426" s="188" t="s">
        <v>2590</v>
      </c>
      <c r="J426" s="188" t="s">
        <v>2592</v>
      </c>
    </row>
    <row r="427" spans="1:30">
      <c r="A427" s="72"/>
      <c r="D427" s="72"/>
      <c r="F427" s="72"/>
      <c r="I427" s="72"/>
      <c r="J427" s="72"/>
    </row>
    <row r="428" spans="1:30">
      <c r="A428" s="72" t="s">
        <v>579</v>
      </c>
      <c r="F428" s="72" t="s">
        <v>2594</v>
      </c>
      <c r="I428" s="71">
        <v>-40354804.57</v>
      </c>
      <c r="J428" s="71">
        <v>-15566866</v>
      </c>
      <c r="L428" s="72" t="s">
        <v>580</v>
      </c>
    </row>
    <row r="429" spans="1:30">
      <c r="A429" s="72" t="s">
        <v>2595</v>
      </c>
      <c r="D429" s="71">
        <v>0</v>
      </c>
      <c r="F429" s="72" t="s">
        <v>2596</v>
      </c>
      <c r="I429" s="70">
        <v>-98610966.966629371</v>
      </c>
      <c r="J429" s="71">
        <v>-38039181</v>
      </c>
      <c r="AC429" s="180">
        <v>0</v>
      </c>
      <c r="AD429" s="180">
        <v>0</v>
      </c>
    </row>
    <row r="430" spans="1:30">
      <c r="A430" s="72" t="s">
        <v>2597</v>
      </c>
      <c r="D430" s="71">
        <v>0</v>
      </c>
      <c r="F430" s="72" t="s">
        <v>2598</v>
      </c>
      <c r="I430" s="71">
        <v>-652947962.47000003</v>
      </c>
      <c r="J430" s="71">
        <v>-251874677</v>
      </c>
      <c r="Q430" s="71">
        <v>0</v>
      </c>
      <c r="S430" s="71">
        <v>0</v>
      </c>
      <c r="T430" s="71">
        <v>0</v>
      </c>
      <c r="U430" s="71">
        <v>142922573</v>
      </c>
      <c r="V430" s="71">
        <v>0</v>
      </c>
      <c r="W430" s="71">
        <v>0</v>
      </c>
      <c r="X430" s="71">
        <v>4584344</v>
      </c>
      <c r="Y430" s="71">
        <v>-10185617</v>
      </c>
      <c r="Z430" s="71">
        <v>0</v>
      </c>
      <c r="AA430" s="71">
        <v>1384595</v>
      </c>
      <c r="AC430" s="180">
        <v>-441837.63210400002</v>
      </c>
      <c r="AD430" s="73">
        <v>-25892.39</v>
      </c>
    </row>
    <row r="431" spans="1:30">
      <c r="A431" s="473" t="s">
        <v>2593</v>
      </c>
      <c r="F431" s="72" t="s">
        <v>2600</v>
      </c>
      <c r="I431" s="70">
        <v>-709612.83</v>
      </c>
      <c r="J431" s="71">
        <v>-273733</v>
      </c>
      <c r="Q431" s="71">
        <v>-24706</v>
      </c>
      <c r="S431" s="71">
        <v>-6495162</v>
      </c>
      <c r="T431" s="71">
        <v>-6480124</v>
      </c>
      <c r="U431" s="71">
        <v>-181978.91999999998</v>
      </c>
      <c r="AC431" s="180">
        <v>709612.83</v>
      </c>
    </row>
    <row r="432" spans="1:30">
      <c r="A432" s="71" t="s">
        <v>2595</v>
      </c>
      <c r="D432" s="71">
        <v>-264605092.82494095</v>
      </c>
      <c r="F432" s="72" t="s">
        <v>581</v>
      </c>
      <c r="I432" s="71">
        <v>-213341694.332104</v>
      </c>
      <c r="J432" s="71">
        <v>-82296559</v>
      </c>
      <c r="L432" s="71">
        <v>11426980.489999998</v>
      </c>
      <c r="Q432" s="71">
        <v>-24706</v>
      </c>
      <c r="S432" s="71">
        <v>-151930570</v>
      </c>
      <c r="T432" s="71">
        <v>4.5095165999999999E-2</v>
      </c>
      <c r="AC432" s="180">
        <v>-24706</v>
      </c>
    </row>
    <row r="433" spans="1:30">
      <c r="A433" s="71" t="s">
        <v>2597</v>
      </c>
      <c r="D433" s="71">
        <v>103459628.46230771</v>
      </c>
      <c r="F433" s="72" t="s">
        <v>1761</v>
      </c>
      <c r="I433" s="71">
        <v>-31705134.799999997</v>
      </c>
      <c r="J433" s="71">
        <v>-12230256</v>
      </c>
      <c r="L433" s="71">
        <v>-802250.23</v>
      </c>
      <c r="Q433" s="71">
        <v>-190512.582104</v>
      </c>
      <c r="R433" s="73">
        <v>-215218.582104</v>
      </c>
      <c r="S433" s="71">
        <v>57877</v>
      </c>
      <c r="T433" s="71">
        <v>2036919</v>
      </c>
      <c r="U433" s="71">
        <v>319850</v>
      </c>
      <c r="V433" s="71">
        <v>0</v>
      </c>
      <c r="W433" s="71">
        <v>0</v>
      </c>
      <c r="X433" s="71">
        <v>335213</v>
      </c>
      <c r="Y433" s="71">
        <v>0</v>
      </c>
      <c r="AC433" s="180">
        <v>-190512.582104</v>
      </c>
    </row>
    <row r="434" spans="1:30">
      <c r="A434" s="72" t="s">
        <v>2599</v>
      </c>
      <c r="F434" s="444" t="s">
        <v>1762</v>
      </c>
      <c r="G434" s="458"/>
      <c r="H434" s="458"/>
      <c r="I434" s="454">
        <v>39106.149999999907</v>
      </c>
      <c r="J434" s="445">
        <v>15085</v>
      </c>
      <c r="L434" s="71">
        <v>47276125.160000004</v>
      </c>
      <c r="S434" s="71">
        <v>0</v>
      </c>
      <c r="T434" s="71">
        <v>0</v>
      </c>
      <c r="AC434" s="71">
        <v>-482993.77999999991</v>
      </c>
      <c r="AD434" s="73">
        <v>-25892.39</v>
      </c>
    </row>
    <row r="435" spans="1:30">
      <c r="A435" s="71" t="s">
        <v>2595</v>
      </c>
      <c r="D435" s="71">
        <v>-10348760.044615384</v>
      </c>
      <c r="F435" s="72" t="s">
        <v>1672</v>
      </c>
      <c r="I435" s="71">
        <v>-257116.55</v>
      </c>
      <c r="J435" s="71">
        <v>99183</v>
      </c>
      <c r="L435" s="71">
        <v>923663.77000000188</v>
      </c>
      <c r="S435" s="71">
        <v>40354804.57</v>
      </c>
      <c r="T435" s="71">
        <v>236974.55</v>
      </c>
      <c r="U435" s="71">
        <v>20142</v>
      </c>
      <c r="V435" s="71">
        <v>1049.326</v>
      </c>
      <c r="W435" s="71">
        <v>39772382.774000004</v>
      </c>
      <c r="X435" s="71">
        <v>796761.73999999987</v>
      </c>
      <c r="Y435" s="71">
        <v>-756923.65299999993</v>
      </c>
      <c r="Z435" s="71">
        <v>119471.8</v>
      </c>
      <c r="AA435" s="71">
        <v>9252.74</v>
      </c>
      <c r="AC435" s="70"/>
    </row>
    <row r="436" spans="1:30">
      <c r="A436" s="71" t="s">
        <v>2597</v>
      </c>
      <c r="D436" s="71">
        <v>-831113.16811161535</v>
      </c>
      <c r="F436" s="72" t="s">
        <v>2606</v>
      </c>
      <c r="I436" s="71">
        <v>-1049.326</v>
      </c>
      <c r="J436" s="71">
        <v>405</v>
      </c>
      <c r="L436" s="71">
        <v>-24706</v>
      </c>
      <c r="P436" s="72" t="s">
        <v>1763</v>
      </c>
      <c r="Q436" s="71">
        <v>152128464.67000002</v>
      </c>
      <c r="S436" s="71">
        <v>126660324.16999997</v>
      </c>
      <c r="T436" s="71">
        <v>0</v>
      </c>
      <c r="U436" s="71">
        <v>0</v>
      </c>
      <c r="V436" s="71">
        <v>0</v>
      </c>
      <c r="W436" s="71">
        <v>0</v>
      </c>
      <c r="X436" s="71"/>
      <c r="Y436" s="71">
        <v>3958173.16</v>
      </c>
      <c r="Z436" s="71">
        <v>-10770091.049999999</v>
      </c>
      <c r="AA436" s="71">
        <v>4177154</v>
      </c>
      <c r="AC436" s="70">
        <v>0</v>
      </c>
    </row>
    <row r="437" spans="1:30">
      <c r="A437" s="72" t="s">
        <v>2603</v>
      </c>
      <c r="F437" s="72" t="s">
        <v>1764</v>
      </c>
      <c r="I437" s="71">
        <v>-802125654.00382745</v>
      </c>
      <c r="J437" s="71">
        <v>309419971</v>
      </c>
      <c r="L437" s="71">
        <v>-190512.582104</v>
      </c>
      <c r="P437" s="72" t="s">
        <v>1765</v>
      </c>
      <c r="Q437" s="70">
        <v>2173491.8899999997</v>
      </c>
      <c r="AC437" s="70"/>
    </row>
    <row r="438" spans="1:30">
      <c r="A438" s="71" t="s">
        <v>2595</v>
      </c>
      <c r="D438" s="71">
        <v>-856518610.87124264</v>
      </c>
      <c r="F438" s="178" t="s">
        <v>2610</v>
      </c>
      <c r="I438" s="70">
        <v>-9778.48</v>
      </c>
      <c r="J438" s="71">
        <v>3772</v>
      </c>
      <c r="L438" s="71">
        <v>152128464.67000002</v>
      </c>
      <c r="P438" s="72" t="s">
        <v>1766</v>
      </c>
      <c r="Q438" s="71">
        <v>-109532.49456240002</v>
      </c>
      <c r="AC438" s="70"/>
    </row>
    <row r="439" spans="1:30">
      <c r="A439" s="71" t="s">
        <v>2597</v>
      </c>
      <c r="D439" s="71">
        <v>46304320.534307264</v>
      </c>
      <c r="F439" s="72" t="s">
        <v>2614</v>
      </c>
      <c r="I439" s="71">
        <v>756923.65299999993</v>
      </c>
      <c r="J439" s="71">
        <v>-291983</v>
      </c>
      <c r="L439" s="71">
        <v>2173491.8899999997</v>
      </c>
      <c r="AC439" s="70"/>
    </row>
    <row r="440" spans="1:30">
      <c r="A440" s="72" t="s">
        <v>1767</v>
      </c>
      <c r="F440" s="72" t="s">
        <v>2616</v>
      </c>
      <c r="I440" s="71">
        <v>0</v>
      </c>
      <c r="J440" s="71">
        <v>0</v>
      </c>
      <c r="P440" s="72" t="s">
        <v>1768</v>
      </c>
      <c r="Q440" s="71">
        <v>-36082464.121315382</v>
      </c>
      <c r="AC440" s="70"/>
    </row>
    <row r="441" spans="1:30">
      <c r="A441" s="71" t="s">
        <v>2595</v>
      </c>
      <c r="D441" s="71">
        <v>0</v>
      </c>
      <c r="F441" s="72" t="s">
        <v>1769</v>
      </c>
      <c r="I441" s="71">
        <v>0</v>
      </c>
      <c r="J441" s="71">
        <v>0</v>
      </c>
      <c r="P441" s="72" t="s">
        <v>1770</v>
      </c>
      <c r="Q441" s="71">
        <v>119708.45000000001</v>
      </c>
    </row>
    <row r="442" spans="1:30">
      <c r="A442" s="71" t="s">
        <v>2597</v>
      </c>
      <c r="D442" s="71">
        <v>0</v>
      </c>
      <c r="F442" s="72" t="s">
        <v>2618</v>
      </c>
      <c r="I442" s="71">
        <v>-8530473.1799999997</v>
      </c>
      <c r="J442" s="71">
        <v>3290630</v>
      </c>
    </row>
    <row r="443" spans="1:30">
      <c r="A443" s="72" t="s">
        <v>779</v>
      </c>
      <c r="F443" s="72" t="s">
        <v>2619</v>
      </c>
      <c r="I443" s="71">
        <v>-181978.91999999998</v>
      </c>
      <c r="J443" s="71">
        <v>70198</v>
      </c>
      <c r="P443" s="72" t="s">
        <v>1771</v>
      </c>
      <c r="Q443" s="71">
        <v>-27869479.696910936</v>
      </c>
    </row>
    <row r="444" spans="1:30">
      <c r="A444" s="72" t="s">
        <v>2607</v>
      </c>
      <c r="D444" s="71">
        <v>0</v>
      </c>
      <c r="F444" s="72" t="s">
        <v>2612</v>
      </c>
      <c r="I444" s="71">
        <v>-796761.73999999987</v>
      </c>
      <c r="J444" s="71">
        <v>307351</v>
      </c>
      <c r="P444" s="72" t="s">
        <v>1772</v>
      </c>
      <c r="Q444" s="71">
        <v>254817.91025700004</v>
      </c>
    </row>
    <row r="445" spans="1:30">
      <c r="A445" s="72" t="s">
        <v>2609</v>
      </c>
      <c r="D445" s="71">
        <v>-153258870</v>
      </c>
      <c r="F445" s="473" t="s">
        <v>2620</v>
      </c>
      <c r="I445" s="71">
        <v>0</v>
      </c>
      <c r="J445" s="71">
        <v>0</v>
      </c>
      <c r="P445" s="72" t="s">
        <v>1773</v>
      </c>
      <c r="Q445" s="71">
        <v>-2161434.1433850001</v>
      </c>
    </row>
    <row r="446" spans="1:30">
      <c r="A446" s="72" t="s">
        <v>1774</v>
      </c>
      <c r="D446" s="71">
        <v>-1580149.4446153848</v>
      </c>
      <c r="F446" s="72" t="s">
        <v>2625</v>
      </c>
      <c r="I446" s="71">
        <v>-9252.74</v>
      </c>
      <c r="J446" s="71">
        <v>3569</v>
      </c>
      <c r="P446" s="72" t="s">
        <v>1775</v>
      </c>
      <c r="Q446" s="71">
        <v>-238879.10251505903</v>
      </c>
    </row>
    <row r="447" spans="1:30">
      <c r="A447" s="72" t="s">
        <v>2615</v>
      </c>
      <c r="D447" s="71">
        <v>-10069.361538461566</v>
      </c>
      <c r="F447" s="72" t="s">
        <v>2623</v>
      </c>
      <c r="I447" s="71">
        <v>-119471.8</v>
      </c>
      <c r="J447" s="71">
        <v>46086</v>
      </c>
      <c r="Q447" s="71">
        <v>-30014975.032553997</v>
      </c>
    </row>
    <row r="448" spans="1:30">
      <c r="F448" s="72" t="s">
        <v>2627</v>
      </c>
      <c r="I448" s="71">
        <v>-39772382.774000004</v>
      </c>
      <c r="J448" s="71">
        <v>15342197</v>
      </c>
    </row>
    <row r="449" spans="1:17">
      <c r="A449" s="473" t="s">
        <v>1776</v>
      </c>
      <c r="D449" s="71">
        <v>0</v>
      </c>
      <c r="F449" s="72" t="s">
        <v>2629</v>
      </c>
      <c r="I449" s="71">
        <v>-31600125.685749996</v>
      </c>
      <c r="J449" s="70">
        <v>12189748</v>
      </c>
      <c r="P449" s="72" t="s">
        <v>1777</v>
      </c>
      <c r="Q449" s="71">
        <v>-621097.84515540302</v>
      </c>
    </row>
    <row r="450" spans="1:17">
      <c r="A450" s="72" t="s">
        <v>1778</v>
      </c>
      <c r="D450" s="71">
        <v>0</v>
      </c>
      <c r="F450" s="72" t="s">
        <v>1779</v>
      </c>
      <c r="I450" s="71">
        <v>-342102.92240323505</v>
      </c>
      <c r="J450" s="70">
        <v>131966</v>
      </c>
    </row>
    <row r="451" spans="1:17">
      <c r="A451" s="72" t="s">
        <v>1780</v>
      </c>
      <c r="D451" s="71">
        <v>0</v>
      </c>
      <c r="F451" s="72" t="s">
        <v>1781</v>
      </c>
      <c r="I451" s="71">
        <v>-66708361.043587178</v>
      </c>
      <c r="J451" s="70">
        <v>25732750</v>
      </c>
      <c r="P451" s="72" t="s">
        <v>1782</v>
      </c>
    </row>
    <row r="452" spans="1:17">
      <c r="A452" s="72" t="s">
        <v>1783</v>
      </c>
      <c r="D452" s="71">
        <v>-14769961</v>
      </c>
      <c r="F452" s="444" t="s">
        <v>2635</v>
      </c>
      <c r="G452" s="458"/>
      <c r="H452" s="458"/>
      <c r="I452" s="454">
        <v>0</v>
      </c>
      <c r="J452" s="454">
        <v>0</v>
      </c>
    </row>
    <row r="453" spans="1:17">
      <c r="A453" s="72" t="s">
        <v>2622</v>
      </c>
      <c r="F453" s="72" t="s">
        <v>1784</v>
      </c>
      <c r="I453" s="71">
        <v>-1504133</v>
      </c>
      <c r="J453" s="71">
        <v>580219</v>
      </c>
    </row>
    <row r="454" spans="1:17">
      <c r="A454" s="72" t="s">
        <v>1785</v>
      </c>
      <c r="D454" s="71">
        <v>-14179424.535615385</v>
      </c>
      <c r="F454" s="72" t="s">
        <v>2639</v>
      </c>
      <c r="I454" s="71">
        <v>6495162</v>
      </c>
      <c r="J454" s="71">
        <v>6495162</v>
      </c>
    </row>
    <row r="455" spans="1:17">
      <c r="A455" s="72" t="s">
        <v>2626</v>
      </c>
      <c r="D455" s="71">
        <v>-57877</v>
      </c>
    </row>
    <row r="456" spans="1:17">
      <c r="A456" s="72" t="s">
        <v>60</v>
      </c>
      <c r="D456" s="71">
        <v>-2036919</v>
      </c>
      <c r="G456" s="72" t="s">
        <v>1786</v>
      </c>
      <c r="I456" s="70">
        <v>86429351.306165576</v>
      </c>
      <c r="J456" s="71">
        <v>-26844963</v>
      </c>
    </row>
    <row r="457" spans="1:17">
      <c r="A457" s="72" t="s">
        <v>2632</v>
      </c>
      <c r="D457" s="71">
        <v>-319850</v>
      </c>
    </row>
    <row r="458" spans="1:17">
      <c r="A458" s="72" t="s">
        <v>2634</v>
      </c>
      <c r="D458" s="71">
        <v>-8107877.2191046532</v>
      </c>
      <c r="G458" s="72" t="s">
        <v>2666</v>
      </c>
      <c r="I458" s="71">
        <v>-1037631069.8187335</v>
      </c>
      <c r="J458" s="71">
        <v>-388051016</v>
      </c>
      <c r="K458" s="70">
        <v>-1037631069.8187336</v>
      </c>
      <c r="L458" s="70">
        <v>0</v>
      </c>
    </row>
    <row r="459" spans="1:17">
      <c r="A459" s="72" t="s">
        <v>1787</v>
      </c>
      <c r="G459" s="72" t="s">
        <v>2674</v>
      </c>
      <c r="I459" s="71">
        <v>-951201718.51256788</v>
      </c>
      <c r="J459" s="71">
        <v>366926062</v>
      </c>
      <c r="K459" s="70">
        <v>-951201720.99548495</v>
      </c>
      <c r="L459" s="70">
        <v>-2.4829170703887939</v>
      </c>
    </row>
    <row r="460" spans="1:17">
      <c r="A460" s="72" t="s">
        <v>1788</v>
      </c>
      <c r="D460" s="71">
        <v>0</v>
      </c>
      <c r="N460" s="72" t="s">
        <v>1789</v>
      </c>
    </row>
    <row r="461" spans="1:17">
      <c r="A461" s="473" t="s">
        <v>248</v>
      </c>
      <c r="D461" s="71">
        <v>-4521</v>
      </c>
      <c r="G461" s="72" t="s">
        <v>1790</v>
      </c>
      <c r="I461" s="71">
        <v>0</v>
      </c>
    </row>
    <row r="462" spans="1:17">
      <c r="A462" s="72" t="s">
        <v>1791</v>
      </c>
      <c r="D462" s="71">
        <v>0</v>
      </c>
      <c r="G462" s="72" t="s">
        <v>1792</v>
      </c>
      <c r="I462" s="71">
        <v>-951201718.51256788</v>
      </c>
    </row>
    <row r="463" spans="1:17">
      <c r="A463" s="72" t="s">
        <v>1793</v>
      </c>
      <c r="D463" s="71">
        <v>0</v>
      </c>
    </row>
    <row r="464" spans="1:17">
      <c r="A464" s="473" t="s">
        <v>2636</v>
      </c>
      <c r="D464" s="71">
        <v>-335213</v>
      </c>
    </row>
    <row r="465" spans="1:10">
      <c r="A465" s="72" t="s">
        <v>1794</v>
      </c>
      <c r="D465" s="71">
        <v>0</v>
      </c>
      <c r="I465" s="70"/>
      <c r="J465" s="70"/>
    </row>
    <row r="466" spans="1:10" ht="12.75">
      <c r="A466" s="474" t="s">
        <v>2638</v>
      </c>
      <c r="D466" s="71">
        <v>1</v>
      </c>
    </row>
    <row r="467" spans="1:10">
      <c r="A467" s="72" t="s">
        <v>1795</v>
      </c>
      <c r="D467" s="71">
        <v>0</v>
      </c>
    </row>
    <row r="468" spans="1:10">
      <c r="A468" s="72" t="s">
        <v>2640</v>
      </c>
      <c r="D468" s="71">
        <v>-15102690</v>
      </c>
    </row>
    <row r="469" spans="1:10">
      <c r="A469" s="72" t="s">
        <v>1796</v>
      </c>
      <c r="D469" s="71">
        <v>-12446388</v>
      </c>
    </row>
    <row r="470" spans="1:10">
      <c r="A470" s="72" t="s">
        <v>2641</v>
      </c>
      <c r="D470" s="71">
        <v>-629</v>
      </c>
    </row>
    <row r="471" spans="1:10">
      <c r="A471" s="72" t="s">
        <v>1797</v>
      </c>
      <c r="D471" s="71">
        <v>0</v>
      </c>
    </row>
    <row r="472" spans="1:10">
      <c r="A472" s="72" t="s">
        <v>1798</v>
      </c>
      <c r="D472" s="71">
        <v>0</v>
      </c>
    </row>
    <row r="473" spans="1:10">
      <c r="A473" s="72" t="s">
        <v>1799</v>
      </c>
      <c r="D473" s="71">
        <v>0</v>
      </c>
    </row>
    <row r="474" spans="1:10">
      <c r="A474" s="72" t="s">
        <v>2642</v>
      </c>
      <c r="D474" s="71">
        <v>34034</v>
      </c>
    </row>
    <row r="475" spans="1:10">
      <c r="A475" s="72" t="s">
        <v>2643</v>
      </c>
      <c r="D475" s="71">
        <v>0</v>
      </c>
    </row>
    <row r="476" spans="1:10">
      <c r="A476" s="72" t="s">
        <v>1800</v>
      </c>
      <c r="D476" s="71">
        <v>0</v>
      </c>
    </row>
    <row r="477" spans="1:10">
      <c r="A477" s="72" t="s">
        <v>1801</v>
      </c>
      <c r="D477" s="71">
        <v>0</v>
      </c>
    </row>
    <row r="478" spans="1:10">
      <c r="A478" s="72" t="s">
        <v>1802</v>
      </c>
      <c r="D478" s="71">
        <v>0</v>
      </c>
    </row>
    <row r="479" spans="1:10">
      <c r="A479" s="473" t="s">
        <v>2644</v>
      </c>
      <c r="D479" s="71">
        <v>173403</v>
      </c>
    </row>
    <row r="480" spans="1:10">
      <c r="A480" s="72" t="s">
        <v>1803</v>
      </c>
      <c r="D480" s="73">
        <v>18592709</v>
      </c>
    </row>
    <row r="481" spans="1:12">
      <c r="A481" s="72" t="s">
        <v>1804</v>
      </c>
      <c r="D481" s="73">
        <v>-92377952</v>
      </c>
    </row>
    <row r="482" spans="1:12">
      <c r="A482" s="72" t="s">
        <v>1805</v>
      </c>
      <c r="D482" s="73">
        <v>92377952</v>
      </c>
    </row>
    <row r="483" spans="1:12">
      <c r="A483" s="72" t="s">
        <v>1806</v>
      </c>
      <c r="D483" s="73">
        <v>-47564500</v>
      </c>
    </row>
    <row r="484" spans="1:12">
      <c r="A484" s="72" t="s">
        <v>1807</v>
      </c>
      <c r="D484" s="73">
        <v>47564500</v>
      </c>
    </row>
    <row r="485" spans="1:12">
      <c r="A485" s="72" t="s">
        <v>1808</v>
      </c>
      <c r="D485" s="73">
        <v>-15837075</v>
      </c>
    </row>
    <row r="486" spans="1:12">
      <c r="A486" s="72" t="s">
        <v>1809</v>
      </c>
      <c r="D486" s="73">
        <v>15837075</v>
      </c>
      <c r="E486" s="72" t="s">
        <v>1557</v>
      </c>
    </row>
    <row r="487" spans="1:12">
      <c r="A487" s="72" t="s">
        <v>1810</v>
      </c>
      <c r="D487" s="73">
        <v>-2741717</v>
      </c>
      <c r="H487" s="475" t="s">
        <v>1811</v>
      </c>
      <c r="J487" s="170" t="s">
        <v>3501</v>
      </c>
    </row>
    <row r="488" spans="1:12">
      <c r="A488" s="72" t="s">
        <v>1812</v>
      </c>
      <c r="D488" s="73">
        <v>2741717</v>
      </c>
      <c r="F488" s="70">
        <v>-33791241.75472004</v>
      </c>
      <c r="G488" s="72" t="s">
        <v>681</v>
      </c>
      <c r="H488" s="475" t="s">
        <v>1813</v>
      </c>
      <c r="I488" s="73">
        <v>-33791242.202412337</v>
      </c>
      <c r="J488" s="475">
        <v>0.44769229739904404</v>
      </c>
    </row>
    <row r="489" spans="1:12">
      <c r="A489" s="72"/>
      <c r="F489" s="70">
        <v>-1185949919.4731696</v>
      </c>
      <c r="G489" s="72" t="s">
        <v>1814</v>
      </c>
      <c r="H489" s="475" t="s">
        <v>1815</v>
      </c>
      <c r="I489" s="73">
        <v>-1185949919.9208617</v>
      </c>
      <c r="J489" s="475">
        <v>0.4476921558380127</v>
      </c>
    </row>
    <row r="490" spans="1:12">
      <c r="A490" s="72"/>
    </row>
    <row r="491" spans="1:12">
      <c r="A491" s="72"/>
    </row>
    <row r="492" spans="1:12">
      <c r="J492" s="73">
        <v>-74814879.104615539</v>
      </c>
      <c r="L492" s="70" t="e">
        <v>#VALUE!</v>
      </c>
    </row>
    <row r="495" spans="1:12">
      <c r="D495" s="73">
        <v>-1185949919.4731696</v>
      </c>
    </row>
    <row r="497" spans="1:10">
      <c r="I497" s="72" t="s">
        <v>2585</v>
      </c>
    </row>
    <row r="498" spans="1:10">
      <c r="A498" s="72" t="s">
        <v>1816</v>
      </c>
      <c r="D498" s="72" t="s">
        <v>1817</v>
      </c>
      <c r="I498" s="72" t="s">
        <v>2587</v>
      </c>
    </row>
    <row r="499" spans="1:10">
      <c r="A499" s="72" t="s">
        <v>1818</v>
      </c>
      <c r="D499" s="72" t="s">
        <v>1819</v>
      </c>
    </row>
    <row r="500" spans="1:10">
      <c r="A500" s="72" t="s">
        <v>1820</v>
      </c>
      <c r="D500" s="72" t="s">
        <v>1821</v>
      </c>
      <c r="E500" s="72" t="s">
        <v>658</v>
      </c>
    </row>
    <row r="501" spans="1:10">
      <c r="A501" s="72" t="s">
        <v>1822</v>
      </c>
    </row>
    <row r="502" spans="1:10">
      <c r="A502" s="72" t="s">
        <v>2528</v>
      </c>
      <c r="F502" s="187" t="s">
        <v>2591</v>
      </c>
      <c r="I502" s="188" t="s">
        <v>2590</v>
      </c>
      <c r="J502" s="188" t="s">
        <v>2592</v>
      </c>
    </row>
    <row r="503" spans="1:10">
      <c r="A503" s="187" t="s">
        <v>2589</v>
      </c>
      <c r="D503" s="188" t="s">
        <v>2590</v>
      </c>
      <c r="F503" s="72"/>
      <c r="I503" s="72"/>
      <c r="J503" s="72"/>
    </row>
    <row r="504" spans="1:10">
      <c r="A504" s="72"/>
      <c r="D504" s="72"/>
      <c r="E504" s="72"/>
      <c r="F504" s="72" t="s">
        <v>2594</v>
      </c>
      <c r="I504" s="71">
        <v>-40354804.57</v>
      </c>
      <c r="J504" s="71">
        <v>-15566866</v>
      </c>
    </row>
    <row r="505" spans="1:10">
      <c r="A505" s="72" t="s">
        <v>579</v>
      </c>
      <c r="E505" s="72"/>
      <c r="F505" s="72" t="s">
        <v>2596</v>
      </c>
      <c r="I505" s="71">
        <v>-98610966.966629371</v>
      </c>
      <c r="J505" s="71">
        <v>-38039181</v>
      </c>
    </row>
    <row r="506" spans="1:10">
      <c r="A506" s="72" t="s">
        <v>2595</v>
      </c>
      <c r="D506" s="71">
        <v>0</v>
      </c>
      <c r="E506" s="72"/>
      <c r="F506" s="72" t="s">
        <v>2598</v>
      </c>
      <c r="I506" s="71">
        <v>-652947962.47000003</v>
      </c>
      <c r="J506" s="71">
        <v>-251874677</v>
      </c>
    </row>
    <row r="507" spans="1:10">
      <c r="A507" s="72" t="s">
        <v>2597</v>
      </c>
      <c r="D507" s="71">
        <v>0</v>
      </c>
      <c r="E507" s="72"/>
      <c r="F507" s="72" t="s">
        <v>2600</v>
      </c>
      <c r="I507" s="71">
        <v>-709612.83</v>
      </c>
      <c r="J507" s="71">
        <v>-273733</v>
      </c>
    </row>
    <row r="508" spans="1:10">
      <c r="A508" s="72" t="s">
        <v>2593</v>
      </c>
      <c r="E508" s="72"/>
      <c r="F508" s="72" t="s">
        <v>581</v>
      </c>
      <c r="I508" s="71">
        <v>-213341694.332104</v>
      </c>
      <c r="J508" s="71">
        <v>-82296559</v>
      </c>
    </row>
    <row r="509" spans="1:10">
      <c r="A509" s="71" t="s">
        <v>2595</v>
      </c>
      <c r="D509" s="71">
        <v>-361323729.6856367</v>
      </c>
      <c r="E509" s="72"/>
      <c r="F509" s="72" t="s">
        <v>1761</v>
      </c>
      <c r="I509" s="71">
        <v>-31705134.799999997</v>
      </c>
      <c r="J509" s="71">
        <v>-12230256</v>
      </c>
    </row>
    <row r="510" spans="1:10">
      <c r="A510" s="71" t="s">
        <v>2597</v>
      </c>
      <c r="D510" s="71">
        <v>105282720.02</v>
      </c>
      <c r="E510" s="72"/>
      <c r="F510" s="72" t="s">
        <v>1823</v>
      </c>
      <c r="I510" s="71">
        <v>39106.149999999907</v>
      </c>
      <c r="J510" s="71">
        <v>15085</v>
      </c>
    </row>
    <row r="511" spans="1:10">
      <c r="A511" s="72" t="s">
        <v>2599</v>
      </c>
      <c r="E511" s="72"/>
      <c r="F511" s="72" t="s">
        <v>1824</v>
      </c>
      <c r="I511" s="71">
        <v>-257116.55</v>
      </c>
      <c r="J511" s="71">
        <v>99183</v>
      </c>
    </row>
    <row r="512" spans="1:10">
      <c r="A512" s="71" t="s">
        <v>2595</v>
      </c>
      <c r="D512" s="71">
        <v>-10113231.799999999</v>
      </c>
      <c r="E512" s="72"/>
      <c r="F512" s="72" t="s">
        <v>2606</v>
      </c>
      <c r="I512" s="71">
        <v>-1049.326</v>
      </c>
      <c r="J512" s="71">
        <v>405</v>
      </c>
    </row>
    <row r="513" spans="1:10">
      <c r="A513" s="71" t="s">
        <v>2597</v>
      </c>
      <c r="D513" s="71">
        <v>-1117787.5027269998</v>
      </c>
      <c r="E513" s="72"/>
      <c r="F513" s="72" t="s">
        <v>1764</v>
      </c>
      <c r="I513" s="71">
        <v>-802125654.00382745</v>
      </c>
      <c r="J513" s="71">
        <v>309419971</v>
      </c>
    </row>
    <row r="514" spans="1:10">
      <c r="A514" s="72" t="s">
        <v>2603</v>
      </c>
      <c r="E514" s="178"/>
      <c r="F514" s="178" t="s">
        <v>2610</v>
      </c>
      <c r="I514" s="71">
        <v>-9778.48</v>
      </c>
      <c r="J514" s="71">
        <v>3772</v>
      </c>
    </row>
    <row r="515" spans="1:10">
      <c r="A515" s="71" t="s">
        <v>2595</v>
      </c>
      <c r="D515" s="71">
        <v>-864956828.29000008</v>
      </c>
      <c r="E515" s="72"/>
      <c r="F515" s="72" t="s">
        <v>2614</v>
      </c>
      <c r="I515" s="71">
        <v>756923.65299999993</v>
      </c>
      <c r="J515" s="71">
        <v>-291983</v>
      </c>
    </row>
    <row r="516" spans="1:10">
      <c r="A516" s="71" t="s">
        <v>2597</v>
      </c>
      <c r="D516" s="71">
        <v>64011387.299999997</v>
      </c>
      <c r="E516" s="72"/>
      <c r="F516" s="72" t="s">
        <v>2616</v>
      </c>
      <c r="I516" s="71">
        <v>0</v>
      </c>
      <c r="J516" s="71">
        <v>0</v>
      </c>
    </row>
    <row r="517" spans="1:10">
      <c r="A517" s="71" t="s">
        <v>1767</v>
      </c>
      <c r="E517" s="72"/>
      <c r="F517" s="72" t="s">
        <v>1769</v>
      </c>
      <c r="I517" s="71">
        <v>0</v>
      </c>
      <c r="J517" s="71">
        <v>0</v>
      </c>
    </row>
    <row r="518" spans="1:10">
      <c r="A518" s="72" t="s">
        <v>2595</v>
      </c>
      <c r="D518" s="71">
        <v>0</v>
      </c>
      <c r="E518" s="72"/>
      <c r="F518" s="72" t="s">
        <v>2618</v>
      </c>
      <c r="I518" s="71">
        <v>-8530473.1799999997</v>
      </c>
      <c r="J518" s="71">
        <v>3290630</v>
      </c>
    </row>
    <row r="519" spans="1:10">
      <c r="A519" s="72" t="s">
        <v>2597</v>
      </c>
      <c r="D519" s="71">
        <v>0</v>
      </c>
      <c r="E519" s="72"/>
      <c r="F519" s="72" t="s">
        <v>2619</v>
      </c>
      <c r="I519" s="71">
        <v>-181978.91999999998</v>
      </c>
      <c r="J519" s="71">
        <v>70198</v>
      </c>
    </row>
    <row r="520" spans="1:10">
      <c r="A520" s="72" t="s">
        <v>779</v>
      </c>
      <c r="E520" s="72"/>
      <c r="F520" s="72" t="s">
        <v>2612</v>
      </c>
      <c r="I520" s="71">
        <v>-796761.73999999987</v>
      </c>
      <c r="J520" s="71">
        <v>307351</v>
      </c>
    </row>
    <row r="521" spans="1:10">
      <c r="A521" s="72" t="s">
        <v>2607</v>
      </c>
      <c r="D521" s="71">
        <v>0</v>
      </c>
      <c r="E521" s="72"/>
      <c r="F521" s="473" t="s">
        <v>2620</v>
      </c>
      <c r="I521" s="71">
        <v>0</v>
      </c>
      <c r="J521" s="71">
        <v>0</v>
      </c>
    </row>
    <row r="522" spans="1:10">
      <c r="A522" s="72" t="s">
        <v>1825</v>
      </c>
      <c r="D522" s="71">
        <v>-130816665.14999998</v>
      </c>
      <c r="E522" s="72"/>
      <c r="F522" s="72" t="s">
        <v>1664</v>
      </c>
      <c r="I522" s="71"/>
    </row>
    <row r="523" spans="1:10">
      <c r="A523" s="72" t="s">
        <v>1774</v>
      </c>
      <c r="D523" s="71">
        <v>-2518968.0699999998</v>
      </c>
      <c r="E523" s="72"/>
      <c r="F523" s="72" t="s">
        <v>2623</v>
      </c>
      <c r="I523" s="71">
        <v>-119471.8</v>
      </c>
      <c r="J523" s="71">
        <v>46086</v>
      </c>
    </row>
    <row r="524" spans="1:10">
      <c r="A524" s="72"/>
      <c r="D524" s="71"/>
      <c r="E524" s="72"/>
      <c r="F524" s="72" t="s">
        <v>2625</v>
      </c>
      <c r="I524" s="71">
        <v>-9252.74</v>
      </c>
      <c r="J524" s="71">
        <v>3569</v>
      </c>
    </row>
    <row r="525" spans="1:10">
      <c r="A525" s="72" t="s">
        <v>2615</v>
      </c>
      <c r="D525" s="71">
        <v>-2.7625901566352695E-11</v>
      </c>
      <c r="E525" s="72"/>
      <c r="F525" s="72" t="s">
        <v>2627</v>
      </c>
      <c r="I525" s="71">
        <v>-39772382.774000004</v>
      </c>
      <c r="J525" s="71">
        <v>15342197</v>
      </c>
    </row>
    <row r="526" spans="1:10">
      <c r="E526" s="72"/>
      <c r="F526" s="72" t="s">
        <v>2629</v>
      </c>
      <c r="I526" s="71">
        <v>-31600125.685749996</v>
      </c>
      <c r="J526" s="71">
        <v>12189748</v>
      </c>
    </row>
    <row r="527" spans="1:10">
      <c r="A527" s="473" t="s">
        <v>1776</v>
      </c>
      <c r="D527" s="71">
        <v>0</v>
      </c>
      <c r="E527" s="72"/>
      <c r="F527" s="72" t="s">
        <v>1779</v>
      </c>
      <c r="I527" s="71">
        <v>-342102.92240323505</v>
      </c>
      <c r="J527" s="71">
        <v>131966</v>
      </c>
    </row>
    <row r="528" spans="1:10">
      <c r="A528" s="72" t="s">
        <v>1778</v>
      </c>
      <c r="D528" s="71">
        <v>0</v>
      </c>
      <c r="E528" s="72"/>
      <c r="F528" s="72" t="s">
        <v>1781</v>
      </c>
      <c r="I528" s="71">
        <v>-66708361.043587178</v>
      </c>
      <c r="J528" s="71">
        <v>25732750</v>
      </c>
    </row>
    <row r="529" spans="1:13">
      <c r="A529" s="71" t="s">
        <v>1780</v>
      </c>
      <c r="D529" s="71">
        <v>0</v>
      </c>
      <c r="E529" s="72"/>
      <c r="F529" s="72" t="s">
        <v>2635</v>
      </c>
      <c r="I529" s="70">
        <v>0</v>
      </c>
      <c r="J529" s="70">
        <v>0</v>
      </c>
    </row>
    <row r="530" spans="1:13">
      <c r="A530" s="71" t="s">
        <v>1783</v>
      </c>
      <c r="D530" s="71">
        <v>-14728264.209999999</v>
      </c>
      <c r="E530" s="72"/>
      <c r="F530" s="72" t="s">
        <v>1826</v>
      </c>
      <c r="I530" s="71">
        <v>-1504133</v>
      </c>
      <c r="J530" s="71">
        <v>580219</v>
      </c>
    </row>
    <row r="531" spans="1:13">
      <c r="A531" s="72" t="s">
        <v>2622</v>
      </c>
      <c r="E531" s="72"/>
      <c r="F531" s="72" t="s">
        <v>2639</v>
      </c>
      <c r="I531" s="71">
        <v>6480124</v>
      </c>
      <c r="J531" s="71">
        <v>6480124</v>
      </c>
    </row>
    <row r="532" spans="1:13">
      <c r="A532" s="71" t="s">
        <v>1785</v>
      </c>
      <c r="D532" s="71">
        <v>-14179424.535615385</v>
      </c>
    </row>
    <row r="533" spans="1:13">
      <c r="A533" s="72" t="s">
        <v>2626</v>
      </c>
      <c r="D533" s="71">
        <v>-57877</v>
      </c>
      <c r="G533" s="72" t="s">
        <v>1786</v>
      </c>
      <c r="I533" s="70">
        <v>86429351.306165576</v>
      </c>
      <c r="J533" s="71">
        <v>-26860001</v>
      </c>
    </row>
    <row r="534" spans="1:13">
      <c r="A534" s="72" t="s">
        <v>2630</v>
      </c>
      <c r="D534" s="71">
        <v>-2036919</v>
      </c>
    </row>
    <row r="535" spans="1:13">
      <c r="A535" s="72" t="s">
        <v>2632</v>
      </c>
      <c r="D535" s="71">
        <v>-319850</v>
      </c>
      <c r="G535" s="71" t="s">
        <v>2666</v>
      </c>
      <c r="I535" s="71">
        <v>-1037631069.8187335</v>
      </c>
      <c r="J535" s="71">
        <v>-388051016</v>
      </c>
    </row>
    <row r="536" spans="1:13">
      <c r="A536" s="72" t="s">
        <v>2634</v>
      </c>
      <c r="D536" s="71">
        <v>-7802902.2020259555</v>
      </c>
      <c r="G536" s="71" t="s">
        <v>2674</v>
      </c>
      <c r="I536" s="71">
        <v>-951201718.51256788</v>
      </c>
      <c r="J536" s="71">
        <v>366926062</v>
      </c>
    </row>
    <row r="537" spans="1:13">
      <c r="A537" s="72" t="s">
        <v>1787</v>
      </c>
    </row>
    <row r="538" spans="1:13">
      <c r="A538" s="72" t="s">
        <v>1788</v>
      </c>
      <c r="D538" s="71">
        <v>0</v>
      </c>
      <c r="G538" s="72" t="s">
        <v>1790</v>
      </c>
      <c r="I538" s="71">
        <v>0</v>
      </c>
      <c r="L538" s="71">
        <v>-1261878337.8644445</v>
      </c>
      <c r="M538" s="71">
        <v>-74844956</v>
      </c>
    </row>
    <row r="539" spans="1:13">
      <c r="A539" s="473" t="s">
        <v>248</v>
      </c>
      <c r="D539" s="71">
        <v>-4521</v>
      </c>
      <c r="G539" s="72" t="s">
        <v>1792</v>
      </c>
      <c r="I539" s="71">
        <v>-951201718.51256788</v>
      </c>
    </row>
    <row r="540" spans="1:13">
      <c r="A540" s="72" t="s">
        <v>1791</v>
      </c>
      <c r="D540" s="71">
        <v>0</v>
      </c>
    </row>
    <row r="541" spans="1:13">
      <c r="A541" s="72" t="s">
        <v>1827</v>
      </c>
      <c r="D541" s="71">
        <v>0</v>
      </c>
      <c r="I541" s="70"/>
      <c r="J541" s="70"/>
    </row>
    <row r="542" spans="1:13">
      <c r="A542" s="72" t="s">
        <v>2636</v>
      </c>
      <c r="D542" s="71">
        <v>-335213</v>
      </c>
    </row>
    <row r="543" spans="1:13">
      <c r="A543" s="72" t="s">
        <v>1794</v>
      </c>
      <c r="D543" s="71">
        <v>0</v>
      </c>
    </row>
    <row r="544" spans="1:13" ht="12.75">
      <c r="A544" s="474" t="s">
        <v>2638</v>
      </c>
      <c r="D544" s="71">
        <v>1</v>
      </c>
    </row>
    <row r="545" spans="1:4">
      <c r="A545" s="72" t="s">
        <v>1795</v>
      </c>
      <c r="D545" s="71">
        <v>0</v>
      </c>
    </row>
    <row r="546" spans="1:4">
      <c r="A546" s="72" t="s">
        <v>2640</v>
      </c>
      <c r="D546" s="71">
        <v>-15102690</v>
      </c>
    </row>
    <row r="547" spans="1:4">
      <c r="A547" s="72" t="s">
        <v>1828</v>
      </c>
      <c r="D547" s="71">
        <v>-12446388</v>
      </c>
    </row>
    <row r="548" spans="1:4">
      <c r="A548" s="72" t="s">
        <v>2641</v>
      </c>
      <c r="D548" s="71">
        <v>-629</v>
      </c>
    </row>
    <row r="549" spans="1:4">
      <c r="A549" s="71" t="s">
        <v>1797</v>
      </c>
      <c r="D549" s="71">
        <v>0</v>
      </c>
    </row>
    <row r="550" spans="1:4">
      <c r="A550" s="72" t="s">
        <v>1798</v>
      </c>
      <c r="D550" s="71">
        <v>0</v>
      </c>
    </row>
    <row r="551" spans="1:4">
      <c r="A551" s="72" t="s">
        <v>1799</v>
      </c>
      <c r="D551" s="71">
        <v>0</v>
      </c>
    </row>
    <row r="552" spans="1:4">
      <c r="A552" s="72" t="s">
        <v>2642</v>
      </c>
      <c r="D552" s="71">
        <v>34034</v>
      </c>
    </row>
    <row r="553" spans="1:4">
      <c r="A553" s="72" t="s">
        <v>2643</v>
      </c>
      <c r="D553" s="71">
        <v>0</v>
      </c>
    </row>
    <row r="554" spans="1:4">
      <c r="A554" s="72" t="s">
        <v>1800</v>
      </c>
      <c r="D554" s="71">
        <v>0</v>
      </c>
    </row>
    <row r="555" spans="1:4">
      <c r="A555" s="72" t="s">
        <v>1801</v>
      </c>
      <c r="D555" s="71">
        <v>0</v>
      </c>
    </row>
    <row r="556" spans="1:4">
      <c r="A556" s="71" t="s">
        <v>1802</v>
      </c>
      <c r="D556" s="71">
        <v>0</v>
      </c>
    </row>
    <row r="557" spans="1:4">
      <c r="A557" s="473" t="s">
        <v>2644</v>
      </c>
      <c r="D557" s="71">
        <v>173403</v>
      </c>
    </row>
    <row r="558" spans="1:4">
      <c r="A558" s="72" t="s">
        <v>1803</v>
      </c>
      <c r="D558" s="73">
        <v>18592709</v>
      </c>
    </row>
    <row r="559" spans="1:4">
      <c r="A559" s="72" t="s">
        <v>1804</v>
      </c>
      <c r="D559" s="73">
        <v>-82668336</v>
      </c>
    </row>
    <row r="560" spans="1:4">
      <c r="A560" s="72" t="s">
        <v>1805</v>
      </c>
      <c r="D560" s="73">
        <v>82668336</v>
      </c>
    </row>
    <row r="561" spans="1:7">
      <c r="A561" s="72" t="s">
        <v>1806</v>
      </c>
      <c r="D561" s="73">
        <v>-65787073.399999999</v>
      </c>
    </row>
    <row r="562" spans="1:7">
      <c r="A562" s="72" t="s">
        <v>1807</v>
      </c>
      <c r="D562" s="73">
        <v>65787073.399999999</v>
      </c>
    </row>
    <row r="563" spans="1:7">
      <c r="A563" s="72" t="s">
        <v>1808</v>
      </c>
      <c r="D563" s="73">
        <v>-10877360.859999999</v>
      </c>
    </row>
    <row r="564" spans="1:7">
      <c r="A564" s="72" t="s">
        <v>1809</v>
      </c>
      <c r="D564" s="73">
        <v>10877360.859999999</v>
      </c>
    </row>
    <row r="565" spans="1:7">
      <c r="A565" s="72" t="s">
        <v>1810</v>
      </c>
      <c r="D565" s="73">
        <v>-2902193.53</v>
      </c>
      <c r="F565" s="70">
        <v>-33486266.737641335</v>
      </c>
      <c r="G565" s="72" t="s">
        <v>681</v>
      </c>
    </row>
    <row r="566" spans="1:7">
      <c r="A566" s="72" t="s">
        <v>1812</v>
      </c>
      <c r="D566" s="73">
        <v>2899405.72</v>
      </c>
      <c r="F566" s="70">
        <v>-1249767634.1260049</v>
      </c>
      <c r="G566" s="72" t="s">
        <v>1814</v>
      </c>
    </row>
    <row r="571" spans="1:7">
      <c r="F571" s="70"/>
    </row>
    <row r="572" spans="1:7">
      <c r="F572" s="70"/>
    </row>
    <row r="573" spans="1:7">
      <c r="F573" s="70"/>
    </row>
    <row r="574" spans="1:7">
      <c r="F574" s="70"/>
    </row>
    <row r="575" spans="1:7">
      <c r="F575" s="70"/>
    </row>
    <row r="576" spans="1:7">
      <c r="F576" s="70"/>
    </row>
    <row r="577" spans="5:6">
      <c r="F577" s="70"/>
    </row>
    <row r="578" spans="5:6">
      <c r="F578" s="70"/>
    </row>
    <row r="586" spans="5:6">
      <c r="E586" s="72" t="s">
        <v>2583</v>
      </c>
    </row>
    <row r="602" spans="1:1">
      <c r="A602" s="72" t="s">
        <v>1557</v>
      </c>
    </row>
    <row r="603" spans="1:1">
      <c r="A603" s="72" t="s">
        <v>669</v>
      </c>
    </row>
    <row r="610" spans="1:4">
      <c r="C610" s="72" t="s">
        <v>1557</v>
      </c>
      <c r="D610" s="73" t="s">
        <v>679</v>
      </c>
    </row>
    <row r="611" spans="1:4">
      <c r="C611" s="72" t="s">
        <v>669</v>
      </c>
      <c r="D611" s="73" t="s">
        <v>669</v>
      </c>
    </row>
    <row r="615" spans="1:4">
      <c r="A615" s="72" t="s">
        <v>1829</v>
      </c>
    </row>
    <row r="617" spans="1:4">
      <c r="A617" s="72" t="s">
        <v>658</v>
      </c>
    </row>
    <row r="618" spans="1:4">
      <c r="A618" s="72" t="s">
        <v>2155</v>
      </c>
    </row>
    <row r="619" spans="1:4">
      <c r="A619" s="72" t="s">
        <v>1830</v>
      </c>
    </row>
    <row r="620" spans="1:4">
      <c r="A620" s="70"/>
    </row>
    <row r="624" spans="1:4">
      <c r="A624" s="72" t="s">
        <v>1831</v>
      </c>
    </row>
    <row r="625" spans="1:15">
      <c r="A625" s="72" t="s">
        <v>1196</v>
      </c>
      <c r="C625" s="72" t="s">
        <v>658</v>
      </c>
      <c r="D625" s="73" t="s">
        <v>658</v>
      </c>
      <c r="G625" s="72" t="s">
        <v>1832</v>
      </c>
    </row>
    <row r="626" spans="1:15">
      <c r="A626" s="72" t="s">
        <v>1833</v>
      </c>
      <c r="C626" s="72" t="s">
        <v>2583</v>
      </c>
      <c r="D626" s="73" t="s">
        <v>2583</v>
      </c>
    </row>
    <row r="627" spans="1:15">
      <c r="A627" s="72" t="s">
        <v>2583</v>
      </c>
      <c r="C627" s="72" t="s">
        <v>1830</v>
      </c>
      <c r="D627" s="72" t="s">
        <v>1830</v>
      </c>
      <c r="E627" s="183" t="s">
        <v>2419</v>
      </c>
      <c r="G627" s="72" t="s">
        <v>1834</v>
      </c>
      <c r="K627" s="71">
        <v>9651423</v>
      </c>
    </row>
    <row r="628" spans="1:15">
      <c r="C628" s="72" t="s">
        <v>708</v>
      </c>
      <c r="D628" s="72" t="s">
        <v>708</v>
      </c>
      <c r="E628" s="72" t="s">
        <v>708</v>
      </c>
      <c r="G628" s="72" t="s">
        <v>1835</v>
      </c>
      <c r="K628" s="71">
        <v>34514032.70765844</v>
      </c>
    </row>
    <row r="629" spans="1:15">
      <c r="A629" s="72" t="s">
        <v>1836</v>
      </c>
      <c r="C629" s="71">
        <v>460189879.26000005</v>
      </c>
      <c r="D629" s="71">
        <v>462427527.24000001</v>
      </c>
      <c r="E629" s="71">
        <v>-2237647.9799999595</v>
      </c>
      <c r="G629" s="72" t="s">
        <v>1837</v>
      </c>
      <c r="K629" s="71">
        <v>2131843</v>
      </c>
    </row>
    <row r="630" spans="1:15">
      <c r="G630" s="72" t="s">
        <v>1838</v>
      </c>
      <c r="K630" s="71">
        <v>0</v>
      </c>
    </row>
    <row r="631" spans="1:15">
      <c r="A631" s="72" t="s">
        <v>1839</v>
      </c>
      <c r="C631" s="71">
        <v>384180838</v>
      </c>
      <c r="D631" s="71">
        <v>383797532</v>
      </c>
      <c r="E631" s="71">
        <v>383306</v>
      </c>
      <c r="K631" s="72" t="s">
        <v>1214</v>
      </c>
    </row>
    <row r="632" spans="1:15">
      <c r="A632" s="72" t="s">
        <v>2583</v>
      </c>
      <c r="C632" s="72" t="s">
        <v>1878</v>
      </c>
      <c r="D632" s="72" t="s">
        <v>1878</v>
      </c>
      <c r="E632" s="72" t="s">
        <v>1878</v>
      </c>
      <c r="K632" s="71">
        <v>46297298.70765844</v>
      </c>
      <c r="M632" s="72" t="s">
        <v>1840</v>
      </c>
      <c r="O632" s="72" t="s">
        <v>1840</v>
      </c>
    </row>
    <row r="633" spans="1:15">
      <c r="A633" s="72" t="s">
        <v>1841</v>
      </c>
      <c r="C633" s="71">
        <v>76009041.26000005</v>
      </c>
      <c r="D633" s="71">
        <v>78629995.24000001</v>
      </c>
      <c r="E633" s="71">
        <v>-2620953.9799999595</v>
      </c>
      <c r="K633" s="72" t="s">
        <v>1393</v>
      </c>
      <c r="M633" s="72" t="s">
        <v>1842</v>
      </c>
      <c r="O633" s="72" t="s">
        <v>1842</v>
      </c>
    </row>
    <row r="634" spans="1:15">
      <c r="C634" s="72" t="s">
        <v>736</v>
      </c>
      <c r="D634" s="72" t="s">
        <v>736</v>
      </c>
      <c r="E634" s="72" t="s">
        <v>736</v>
      </c>
      <c r="M634" s="476" t="s">
        <v>1843</v>
      </c>
      <c r="O634" s="476" t="s">
        <v>1844</v>
      </c>
    </row>
    <row r="635" spans="1:15">
      <c r="G635" s="72" t="s">
        <v>1845</v>
      </c>
      <c r="L635" s="183" t="s">
        <v>1846</v>
      </c>
      <c r="M635" s="476" t="s">
        <v>1847</v>
      </c>
      <c r="O635" s="476" t="s">
        <v>1847</v>
      </c>
    </row>
    <row r="636" spans="1:15">
      <c r="L636" s="72" t="s">
        <v>1848</v>
      </c>
      <c r="M636" s="72" t="s">
        <v>1848</v>
      </c>
      <c r="O636" s="72" t="s">
        <v>1848</v>
      </c>
    </row>
    <row r="637" spans="1:15">
      <c r="A637" s="72" t="s">
        <v>1849</v>
      </c>
      <c r="G637" s="72" t="s">
        <v>1850</v>
      </c>
      <c r="K637" s="71">
        <v>78629995.24000001</v>
      </c>
    </row>
    <row r="638" spans="1:15">
      <c r="A638" s="72" t="s">
        <v>1851</v>
      </c>
      <c r="G638" s="72" t="s">
        <v>1852</v>
      </c>
      <c r="K638" s="71">
        <v>1544355664.2007647</v>
      </c>
      <c r="L638" s="179">
        <v>5.0900000000000001E-2</v>
      </c>
      <c r="M638" s="179">
        <v>7.2599999999999998E-2</v>
      </c>
      <c r="O638" s="179">
        <v>6.5500000000000003E-2</v>
      </c>
    </row>
    <row r="640" spans="1:15">
      <c r="G640" s="72" t="s">
        <v>1853</v>
      </c>
      <c r="K640" s="71">
        <v>78629995.24000001</v>
      </c>
    </row>
    <row r="641" spans="1:15">
      <c r="A641" s="72" t="s">
        <v>1854</v>
      </c>
      <c r="C641" s="71">
        <v>191981614.20076457</v>
      </c>
      <c r="D641" s="71">
        <v>157467581.49310613</v>
      </c>
      <c r="E641" s="71">
        <v>34514032.70765844</v>
      </c>
      <c r="G641" s="72" t="s">
        <v>1855</v>
      </c>
      <c r="K641" s="71">
        <v>1533823151.4026196</v>
      </c>
      <c r="L641" s="179">
        <v>5.1299999999999998E-2</v>
      </c>
      <c r="M641" s="179">
        <v>7.3599999999999999E-2</v>
      </c>
      <c r="O641" s="179">
        <v>6.6500000000000004E-2</v>
      </c>
    </row>
    <row r="642" spans="1:15">
      <c r="C642" s="72" t="s">
        <v>1878</v>
      </c>
      <c r="D642" s="72" t="s">
        <v>1878</v>
      </c>
      <c r="E642" s="72" t="s">
        <v>1878</v>
      </c>
      <c r="L642" s="477" t="s">
        <v>1856</v>
      </c>
      <c r="M642" s="477" t="s">
        <v>1856</v>
      </c>
      <c r="O642" s="477" t="s">
        <v>1856</v>
      </c>
    </row>
    <row r="643" spans="1:15">
      <c r="G643" s="72" t="s">
        <v>1857</v>
      </c>
      <c r="L643" s="179">
        <v>-3.9999999999999758E-4</v>
      </c>
      <c r="M643" s="179">
        <v>-1.0000000000000009E-3</v>
      </c>
      <c r="O643" s="179">
        <v>-1.0000000000000009E-3</v>
      </c>
    </row>
    <row r="644" spans="1:15">
      <c r="A644" s="72" t="s">
        <v>1858</v>
      </c>
      <c r="C644" s="71">
        <v>1296909241</v>
      </c>
      <c r="D644" s="71">
        <v>1287257818</v>
      </c>
      <c r="E644" s="71">
        <v>9651423</v>
      </c>
      <c r="L644" s="477" t="s">
        <v>1859</v>
      </c>
      <c r="M644" s="477" t="s">
        <v>1859</v>
      </c>
      <c r="O644" s="477" t="s">
        <v>1859</v>
      </c>
    </row>
    <row r="645" spans="1:15">
      <c r="C645" s="72" t="s">
        <v>1878</v>
      </c>
      <c r="D645" s="72" t="s">
        <v>1878</v>
      </c>
      <c r="E645" s="72" t="s">
        <v>1878</v>
      </c>
    </row>
    <row r="646" spans="1:15">
      <c r="G646" s="72" t="s">
        <v>1860</v>
      </c>
      <c r="K646" s="71">
        <v>76009041.26000005</v>
      </c>
    </row>
    <row r="647" spans="1:15">
      <c r="A647" s="72" t="s">
        <v>1861</v>
      </c>
      <c r="C647" s="71">
        <v>49977321</v>
      </c>
      <c r="D647" s="71">
        <v>47845478</v>
      </c>
      <c r="E647" s="71">
        <v>2131843</v>
      </c>
      <c r="G647" s="72" t="s">
        <v>1852</v>
      </c>
      <c r="K647" s="71">
        <v>1544355664.2007647</v>
      </c>
      <c r="L647" s="179">
        <v>4.9200000000000001E-2</v>
      </c>
      <c r="M647" s="179">
        <v>6.8273992800000002E-2</v>
      </c>
      <c r="N647" s="74"/>
      <c r="O647" s="179">
        <v>6.1199999999999997E-2</v>
      </c>
    </row>
    <row r="648" spans="1:15">
      <c r="C648" s="72" t="s">
        <v>1878</v>
      </c>
      <c r="D648" s="72" t="s">
        <v>1878</v>
      </c>
      <c r="E648" s="72" t="s">
        <v>1878</v>
      </c>
      <c r="L648" s="477" t="s">
        <v>2583</v>
      </c>
      <c r="M648" s="477" t="s">
        <v>2583</v>
      </c>
    </row>
    <row r="649" spans="1:15">
      <c r="G649" s="72" t="s">
        <v>1853</v>
      </c>
      <c r="K649" s="71">
        <v>78629995.24000001</v>
      </c>
    </row>
    <row r="650" spans="1:15">
      <c r="A650" s="72" t="s">
        <v>1862</v>
      </c>
      <c r="C650" s="71">
        <v>5487488</v>
      </c>
      <c r="D650" s="71">
        <v>5487488</v>
      </c>
      <c r="E650" s="71">
        <v>0</v>
      </c>
      <c r="G650" s="72" t="s">
        <v>1863</v>
      </c>
      <c r="K650" s="71">
        <v>1544355664.2007647</v>
      </c>
      <c r="L650" s="179">
        <v>5.0900000000000001E-2</v>
      </c>
      <c r="M650" s="179">
        <v>7.2599999999999998E-2</v>
      </c>
      <c r="O650" s="179">
        <v>6.5500000000000003E-2</v>
      </c>
    </row>
    <row r="651" spans="1:15">
      <c r="C651" s="72" t="s">
        <v>1878</v>
      </c>
      <c r="D651" s="72" t="s">
        <v>1878</v>
      </c>
      <c r="E651" s="72" t="s">
        <v>1878</v>
      </c>
      <c r="L651" s="477" t="s">
        <v>1856</v>
      </c>
      <c r="M651" s="477" t="s">
        <v>1856</v>
      </c>
      <c r="O651" s="477" t="s">
        <v>1856</v>
      </c>
    </row>
    <row r="652" spans="1:15">
      <c r="G652" s="72" t="s">
        <v>1864</v>
      </c>
      <c r="L652" s="179">
        <v>-1.7000000000000001E-3</v>
      </c>
      <c r="M652" s="179">
        <v>-4.3260071999999955E-3</v>
      </c>
      <c r="O652" s="179">
        <v>-4.3000000000000052E-3</v>
      </c>
    </row>
    <row r="653" spans="1:15">
      <c r="A653" s="72" t="s">
        <v>1865</v>
      </c>
      <c r="C653" s="71">
        <v>1544355664.2007647</v>
      </c>
      <c r="D653" s="71">
        <v>1533823151.4026196</v>
      </c>
      <c r="E653" s="71">
        <v>46297298.70765844</v>
      </c>
      <c r="L653" s="477" t="s">
        <v>1859</v>
      </c>
      <c r="M653" s="477" t="s">
        <v>1859</v>
      </c>
      <c r="O653" s="477" t="s">
        <v>1859</v>
      </c>
    </row>
    <row r="654" spans="1:15">
      <c r="C654" s="72" t="s">
        <v>736</v>
      </c>
      <c r="D654" s="72" t="s">
        <v>736</v>
      </c>
      <c r="E654" s="72" t="s">
        <v>736</v>
      </c>
    </row>
    <row r="655" spans="1:15">
      <c r="G655" s="72" t="s">
        <v>1866</v>
      </c>
      <c r="L655" s="179">
        <v>5.1299999999999998E-2</v>
      </c>
      <c r="M655" s="179">
        <v>7.3599999999999999E-2</v>
      </c>
    </row>
    <row r="656" spans="1:15">
      <c r="A656" s="72" t="s">
        <v>1867</v>
      </c>
      <c r="L656" s="179"/>
      <c r="M656" s="179"/>
    </row>
    <row r="657" spans="1:15">
      <c r="C657" s="72" t="s">
        <v>2583</v>
      </c>
      <c r="G657" s="72" t="s">
        <v>1868</v>
      </c>
      <c r="L657" s="179">
        <v>5.1299999999999998E-2</v>
      </c>
      <c r="M657" s="179">
        <v>6.6500000000000004E-2</v>
      </c>
    </row>
    <row r="658" spans="1:15">
      <c r="A658" s="72" t="s">
        <v>1869</v>
      </c>
      <c r="M658" s="477" t="s">
        <v>1856</v>
      </c>
    </row>
    <row r="659" spans="1:15">
      <c r="A659" s="72" t="s">
        <v>1870</v>
      </c>
      <c r="G659" s="72" t="s">
        <v>1871</v>
      </c>
      <c r="M659" s="179">
        <v>7.0999999999999952E-3</v>
      </c>
    </row>
    <row r="660" spans="1:15">
      <c r="A660" s="72" t="s">
        <v>1872</v>
      </c>
      <c r="M660" s="477" t="s">
        <v>1859</v>
      </c>
    </row>
    <row r="661" spans="1:15">
      <c r="A661" s="72" t="s">
        <v>1873</v>
      </c>
    </row>
    <row r="662" spans="1:15">
      <c r="A662" s="72" t="s">
        <v>1874</v>
      </c>
      <c r="G662" s="72" t="s">
        <v>1875</v>
      </c>
      <c r="L662" s="179">
        <v>4.9200000000000001E-2</v>
      </c>
      <c r="O662" s="179">
        <v>6.8199999999999997E-2</v>
      </c>
    </row>
    <row r="663" spans="1:15">
      <c r="A663" s="72" t="s">
        <v>1876</v>
      </c>
    </row>
    <row r="664" spans="1:15">
      <c r="A664" s="72" t="s">
        <v>1877</v>
      </c>
      <c r="C664" s="72" t="s">
        <v>2188</v>
      </c>
      <c r="D664" s="72" t="s">
        <v>2189</v>
      </c>
      <c r="E664" s="476" t="s">
        <v>2190</v>
      </c>
      <c r="G664" s="72" t="s">
        <v>2191</v>
      </c>
      <c r="L664" s="179">
        <v>4.9200000000000001E-2</v>
      </c>
      <c r="O664" s="179">
        <v>6.1199999999999997E-2</v>
      </c>
    </row>
    <row r="665" spans="1:15">
      <c r="C665" s="72" t="s">
        <v>3074</v>
      </c>
      <c r="D665" s="72" t="s">
        <v>3074</v>
      </c>
      <c r="E665" s="476" t="s">
        <v>2192</v>
      </c>
      <c r="F665" s="179"/>
      <c r="O665" s="477" t="s">
        <v>1856</v>
      </c>
    </row>
    <row r="666" spans="1:15">
      <c r="C666" s="179">
        <v>4.9200000000000001E-2</v>
      </c>
      <c r="D666" s="179">
        <v>5.1299999999999998E-2</v>
      </c>
      <c r="F666" s="179"/>
      <c r="G666" s="72" t="s">
        <v>1871</v>
      </c>
      <c r="O666" s="179">
        <v>6.9999999999999993E-3</v>
      </c>
    </row>
    <row r="667" spans="1:15">
      <c r="C667" s="179">
        <v>2.25887213E-2</v>
      </c>
      <c r="D667" s="179">
        <v>2.52030195E-2</v>
      </c>
      <c r="F667" s="179"/>
      <c r="O667" s="477" t="s">
        <v>1859</v>
      </c>
    </row>
    <row r="668" spans="1:15">
      <c r="C668" s="477" t="s">
        <v>1124</v>
      </c>
      <c r="D668" s="477" t="s">
        <v>1124</v>
      </c>
      <c r="F668" s="179"/>
    </row>
    <row r="669" spans="1:15">
      <c r="C669" s="179">
        <v>2.6611278700000001E-2</v>
      </c>
      <c r="D669" s="179">
        <v>2.6096980499999999E-2</v>
      </c>
      <c r="F669" s="179"/>
    </row>
    <row r="670" spans="1:15">
      <c r="C670" s="179">
        <v>0.39002545329999999</v>
      </c>
      <c r="D670" s="179">
        <v>0.39240331070000001</v>
      </c>
      <c r="F670" s="179"/>
      <c r="G670" s="72" t="s">
        <v>2193</v>
      </c>
      <c r="M670" s="179">
        <v>1.7739927999999988E-3</v>
      </c>
      <c r="O670" s="179">
        <v>1.6999999999999932E-3</v>
      </c>
    </row>
    <row r="671" spans="1:15">
      <c r="C671" s="477" t="s">
        <v>1124</v>
      </c>
      <c r="D671" s="477" t="s">
        <v>1123</v>
      </c>
      <c r="F671" s="179"/>
      <c r="M671" s="477" t="s">
        <v>1859</v>
      </c>
      <c r="O671" s="477" t="s">
        <v>1859</v>
      </c>
    </row>
    <row r="672" spans="1:15">
      <c r="C672" s="179">
        <v>6.8199999999999997E-2</v>
      </c>
      <c r="D672" s="179">
        <v>6.6500000000000004E-2</v>
      </c>
      <c r="E672" s="179">
        <v>1.6999999999999932E-3</v>
      </c>
      <c r="F672" s="179"/>
    </row>
    <row r="673" spans="1:16">
      <c r="C673" s="477" t="s">
        <v>1128</v>
      </c>
      <c r="D673" s="477" t="s">
        <v>1127</v>
      </c>
      <c r="E673" s="477" t="s">
        <v>1183</v>
      </c>
    </row>
    <row r="678" spans="1:16">
      <c r="A678" s="72" t="s">
        <v>2155</v>
      </c>
    </row>
    <row r="679" spans="1:16">
      <c r="A679" s="72" t="s">
        <v>2194</v>
      </c>
    </row>
    <row r="680" spans="1:16">
      <c r="A680" s="71" t="s">
        <v>1830</v>
      </c>
      <c r="I680" s="72" t="s">
        <v>2195</v>
      </c>
    </row>
    <row r="681" spans="1:16">
      <c r="I681" s="72" t="s">
        <v>2196</v>
      </c>
    </row>
    <row r="682" spans="1:16">
      <c r="A682" s="72" t="s">
        <v>1831</v>
      </c>
      <c r="F682" s="183" t="s">
        <v>2197</v>
      </c>
      <c r="K682" s="183" t="s">
        <v>1113</v>
      </c>
      <c r="L682" s="183" t="s">
        <v>2198</v>
      </c>
    </row>
    <row r="683" spans="1:16">
      <c r="A683" s="72" t="s">
        <v>1196</v>
      </c>
      <c r="F683" s="183" t="s">
        <v>2199</v>
      </c>
      <c r="K683" s="71" t="s">
        <v>1830</v>
      </c>
      <c r="L683" s="71" t="s">
        <v>1830</v>
      </c>
      <c r="M683" s="183" t="s">
        <v>2419</v>
      </c>
      <c r="O683" s="179"/>
    </row>
    <row r="684" spans="1:16">
      <c r="A684" s="72" t="s">
        <v>1833</v>
      </c>
      <c r="C684" s="183" t="s">
        <v>1113</v>
      </c>
      <c r="D684" s="183" t="s">
        <v>2198</v>
      </c>
      <c r="F684" s="183" t="s">
        <v>43</v>
      </c>
      <c r="K684" s="72" t="s">
        <v>708</v>
      </c>
      <c r="L684" s="72" t="s">
        <v>708</v>
      </c>
      <c r="M684" s="72" t="s">
        <v>708</v>
      </c>
    </row>
    <row r="685" spans="1:16">
      <c r="A685" s="72" t="s">
        <v>2583</v>
      </c>
      <c r="C685" s="71" t="s">
        <v>1830</v>
      </c>
      <c r="D685" s="71" t="s">
        <v>1830</v>
      </c>
      <c r="E685" s="183" t="s">
        <v>2419</v>
      </c>
      <c r="F685" s="183" t="s">
        <v>2113</v>
      </c>
      <c r="G685" s="478"/>
      <c r="I685" s="72" t="s">
        <v>3541</v>
      </c>
      <c r="K685" s="71">
        <v>662318915.20076466</v>
      </c>
      <c r="L685" s="75">
        <v>322831839</v>
      </c>
      <c r="M685" s="71">
        <v>339487076.20076466</v>
      </c>
      <c r="N685" s="179"/>
      <c r="O685" s="179"/>
      <c r="P685" s="179"/>
    </row>
    <row r="686" spans="1:16">
      <c r="C686" s="72" t="s">
        <v>708</v>
      </c>
      <c r="D686" s="72" t="s">
        <v>708</v>
      </c>
      <c r="E686" s="72" t="s">
        <v>708</v>
      </c>
      <c r="F686" s="72" t="s">
        <v>708</v>
      </c>
      <c r="G686" s="179"/>
      <c r="L686" s="479" t="s">
        <v>2583</v>
      </c>
      <c r="M686" s="179"/>
      <c r="N686" s="179"/>
      <c r="O686" s="179"/>
      <c r="P686" s="179"/>
    </row>
    <row r="687" spans="1:16">
      <c r="A687" s="72" t="s">
        <v>1761</v>
      </c>
      <c r="C687" s="71">
        <v>434014545.26000005</v>
      </c>
      <c r="D687" s="70">
        <v>267086141</v>
      </c>
      <c r="E687" s="71">
        <v>166928404.26000005</v>
      </c>
      <c r="F687" s="480">
        <v>0.34216319350000002</v>
      </c>
      <c r="G687" s="179"/>
      <c r="I687" s="72" t="s">
        <v>2573</v>
      </c>
      <c r="K687" s="71">
        <v>16531399</v>
      </c>
      <c r="L687" s="75">
        <v>40518</v>
      </c>
      <c r="M687" s="71">
        <v>16490881</v>
      </c>
      <c r="N687" s="179"/>
      <c r="O687" s="179"/>
      <c r="P687" s="179"/>
    </row>
    <row r="688" spans="1:16">
      <c r="A688" s="72" t="s">
        <v>3035</v>
      </c>
      <c r="C688" s="71">
        <v>26175334</v>
      </c>
      <c r="D688" s="70">
        <v>9242862</v>
      </c>
      <c r="E688" s="71">
        <v>16932472</v>
      </c>
      <c r="F688" s="480">
        <v>3.47075066E-2</v>
      </c>
      <c r="G688" s="179"/>
      <c r="L688" s="75"/>
      <c r="M688" s="179"/>
      <c r="N688" s="179"/>
      <c r="O688" s="179"/>
      <c r="P688" s="179"/>
    </row>
    <row r="689" spans="1:16">
      <c r="A689" s="72" t="s">
        <v>2583</v>
      </c>
      <c r="C689" s="72" t="s">
        <v>1878</v>
      </c>
      <c r="D689" s="72" t="s">
        <v>1878</v>
      </c>
      <c r="E689" s="72" t="s">
        <v>1878</v>
      </c>
      <c r="F689" s="481" t="s">
        <v>1878</v>
      </c>
      <c r="G689" s="179"/>
      <c r="I689" s="72" t="s">
        <v>2200</v>
      </c>
      <c r="K689" s="71">
        <v>53369489</v>
      </c>
      <c r="L689" s="75">
        <v>51348520</v>
      </c>
      <c r="M689" s="71">
        <v>2020969</v>
      </c>
      <c r="N689" s="179"/>
      <c r="O689" s="179"/>
      <c r="P689" s="179"/>
    </row>
    <row r="690" spans="1:16">
      <c r="A690" s="72" t="s">
        <v>1836</v>
      </c>
      <c r="C690" s="71">
        <v>460189879.26000005</v>
      </c>
      <c r="D690" s="71">
        <v>276329003</v>
      </c>
      <c r="E690" s="71">
        <v>183860876.26000005</v>
      </c>
      <c r="F690" s="480">
        <v>0.37687070010000001</v>
      </c>
      <c r="G690" s="179"/>
      <c r="L690" s="75"/>
      <c r="N690" s="179"/>
      <c r="O690" s="179"/>
      <c r="P690" s="179"/>
    </row>
    <row r="691" spans="1:16">
      <c r="C691" s="72" t="s">
        <v>1878</v>
      </c>
      <c r="D691" s="72" t="s">
        <v>1878</v>
      </c>
      <c r="E691" s="72" t="s">
        <v>1878</v>
      </c>
      <c r="F691" s="481" t="s">
        <v>1878</v>
      </c>
      <c r="G691" s="179"/>
      <c r="I691" s="72" t="s">
        <v>2575</v>
      </c>
      <c r="K691" s="71">
        <v>22179914</v>
      </c>
      <c r="L691" s="75">
        <v>12455216</v>
      </c>
      <c r="M691" s="71">
        <v>9724698</v>
      </c>
      <c r="N691" s="179"/>
      <c r="O691" s="179"/>
      <c r="P691" s="179"/>
    </row>
    <row r="692" spans="1:16">
      <c r="F692" s="480"/>
      <c r="G692" s="179"/>
      <c r="L692" s="75"/>
      <c r="M692" s="179"/>
      <c r="N692" s="179"/>
      <c r="O692" s="179"/>
      <c r="P692" s="179"/>
    </row>
    <row r="693" spans="1:16">
      <c r="A693" s="72" t="s">
        <v>3477</v>
      </c>
      <c r="C693" s="71">
        <v>101576487</v>
      </c>
      <c r="D693" s="70">
        <v>47819037</v>
      </c>
      <c r="E693" s="71">
        <v>53757450</v>
      </c>
      <c r="F693" s="480">
        <v>-0.1101898796</v>
      </c>
      <c r="G693" s="179"/>
      <c r="I693" s="72" t="s">
        <v>3553</v>
      </c>
      <c r="K693" s="71">
        <v>0</v>
      </c>
      <c r="L693" s="75">
        <v>677870</v>
      </c>
      <c r="M693" s="71">
        <v>-677870</v>
      </c>
      <c r="N693" s="179"/>
      <c r="O693" s="179"/>
      <c r="P693" s="179"/>
    </row>
    <row r="694" spans="1:16">
      <c r="A694" s="72" t="s">
        <v>1558</v>
      </c>
      <c r="C694" s="71">
        <v>9503466</v>
      </c>
      <c r="D694" s="70">
        <v>4831221</v>
      </c>
      <c r="E694" s="71">
        <v>4672245</v>
      </c>
      <c r="F694" s="480">
        <v>-9.5769817000000007E-3</v>
      </c>
      <c r="G694" s="179"/>
      <c r="L694" s="180"/>
      <c r="N694" s="179"/>
      <c r="O694" s="179"/>
      <c r="P694" s="179"/>
    </row>
    <row r="695" spans="1:16">
      <c r="A695" s="72" t="s">
        <v>3485</v>
      </c>
      <c r="C695" s="71">
        <v>36773990</v>
      </c>
      <c r="D695" s="70">
        <v>14710382</v>
      </c>
      <c r="E695" s="71">
        <v>22063608</v>
      </c>
      <c r="F695" s="480">
        <v>-4.5225104799999999E-2</v>
      </c>
      <c r="G695" s="179"/>
      <c r="I695" s="72" t="s">
        <v>3555</v>
      </c>
      <c r="K695" s="71">
        <v>201584961</v>
      </c>
      <c r="L695" s="75">
        <v>173112393</v>
      </c>
      <c r="M695" s="71">
        <v>28472568</v>
      </c>
      <c r="N695" s="179"/>
      <c r="O695" s="179"/>
      <c r="P695" s="179"/>
    </row>
    <row r="696" spans="1:16">
      <c r="A696" s="72" t="s">
        <v>2201</v>
      </c>
      <c r="C696" s="71">
        <v>21351166</v>
      </c>
      <c r="D696" s="70">
        <v>8459140</v>
      </c>
      <c r="E696" s="71">
        <v>12892026</v>
      </c>
      <c r="F696" s="480">
        <v>-2.6425561300000001E-2</v>
      </c>
      <c r="G696" s="179"/>
      <c r="L696" s="479" t="s">
        <v>2583</v>
      </c>
      <c r="M696" s="179"/>
      <c r="N696" s="179"/>
      <c r="O696" s="179"/>
      <c r="P696" s="179"/>
    </row>
    <row r="697" spans="1:16">
      <c r="A697" s="72" t="s">
        <v>2202</v>
      </c>
      <c r="C697" s="71">
        <v>0</v>
      </c>
      <c r="D697" s="70">
        <v>0</v>
      </c>
      <c r="E697" s="71">
        <v>0</v>
      </c>
      <c r="F697" s="480">
        <v>0</v>
      </c>
      <c r="G697" s="179"/>
      <c r="I697" s="72" t="s">
        <v>2576</v>
      </c>
      <c r="K697" s="71">
        <v>602338018</v>
      </c>
      <c r="L697" s="75">
        <v>275321271</v>
      </c>
      <c r="M697" s="71">
        <v>327016747</v>
      </c>
      <c r="N697" s="179"/>
      <c r="O697" s="179"/>
      <c r="P697" s="179"/>
    </row>
    <row r="698" spans="1:16">
      <c r="A698" s="72" t="s">
        <v>3498</v>
      </c>
      <c r="C698" s="71">
        <v>13882343</v>
      </c>
      <c r="D698" s="70">
        <v>4593584</v>
      </c>
      <c r="E698" s="71">
        <v>9288759</v>
      </c>
      <c r="F698" s="480">
        <v>-1.9039728200000001E-2</v>
      </c>
      <c r="G698" s="179"/>
      <c r="L698" s="479" t="s">
        <v>2583</v>
      </c>
      <c r="M698" s="179"/>
      <c r="N698" s="179"/>
      <c r="O698" s="179"/>
      <c r="P698" s="179"/>
    </row>
    <row r="699" spans="1:16">
      <c r="A699" s="72" t="s">
        <v>3504</v>
      </c>
      <c r="C699" s="71">
        <v>756924</v>
      </c>
      <c r="D699" s="70">
        <v>-6510</v>
      </c>
      <c r="E699" s="71">
        <v>763434</v>
      </c>
      <c r="F699" s="480">
        <v>-1.5648566000000001E-3</v>
      </c>
      <c r="G699" s="179"/>
      <c r="I699" s="72" t="s">
        <v>3561</v>
      </c>
      <c r="K699" s="71">
        <v>4245758</v>
      </c>
      <c r="L699" s="75">
        <v>35802778</v>
      </c>
      <c r="M699" s="71">
        <v>-31557020</v>
      </c>
      <c r="N699" s="179"/>
      <c r="O699" s="179"/>
      <c r="P699" s="179"/>
    </row>
    <row r="700" spans="1:16">
      <c r="A700" s="72" t="s">
        <v>2203</v>
      </c>
      <c r="C700" s="71">
        <v>65462737</v>
      </c>
      <c r="D700" s="70">
        <v>36381147</v>
      </c>
      <c r="E700" s="71">
        <v>29081590</v>
      </c>
      <c r="F700" s="480">
        <v>-5.9610284700000002E-2</v>
      </c>
      <c r="G700" s="179"/>
      <c r="K700" s="477" t="s">
        <v>1878</v>
      </c>
      <c r="L700" s="479" t="s">
        <v>1878</v>
      </c>
      <c r="M700" s="477" t="s">
        <v>1878</v>
      </c>
    </row>
    <row r="701" spans="1:16">
      <c r="C701" s="72" t="s">
        <v>1878</v>
      </c>
      <c r="D701" s="72" t="s">
        <v>1878</v>
      </c>
      <c r="E701" s="72" t="s">
        <v>1878</v>
      </c>
      <c r="F701" s="481" t="s">
        <v>1878</v>
      </c>
      <c r="G701" s="179"/>
      <c r="K701" s="71">
        <v>1562568454.2007647</v>
      </c>
      <c r="L701" s="71">
        <v>871590405</v>
      </c>
      <c r="M701" s="71">
        <v>690978049.20076466</v>
      </c>
    </row>
    <row r="702" spans="1:16">
      <c r="A702" s="72" t="s">
        <v>2204</v>
      </c>
      <c r="C702" s="71">
        <v>249307113</v>
      </c>
      <c r="D702" s="71">
        <v>116788001</v>
      </c>
      <c r="E702" s="71">
        <v>132519112</v>
      </c>
      <c r="F702" s="480">
        <v>-0.27163239690000002</v>
      </c>
      <c r="G702" s="179"/>
      <c r="L702" s="179"/>
      <c r="M702" s="179"/>
    </row>
    <row r="703" spans="1:16">
      <c r="F703" s="480"/>
      <c r="G703" s="179"/>
      <c r="I703" s="72" t="s">
        <v>1433</v>
      </c>
      <c r="K703" s="179">
        <v>0.38550000000000001</v>
      </c>
      <c r="L703" s="179">
        <v>0.31590000000000001</v>
      </c>
      <c r="O703" s="179"/>
    </row>
    <row r="704" spans="1:16">
      <c r="A704" s="72" t="s">
        <v>1617</v>
      </c>
      <c r="C704" s="71">
        <v>77980748</v>
      </c>
      <c r="D704" s="70">
        <v>42487074</v>
      </c>
      <c r="E704" s="71">
        <v>35493674</v>
      </c>
      <c r="F704" s="480">
        <v>-7.2753519099999997E-2</v>
      </c>
      <c r="G704" s="179"/>
      <c r="M704" s="179"/>
    </row>
    <row r="705" spans="1:15">
      <c r="A705" s="72" t="s">
        <v>2669</v>
      </c>
      <c r="C705" s="71">
        <v>5135148</v>
      </c>
      <c r="D705" s="70">
        <v>5129159</v>
      </c>
      <c r="E705" s="71">
        <v>5989</v>
      </c>
      <c r="F705" s="480">
        <v>-1.2276000000000001E-5</v>
      </c>
      <c r="G705" s="179"/>
      <c r="I705" s="72" t="s">
        <v>1435</v>
      </c>
      <c r="K705" s="179">
        <v>6.9000000000000006E-2</v>
      </c>
      <c r="L705" s="179">
        <v>0.1045</v>
      </c>
      <c r="M705" s="179">
        <v>-3.549999999999999E-2</v>
      </c>
      <c r="N705" s="179"/>
    </row>
    <row r="706" spans="1:15">
      <c r="A706" s="72" t="s">
        <v>3522</v>
      </c>
      <c r="C706" s="71">
        <v>-1133805</v>
      </c>
      <c r="D706" s="70">
        <v>-1869138</v>
      </c>
      <c r="E706" s="71">
        <v>735333</v>
      </c>
      <c r="F706" s="480">
        <v>-1.5072563000000001E-3</v>
      </c>
      <c r="G706" s="179"/>
    </row>
    <row r="707" spans="1:15">
      <c r="A707" s="72" t="s">
        <v>3527</v>
      </c>
      <c r="C707" s="71">
        <v>25910860</v>
      </c>
      <c r="D707" s="70">
        <v>25253793</v>
      </c>
      <c r="E707" s="71">
        <v>657067</v>
      </c>
      <c r="F707" s="480">
        <v>-1.3468298E-3</v>
      </c>
      <c r="G707" s="179"/>
      <c r="L707" s="179"/>
      <c r="M707" s="179">
        <v>5.1400000000000001E-2</v>
      </c>
      <c r="O707" s="179"/>
    </row>
    <row r="708" spans="1:15">
      <c r="A708" s="72" t="s">
        <v>2663</v>
      </c>
      <c r="C708" s="71">
        <v>20894831</v>
      </c>
      <c r="D708" s="70">
        <v>19575275</v>
      </c>
      <c r="E708" s="71">
        <v>1319556</v>
      </c>
      <c r="F708" s="480">
        <v>-2.7047732999999998E-3</v>
      </c>
      <c r="G708" s="179"/>
    </row>
    <row r="709" spans="1:15">
      <c r="A709" s="72" t="s">
        <v>3536</v>
      </c>
      <c r="C709" s="71">
        <v>6085943</v>
      </c>
      <c r="D709" s="70">
        <v>1980042</v>
      </c>
      <c r="E709" s="71">
        <v>4105901</v>
      </c>
      <c r="F709" s="480">
        <v>-8.4161123000000004E-3</v>
      </c>
      <c r="G709" s="179"/>
      <c r="L709" s="179"/>
      <c r="O709" s="179"/>
    </row>
    <row r="710" spans="1:15">
      <c r="C710" s="72" t="s">
        <v>1878</v>
      </c>
      <c r="D710" s="72" t="s">
        <v>1878</v>
      </c>
      <c r="E710" s="72" t="s">
        <v>1878</v>
      </c>
      <c r="F710" s="481" t="s">
        <v>1878</v>
      </c>
      <c r="G710" s="179"/>
      <c r="O710" s="179"/>
    </row>
    <row r="711" spans="1:15">
      <c r="A711" s="72" t="s">
        <v>2048</v>
      </c>
      <c r="C711" s="71">
        <v>384180838</v>
      </c>
      <c r="D711" s="71">
        <v>209344206</v>
      </c>
      <c r="E711" s="71">
        <v>174836632</v>
      </c>
      <c r="F711" s="480">
        <v>-0.35837316370000005</v>
      </c>
      <c r="G711" s="478"/>
      <c r="H711" s="478"/>
      <c r="O711" s="179"/>
    </row>
    <row r="712" spans="1:15">
      <c r="C712" s="72" t="s">
        <v>1878</v>
      </c>
      <c r="D712" s="72" t="s">
        <v>1878</v>
      </c>
      <c r="E712" s="72" t="s">
        <v>1878</v>
      </c>
      <c r="F712" s="481" t="s">
        <v>1878</v>
      </c>
      <c r="G712" s="478"/>
      <c r="H712" s="478"/>
      <c r="I712" s="72" t="s">
        <v>2205</v>
      </c>
      <c r="K712" s="179">
        <v>4.9200000000000001E-2</v>
      </c>
      <c r="L712" s="179">
        <v>7.6899999999999996E-2</v>
      </c>
      <c r="O712" s="179"/>
    </row>
    <row r="713" spans="1:15">
      <c r="A713" s="72" t="s">
        <v>1482</v>
      </c>
      <c r="C713" s="71">
        <v>76009041.26000005</v>
      </c>
      <c r="D713" s="71">
        <v>66984797</v>
      </c>
      <c r="E713" s="71">
        <v>9024244.2600000501</v>
      </c>
      <c r="F713" s="480">
        <v>1.8497536399999959E-2</v>
      </c>
      <c r="G713" s="482"/>
      <c r="H713" s="478"/>
      <c r="I713" s="72" t="s">
        <v>1431</v>
      </c>
      <c r="K713" s="179">
        <v>2.25887213E-2</v>
      </c>
      <c r="L713" s="179">
        <v>4.3900000000000002E-2</v>
      </c>
    </row>
    <row r="714" spans="1:15">
      <c r="C714" s="72" t="s">
        <v>736</v>
      </c>
      <c r="D714" s="72" t="s">
        <v>736</v>
      </c>
      <c r="E714" s="72" t="s">
        <v>736</v>
      </c>
      <c r="F714" s="481" t="s">
        <v>736</v>
      </c>
      <c r="G714" s="482"/>
      <c r="K714" s="179" t="s">
        <v>1124</v>
      </c>
      <c r="L714" s="179" t="s">
        <v>1124</v>
      </c>
    </row>
    <row r="715" spans="1:15">
      <c r="F715" s="480">
        <v>1.4799999999999994E-2</v>
      </c>
      <c r="G715" s="482"/>
      <c r="K715" s="179">
        <v>2.6611278700000001E-2</v>
      </c>
      <c r="L715" s="179">
        <v>3.2999999999999995E-2</v>
      </c>
      <c r="M715" s="179"/>
      <c r="O715" s="179"/>
    </row>
    <row r="716" spans="1:15">
      <c r="F716" s="480"/>
      <c r="G716" s="482"/>
      <c r="I716" s="72" t="s">
        <v>1433</v>
      </c>
      <c r="K716" s="179">
        <v>0.38550000000000001</v>
      </c>
      <c r="L716" s="179">
        <v>0.31590000000000001</v>
      </c>
      <c r="M716" s="179"/>
      <c r="O716" s="179"/>
    </row>
    <row r="717" spans="1:15">
      <c r="A717" s="72" t="s">
        <v>1849</v>
      </c>
      <c r="F717" s="480"/>
      <c r="G717" s="482"/>
      <c r="K717" s="179" t="s">
        <v>1124</v>
      </c>
      <c r="L717" s="179" t="s">
        <v>1123</v>
      </c>
    </row>
    <row r="718" spans="1:15">
      <c r="A718" s="72" t="s">
        <v>1851</v>
      </c>
      <c r="F718" s="480"/>
      <c r="G718" s="482"/>
      <c r="I718" s="72" t="s">
        <v>1435</v>
      </c>
      <c r="K718" s="179">
        <v>6.9000000000000006E-2</v>
      </c>
      <c r="L718" s="179">
        <v>0.1045</v>
      </c>
      <c r="M718" s="179">
        <v>-3.549999999999999E-2</v>
      </c>
    </row>
    <row r="719" spans="1:15">
      <c r="F719" s="480"/>
      <c r="H719" s="179"/>
      <c r="K719" s="179" t="s">
        <v>1128</v>
      </c>
      <c r="L719" s="179" t="s">
        <v>1127</v>
      </c>
      <c r="M719" s="179" t="s">
        <v>1183</v>
      </c>
    </row>
    <row r="720" spans="1:15">
      <c r="F720" s="480"/>
      <c r="H720" s="179"/>
    </row>
    <row r="721" spans="1:13">
      <c r="A721" s="72" t="s">
        <v>1854</v>
      </c>
      <c r="C721" s="71">
        <v>191981614.20076457</v>
      </c>
      <c r="D721" s="70">
        <v>59141426</v>
      </c>
      <c r="E721" s="71">
        <v>132840188.20076457</v>
      </c>
      <c r="F721" s="480">
        <v>-2.0939249805370569E-2</v>
      </c>
      <c r="H721" s="179"/>
      <c r="M721" s="179"/>
    </row>
    <row r="722" spans="1:13">
      <c r="F722" s="480"/>
      <c r="H722" s="179"/>
    </row>
    <row r="723" spans="1:13">
      <c r="A723" s="72" t="s">
        <v>1858</v>
      </c>
      <c r="C723" s="71">
        <v>1296909241</v>
      </c>
      <c r="D723" s="70">
        <v>790630320</v>
      </c>
      <c r="E723" s="71">
        <v>506278921</v>
      </c>
      <c r="F723" s="480">
        <v>-7.9803415981244866E-2</v>
      </c>
      <c r="H723" s="179"/>
      <c r="I723" s="72" t="s">
        <v>2206</v>
      </c>
      <c r="M723" s="179">
        <v>1.8499999999999999E-2</v>
      </c>
    </row>
    <row r="724" spans="1:13">
      <c r="F724" s="480"/>
      <c r="H724" s="179"/>
      <c r="I724" s="72" t="s">
        <v>2207</v>
      </c>
      <c r="M724" s="179">
        <v>-0.106</v>
      </c>
    </row>
    <row r="725" spans="1:13">
      <c r="A725" s="72" t="s">
        <v>1861</v>
      </c>
      <c r="C725" s="71">
        <v>49977321</v>
      </c>
      <c r="D725" s="70">
        <v>17404078</v>
      </c>
      <c r="E725" s="71">
        <v>32573243</v>
      </c>
      <c r="F725" s="480">
        <v>-5.1344347022244923E-3</v>
      </c>
      <c r="H725" s="179"/>
      <c r="I725" s="72" t="s">
        <v>2208</v>
      </c>
      <c r="M725" s="179">
        <v>-3.549999999999999E-2</v>
      </c>
    </row>
    <row r="726" spans="1:13">
      <c r="F726" s="480"/>
      <c r="H726" s="179"/>
      <c r="M726" s="477" t="s">
        <v>1426</v>
      </c>
    </row>
    <row r="727" spans="1:13">
      <c r="A727" s="72" t="s">
        <v>1862</v>
      </c>
      <c r="C727" s="71">
        <v>5487488</v>
      </c>
      <c r="D727" s="70">
        <v>4414581</v>
      </c>
      <c r="E727" s="71">
        <v>1072907</v>
      </c>
      <c r="F727" s="480">
        <v>-1.6911951116011301E-4</v>
      </c>
      <c r="G727" s="179"/>
      <c r="H727" s="179"/>
      <c r="M727" s="179">
        <v>-0.12299999999999998</v>
      </c>
    </row>
    <row r="728" spans="1:13">
      <c r="C728" s="72" t="s">
        <v>1878</v>
      </c>
      <c r="D728" s="72" t="s">
        <v>1878</v>
      </c>
      <c r="E728" s="72" t="s">
        <v>1878</v>
      </c>
      <c r="F728" s="481" t="s">
        <v>1878</v>
      </c>
      <c r="M728" s="477" t="s">
        <v>2209</v>
      </c>
    </row>
    <row r="729" spans="1:13">
      <c r="A729" s="72" t="s">
        <v>1865</v>
      </c>
      <c r="C729" s="71">
        <v>1544355664.2007647</v>
      </c>
      <c r="D729" s="71">
        <v>871590405</v>
      </c>
      <c r="E729" s="71">
        <v>672765259.20076454</v>
      </c>
      <c r="F729" s="480">
        <v>-0.10604622000000001</v>
      </c>
      <c r="G729" s="482"/>
    </row>
    <row r="730" spans="1:13">
      <c r="C730" s="72" t="s">
        <v>736</v>
      </c>
      <c r="D730" s="72" t="s">
        <v>736</v>
      </c>
      <c r="E730" s="72" t="s">
        <v>736</v>
      </c>
      <c r="F730" s="72" t="s">
        <v>736</v>
      </c>
      <c r="G730" s="482"/>
    </row>
    <row r="731" spans="1:13">
      <c r="C731" s="179"/>
      <c r="D731" s="179"/>
      <c r="F731" s="482">
        <v>-0.1061</v>
      </c>
      <c r="G731" s="482"/>
    </row>
    <row r="732" spans="1:13">
      <c r="F732" s="482"/>
      <c r="G732" s="482"/>
    </row>
    <row r="733" spans="1:13">
      <c r="F733" s="482"/>
      <c r="G733" s="482"/>
    </row>
    <row r="734" spans="1:13">
      <c r="F734" s="482"/>
      <c r="G734" s="482"/>
    </row>
    <row r="735" spans="1:13">
      <c r="F735" s="482"/>
      <c r="G735" s="482"/>
    </row>
    <row r="736" spans="1:13">
      <c r="F736" s="482"/>
    </row>
    <row r="737" spans="1:13">
      <c r="F737" s="482"/>
    </row>
    <row r="738" spans="1:13">
      <c r="A738" s="72" t="s">
        <v>2155</v>
      </c>
    </row>
    <row r="739" spans="1:13">
      <c r="A739" s="72" t="s">
        <v>2210</v>
      </c>
    </row>
    <row r="740" spans="1:13">
      <c r="A740" s="71" t="s">
        <v>1830</v>
      </c>
      <c r="I740" s="72" t="s">
        <v>2195</v>
      </c>
    </row>
    <row r="741" spans="1:13">
      <c r="I741" s="72" t="s">
        <v>2196</v>
      </c>
    </row>
    <row r="742" spans="1:13">
      <c r="A742" s="72" t="s">
        <v>1831</v>
      </c>
      <c r="F742" s="183" t="s">
        <v>2197</v>
      </c>
      <c r="K742" s="183" t="s">
        <v>1113</v>
      </c>
      <c r="L742" s="183" t="s">
        <v>1113</v>
      </c>
    </row>
    <row r="743" spans="1:13">
      <c r="A743" s="72" t="s">
        <v>1196</v>
      </c>
      <c r="F743" s="183" t="s">
        <v>2199</v>
      </c>
      <c r="K743" s="71" t="s">
        <v>1830</v>
      </c>
      <c r="L743" s="71" t="s">
        <v>1830</v>
      </c>
      <c r="M743" s="183" t="s">
        <v>2419</v>
      </c>
    </row>
    <row r="744" spans="1:13">
      <c r="A744" s="72" t="s">
        <v>1833</v>
      </c>
      <c r="C744" s="183" t="s">
        <v>1113</v>
      </c>
      <c r="D744" s="183" t="s">
        <v>1113</v>
      </c>
      <c r="F744" s="183" t="s">
        <v>43</v>
      </c>
      <c r="K744" s="72" t="s">
        <v>708</v>
      </c>
      <c r="L744" s="72" t="s">
        <v>708</v>
      </c>
      <c r="M744" s="72" t="s">
        <v>708</v>
      </c>
    </row>
    <row r="745" spans="1:13">
      <c r="A745" s="72" t="s">
        <v>2583</v>
      </c>
      <c r="C745" s="71" t="s">
        <v>1830</v>
      </c>
      <c r="D745" s="71" t="s">
        <v>1830</v>
      </c>
      <c r="E745" s="183" t="s">
        <v>2419</v>
      </c>
      <c r="F745" s="183" t="s">
        <v>2113</v>
      </c>
      <c r="G745" s="179"/>
      <c r="I745" s="72" t="s">
        <v>3541</v>
      </c>
      <c r="K745" s="71">
        <v>662318915.20076466</v>
      </c>
      <c r="L745" s="71">
        <v>652474183.04639697</v>
      </c>
      <c r="M745" s="71">
        <v>9844732.1543676853</v>
      </c>
    </row>
    <row r="746" spans="1:13">
      <c r="C746" s="72" t="s">
        <v>708</v>
      </c>
      <c r="D746" s="72" t="s">
        <v>708</v>
      </c>
      <c r="E746" s="72" t="s">
        <v>708</v>
      </c>
      <c r="F746" s="72" t="s">
        <v>708</v>
      </c>
      <c r="G746" s="179"/>
      <c r="M746" s="179"/>
    </row>
    <row r="747" spans="1:13">
      <c r="A747" s="72" t="s">
        <v>1761</v>
      </c>
      <c r="C747" s="71">
        <v>434014545.26000005</v>
      </c>
      <c r="D747" s="71">
        <v>435138424.24000001</v>
      </c>
      <c r="E747" s="71">
        <v>-1123878.9799999595</v>
      </c>
      <c r="F747" s="483">
        <v>-1.85315E-3</v>
      </c>
      <c r="G747" s="179"/>
      <c r="I747" s="72" t="s">
        <v>2573</v>
      </c>
      <c r="K747" s="71">
        <v>16531399</v>
      </c>
      <c r="L747" s="71">
        <v>18957499</v>
      </c>
      <c r="M747" s="71">
        <v>-2426100</v>
      </c>
    </row>
    <row r="748" spans="1:13">
      <c r="A748" s="72" t="s">
        <v>3035</v>
      </c>
      <c r="C748" s="71">
        <v>26175334</v>
      </c>
      <c r="D748" s="71">
        <v>27289103</v>
      </c>
      <c r="E748" s="71">
        <v>-1113769</v>
      </c>
      <c r="F748" s="483">
        <v>-1.8364799999999999E-3</v>
      </c>
      <c r="G748" s="179"/>
      <c r="M748" s="179"/>
    </row>
    <row r="749" spans="1:13">
      <c r="A749" s="72" t="s">
        <v>2583</v>
      </c>
      <c r="C749" s="72" t="s">
        <v>1878</v>
      </c>
      <c r="D749" s="72" t="s">
        <v>1878</v>
      </c>
      <c r="E749" s="72" t="s">
        <v>1878</v>
      </c>
      <c r="F749" s="484" t="s">
        <v>1878</v>
      </c>
      <c r="G749" s="179"/>
      <c r="I749" s="72" t="s">
        <v>2200</v>
      </c>
      <c r="K749" s="71">
        <v>53369489</v>
      </c>
      <c r="L749" s="71">
        <v>51633263</v>
      </c>
      <c r="M749" s="71">
        <v>1736226</v>
      </c>
    </row>
    <row r="750" spans="1:13">
      <c r="A750" s="72" t="s">
        <v>1836</v>
      </c>
      <c r="C750" s="71">
        <v>460189879.26000005</v>
      </c>
      <c r="D750" s="71">
        <v>462427527.24000001</v>
      </c>
      <c r="E750" s="71">
        <v>-2237647.9799999595</v>
      </c>
      <c r="F750" s="483">
        <v>-3.6896300000000002E-3</v>
      </c>
      <c r="G750" s="179"/>
    </row>
    <row r="751" spans="1:13">
      <c r="C751" s="72" t="s">
        <v>1878</v>
      </c>
      <c r="D751" s="72" t="s">
        <v>1878</v>
      </c>
      <c r="E751" s="72" t="s">
        <v>1878</v>
      </c>
      <c r="F751" s="484" t="s">
        <v>1878</v>
      </c>
      <c r="G751" s="179"/>
      <c r="I751" s="72" t="s">
        <v>2575</v>
      </c>
      <c r="K751" s="71">
        <v>22179914</v>
      </c>
      <c r="L751" s="71">
        <v>20982512</v>
      </c>
      <c r="M751" s="71">
        <v>1197402</v>
      </c>
    </row>
    <row r="752" spans="1:13">
      <c r="F752" s="483"/>
      <c r="G752" s="179"/>
      <c r="M752" s="179"/>
    </row>
    <row r="753" spans="1:13">
      <c r="A753" s="72" t="s">
        <v>3477</v>
      </c>
      <c r="C753" s="71">
        <v>101576487</v>
      </c>
      <c r="D753" s="71">
        <v>90576889</v>
      </c>
      <c r="E753" s="71">
        <v>10999598</v>
      </c>
      <c r="F753" s="483">
        <v>-1.8137130000000001E-2</v>
      </c>
      <c r="G753" s="179"/>
      <c r="I753" s="72" t="s">
        <v>3553</v>
      </c>
      <c r="K753" s="71">
        <v>0</v>
      </c>
      <c r="L753" s="71">
        <v>0</v>
      </c>
      <c r="M753" s="71">
        <v>0</v>
      </c>
    </row>
    <row r="754" spans="1:13">
      <c r="A754" s="72" t="s">
        <v>1558</v>
      </c>
      <c r="C754" s="71">
        <v>9503466</v>
      </c>
      <c r="D754" s="71">
        <v>9219107</v>
      </c>
      <c r="E754" s="71">
        <v>284359</v>
      </c>
      <c r="F754" s="483">
        <v>-4.6888000000000002E-4</v>
      </c>
      <c r="G754" s="179"/>
    </row>
    <row r="755" spans="1:13">
      <c r="A755" s="72" t="s">
        <v>3485</v>
      </c>
      <c r="C755" s="71">
        <v>36773990</v>
      </c>
      <c r="D755" s="71">
        <v>36558513</v>
      </c>
      <c r="E755" s="71">
        <v>215477</v>
      </c>
      <c r="F755" s="483">
        <v>-3.5530000000000002E-4</v>
      </c>
      <c r="G755" s="179"/>
      <c r="I755" s="72" t="s">
        <v>3555</v>
      </c>
      <c r="K755" s="71">
        <v>201584961</v>
      </c>
      <c r="L755" s="71">
        <v>182981567</v>
      </c>
      <c r="M755" s="71">
        <v>18603394</v>
      </c>
    </row>
    <row r="756" spans="1:13">
      <c r="A756" s="72" t="s">
        <v>2201</v>
      </c>
      <c r="C756" s="71">
        <v>21351166</v>
      </c>
      <c r="D756" s="71">
        <v>21875353</v>
      </c>
      <c r="E756" s="71">
        <v>-524187</v>
      </c>
      <c r="F756" s="483">
        <v>8.6432999999999996E-4</v>
      </c>
      <c r="G756" s="179"/>
      <c r="M756" s="179"/>
    </row>
    <row r="757" spans="1:13">
      <c r="A757" s="72" t="s">
        <v>2202</v>
      </c>
      <c r="C757" s="71">
        <v>0</v>
      </c>
      <c r="D757" s="71">
        <v>0</v>
      </c>
      <c r="E757" s="71">
        <v>0</v>
      </c>
      <c r="F757" s="483">
        <v>0</v>
      </c>
      <c r="G757" s="179"/>
      <c r="I757" s="72" t="s">
        <v>2576</v>
      </c>
      <c r="K757" s="71">
        <v>602338018</v>
      </c>
      <c r="L757" s="71">
        <v>602435714</v>
      </c>
      <c r="M757" s="71">
        <v>-97696</v>
      </c>
    </row>
    <row r="758" spans="1:13">
      <c r="A758" s="72" t="s">
        <v>3498</v>
      </c>
      <c r="C758" s="71">
        <v>13882343</v>
      </c>
      <c r="D758" s="71">
        <v>13542283</v>
      </c>
      <c r="E758" s="71">
        <v>340060</v>
      </c>
      <c r="F758" s="483">
        <v>-5.6072000000000001E-4</v>
      </c>
      <c r="G758" s="179"/>
      <c r="M758" s="179"/>
    </row>
    <row r="759" spans="1:13">
      <c r="A759" s="72" t="s">
        <v>3504</v>
      </c>
      <c r="C759" s="71">
        <v>756924</v>
      </c>
      <c r="D759" s="71">
        <v>789918</v>
      </c>
      <c r="E759" s="71">
        <v>-32994</v>
      </c>
      <c r="F759" s="483">
        <v>5.4400000000000001E-5</v>
      </c>
      <c r="G759" s="179"/>
      <c r="I759" s="72" t="s">
        <v>3561</v>
      </c>
      <c r="K759" s="71">
        <v>4245758</v>
      </c>
      <c r="L759" s="71">
        <v>4431266</v>
      </c>
      <c r="M759" s="71">
        <v>-185508</v>
      </c>
    </row>
    <row r="760" spans="1:13">
      <c r="A760" s="72" t="s">
        <v>2203</v>
      </c>
      <c r="C760" s="71">
        <v>65462737</v>
      </c>
      <c r="D760" s="71">
        <v>62226805</v>
      </c>
      <c r="E760" s="71">
        <v>3235932</v>
      </c>
      <c r="F760" s="483">
        <v>-5.3356999999999996E-3</v>
      </c>
      <c r="G760" s="179"/>
      <c r="K760" s="477" t="s">
        <v>1878</v>
      </c>
      <c r="L760" s="479" t="s">
        <v>1878</v>
      </c>
      <c r="M760" s="477" t="s">
        <v>1878</v>
      </c>
    </row>
    <row r="761" spans="1:13">
      <c r="C761" s="72" t="s">
        <v>1878</v>
      </c>
      <c r="D761" s="72" t="s">
        <v>1878</v>
      </c>
      <c r="E761" s="72" t="s">
        <v>1878</v>
      </c>
      <c r="F761" s="484" t="s">
        <v>1878</v>
      </c>
      <c r="G761" s="179"/>
      <c r="K761" s="71">
        <v>1562568454.2007647</v>
      </c>
      <c r="L761" s="71">
        <v>1533896004.046397</v>
      </c>
      <c r="M761" s="71">
        <v>28672450.154367685</v>
      </c>
    </row>
    <row r="762" spans="1:13">
      <c r="A762" s="72" t="s">
        <v>2204</v>
      </c>
      <c r="C762" s="71">
        <v>249307113</v>
      </c>
      <c r="D762" s="71">
        <v>239014612</v>
      </c>
      <c r="E762" s="71">
        <v>14518245</v>
      </c>
      <c r="F762" s="483">
        <v>-2.3939000000000002E-2</v>
      </c>
      <c r="G762" s="179"/>
      <c r="L762" s="179"/>
      <c r="M762" s="179"/>
    </row>
    <row r="763" spans="1:13">
      <c r="F763" s="483"/>
      <c r="G763" s="179"/>
      <c r="I763" s="72" t="s">
        <v>1433</v>
      </c>
      <c r="K763" s="179">
        <v>0.38550000000000001</v>
      </c>
      <c r="L763" s="179">
        <v>0.39269999999999999</v>
      </c>
    </row>
    <row r="764" spans="1:13">
      <c r="A764" s="72" t="s">
        <v>1617</v>
      </c>
      <c r="C764" s="71">
        <v>77980748</v>
      </c>
      <c r="D764" s="71">
        <v>77702703</v>
      </c>
      <c r="E764" s="71">
        <v>278045</v>
      </c>
      <c r="F764" s="483">
        <v>-4.5846999999999999E-4</v>
      </c>
      <c r="G764" s="179"/>
      <c r="M764" s="179"/>
    </row>
    <row r="765" spans="1:13">
      <c r="A765" s="72" t="s">
        <v>2669</v>
      </c>
      <c r="C765" s="71">
        <v>5135148</v>
      </c>
      <c r="D765" s="71">
        <v>4930813</v>
      </c>
      <c r="E765" s="71">
        <v>204335</v>
      </c>
      <c r="F765" s="483">
        <v>-3.3692999999999999E-4</v>
      </c>
      <c r="G765" s="179"/>
      <c r="I765" s="72" t="s">
        <v>1435</v>
      </c>
      <c r="K765" s="179">
        <v>6.9030549999999996E-2</v>
      </c>
      <c r="L765" s="179">
        <v>6.8332069999999995E-2</v>
      </c>
      <c r="M765" s="480">
        <v>6.9848000000000132E-4</v>
      </c>
    </row>
    <row r="766" spans="1:13">
      <c r="A766" s="72" t="s">
        <v>3522</v>
      </c>
      <c r="C766" s="71">
        <v>-1133805</v>
      </c>
      <c r="D766" s="71">
        <v>-1149544</v>
      </c>
      <c r="E766" s="71">
        <v>15739</v>
      </c>
      <c r="F766" s="483">
        <v>-2.5950000000000001E-5</v>
      </c>
      <c r="G766" s="179"/>
      <c r="K766" s="179"/>
    </row>
    <row r="767" spans="1:13">
      <c r="A767" s="72" t="s">
        <v>3527</v>
      </c>
      <c r="C767" s="71">
        <v>25910860</v>
      </c>
      <c r="D767" s="71">
        <v>25836781</v>
      </c>
      <c r="E767" s="71">
        <v>74079</v>
      </c>
      <c r="F767" s="483">
        <v>-1.2214999999999999E-4</v>
      </c>
      <c r="G767" s="179"/>
      <c r="M767" s="179">
        <v>7.0999999999999952E-3</v>
      </c>
    </row>
    <row r="768" spans="1:13">
      <c r="A768" s="72" t="s">
        <v>2663</v>
      </c>
      <c r="C768" s="71">
        <v>20894831</v>
      </c>
      <c r="D768" s="71">
        <v>22987992</v>
      </c>
      <c r="E768" s="71">
        <v>-2093161</v>
      </c>
      <c r="F768" s="483">
        <v>3.4513899999999999E-3</v>
      </c>
      <c r="G768" s="179"/>
    </row>
    <row r="769" spans="1:13">
      <c r="A769" s="72" t="s">
        <v>3536</v>
      </c>
      <c r="C769" s="71">
        <v>6085943</v>
      </c>
      <c r="D769" s="71">
        <v>6004849</v>
      </c>
      <c r="E769" s="71">
        <v>81094</v>
      </c>
      <c r="F769" s="483">
        <v>-1.3371999999999999E-4</v>
      </c>
      <c r="G769" s="179"/>
    </row>
    <row r="770" spans="1:13">
      <c r="C770" s="72" t="s">
        <v>1878</v>
      </c>
      <c r="D770" s="72" t="s">
        <v>1878</v>
      </c>
      <c r="E770" s="72" t="s">
        <v>1878</v>
      </c>
      <c r="F770" s="484" t="s">
        <v>1878</v>
      </c>
      <c r="G770" s="179"/>
    </row>
    <row r="771" spans="1:13">
      <c r="A771" s="72" t="s">
        <v>2048</v>
      </c>
      <c r="C771" s="71">
        <v>384180838</v>
      </c>
      <c r="D771" s="71">
        <v>379521530</v>
      </c>
      <c r="E771" s="71">
        <v>13078376</v>
      </c>
      <c r="F771" s="483">
        <v>-2.156483E-2</v>
      </c>
      <c r="G771" s="179"/>
    </row>
    <row r="772" spans="1:13">
      <c r="C772" s="72" t="s">
        <v>1878</v>
      </c>
      <c r="D772" s="72" t="s">
        <v>1878</v>
      </c>
      <c r="E772" s="72" t="s">
        <v>1878</v>
      </c>
      <c r="F772" s="481" t="s">
        <v>1878</v>
      </c>
      <c r="I772" s="72" t="s">
        <v>2205</v>
      </c>
      <c r="K772" s="179">
        <v>4.9200000000000001E-2</v>
      </c>
      <c r="L772" s="179">
        <v>5.9499999999999997E-2</v>
      </c>
    </row>
    <row r="773" spans="1:13">
      <c r="A773" s="72" t="s">
        <v>1482</v>
      </c>
      <c r="C773" s="71">
        <v>76009041.26000005</v>
      </c>
      <c r="D773" s="71">
        <v>82905997.24000001</v>
      </c>
      <c r="E773" s="71">
        <v>-15316023.979999959</v>
      </c>
      <c r="F773" s="483">
        <v>-2.5254459999999999E-2</v>
      </c>
      <c r="G773" s="482"/>
      <c r="I773" s="72" t="s">
        <v>1431</v>
      </c>
      <c r="K773" s="179">
        <v>2.25887213E-2</v>
      </c>
      <c r="L773" s="179">
        <v>2.2365995100000001E-2</v>
      </c>
    </row>
    <row r="774" spans="1:13">
      <c r="C774" s="72" t="s">
        <v>736</v>
      </c>
      <c r="D774" s="72" t="s">
        <v>736</v>
      </c>
      <c r="E774" s="72" t="s">
        <v>736</v>
      </c>
      <c r="F774" s="481" t="s">
        <v>736</v>
      </c>
      <c r="G774" s="482"/>
      <c r="K774" s="179" t="s">
        <v>1878</v>
      </c>
      <c r="L774" s="179" t="s">
        <v>1878</v>
      </c>
    </row>
    <row r="775" spans="1:13">
      <c r="F775" s="179">
        <v>-4.3000000000000052E-3</v>
      </c>
      <c r="G775" s="482"/>
      <c r="K775" s="179">
        <v>2.6611278700000001E-2</v>
      </c>
      <c r="L775" s="179">
        <v>3.7134004899999996E-2</v>
      </c>
      <c r="M775" s="179"/>
    </row>
    <row r="776" spans="1:13">
      <c r="F776" s="480"/>
      <c r="G776" s="482"/>
      <c r="I776" s="72" t="s">
        <v>1433</v>
      </c>
      <c r="K776" s="179">
        <v>0.38550000000000001</v>
      </c>
      <c r="L776" s="179">
        <v>0.39269999999999999</v>
      </c>
      <c r="M776" s="179"/>
    </row>
    <row r="777" spans="1:13">
      <c r="A777" s="72" t="s">
        <v>1849</v>
      </c>
      <c r="F777" s="480"/>
      <c r="G777" s="482"/>
      <c r="K777" s="179"/>
      <c r="L777" s="179"/>
    </row>
    <row r="778" spans="1:13">
      <c r="A778" s="72" t="s">
        <v>1851</v>
      </c>
      <c r="F778" s="480"/>
      <c r="G778" s="180"/>
      <c r="I778" s="72" t="s">
        <v>1435</v>
      </c>
      <c r="K778" s="179">
        <v>6.9000000000000006E-2</v>
      </c>
      <c r="L778" s="179">
        <v>9.4600000000000004E-2</v>
      </c>
      <c r="M778" s="179">
        <v>-2.5599999999999998E-2</v>
      </c>
    </row>
    <row r="779" spans="1:13">
      <c r="F779" s="480"/>
      <c r="G779" s="179"/>
      <c r="H779" s="179"/>
      <c r="K779" s="179"/>
      <c r="L779" s="179"/>
      <c r="M779" s="179"/>
    </row>
    <row r="780" spans="1:13">
      <c r="F780" s="480"/>
      <c r="G780" s="179"/>
      <c r="H780" s="179"/>
    </row>
    <row r="781" spans="1:13">
      <c r="A781" s="72" t="s">
        <v>1854</v>
      </c>
      <c r="C781" s="71">
        <v>191981614.20076457</v>
      </c>
      <c r="D781" s="71">
        <v>157467581.49310613</v>
      </c>
      <c r="E781" s="71">
        <v>34514032.70765844</v>
      </c>
      <c r="F781" s="480">
        <v>-3.0666706217277514E-3</v>
      </c>
      <c r="G781" s="179"/>
      <c r="H781" s="179"/>
      <c r="M781" s="179"/>
    </row>
    <row r="782" spans="1:13">
      <c r="F782" s="480"/>
      <c r="G782" s="179"/>
      <c r="H782" s="179"/>
    </row>
    <row r="783" spans="1:13">
      <c r="A783" s="72" t="s">
        <v>1858</v>
      </c>
      <c r="C783" s="71">
        <v>1296909241</v>
      </c>
      <c r="D783" s="71">
        <v>1287257818</v>
      </c>
      <c r="E783" s="71">
        <v>9651423</v>
      </c>
      <c r="F783" s="480">
        <v>-8.5755656612679669E-4</v>
      </c>
      <c r="G783" s="179"/>
      <c r="H783" s="179"/>
      <c r="I783" s="72" t="s">
        <v>2206</v>
      </c>
      <c r="M783" s="179">
        <v>-2.53E-2</v>
      </c>
    </row>
    <row r="784" spans="1:13">
      <c r="F784" s="480"/>
      <c r="G784" s="179"/>
      <c r="H784" s="179"/>
      <c r="I784" s="72" t="s">
        <v>2207</v>
      </c>
      <c r="M784" s="179">
        <v>-4.3E-3</v>
      </c>
    </row>
    <row r="785" spans="1:13">
      <c r="A785" s="72" t="s">
        <v>1861</v>
      </c>
      <c r="C785" s="71">
        <v>49977321</v>
      </c>
      <c r="D785" s="71">
        <v>47845478</v>
      </c>
      <c r="E785" s="71">
        <v>2131843</v>
      </c>
      <c r="F785" s="480">
        <v>-1.89420354138602E-4</v>
      </c>
      <c r="G785" s="179"/>
      <c r="H785" s="179"/>
      <c r="I785" s="72" t="s">
        <v>2208</v>
      </c>
      <c r="M785" s="179">
        <v>6.9999999999999999E-4</v>
      </c>
    </row>
    <row r="786" spans="1:13">
      <c r="F786" s="480"/>
      <c r="H786" s="179"/>
      <c r="M786" s="477" t="s">
        <v>1426</v>
      </c>
    </row>
    <row r="787" spans="1:13">
      <c r="A787" s="72" t="s">
        <v>1862</v>
      </c>
      <c r="C787" s="71">
        <v>5487488</v>
      </c>
      <c r="D787" s="71">
        <v>3063678</v>
      </c>
      <c r="E787" s="71">
        <v>2423810</v>
      </c>
      <c r="F787" s="480">
        <v>-2.1536245800684429E-4</v>
      </c>
      <c r="G787" s="179"/>
      <c r="H787" s="179"/>
      <c r="M787" s="179">
        <v>-2.8900000000000002E-2</v>
      </c>
    </row>
    <row r="788" spans="1:13">
      <c r="C788" s="72" t="s">
        <v>1878</v>
      </c>
      <c r="D788" s="72" t="s">
        <v>1878</v>
      </c>
      <c r="E788" s="72" t="s">
        <v>1878</v>
      </c>
      <c r="F788" s="481" t="s">
        <v>1878</v>
      </c>
      <c r="M788" s="477" t="s">
        <v>2209</v>
      </c>
    </row>
    <row r="789" spans="1:13">
      <c r="A789" s="72" t="s">
        <v>1865</v>
      </c>
      <c r="C789" s="71">
        <v>1544355664.2007647</v>
      </c>
      <c r="D789" s="71">
        <v>1495634555.4931061</v>
      </c>
      <c r="E789" s="71">
        <v>48721108.70765844</v>
      </c>
      <c r="F789" s="480">
        <v>-4.3290099999999943E-3</v>
      </c>
      <c r="G789" s="482"/>
    </row>
    <row r="790" spans="1:13">
      <c r="C790" s="72" t="s">
        <v>736</v>
      </c>
      <c r="D790" s="72" t="s">
        <v>736</v>
      </c>
      <c r="E790" s="72" t="s">
        <v>736</v>
      </c>
      <c r="F790" s="481" t="s">
        <v>736</v>
      </c>
      <c r="G790" s="482"/>
    </row>
    <row r="791" spans="1:13">
      <c r="F791" s="179">
        <v>-1.0000000000000009E-3</v>
      </c>
      <c r="G791" s="482"/>
    </row>
    <row r="792" spans="1:13">
      <c r="F792" s="482"/>
      <c r="G792" s="482"/>
    </row>
    <row r="793" spans="1:13">
      <c r="F793" s="482"/>
      <c r="G793" s="482"/>
    </row>
    <row r="794" spans="1:13">
      <c r="F794" s="482"/>
      <c r="G794" s="482"/>
    </row>
    <row r="795" spans="1:13">
      <c r="F795" s="482"/>
      <c r="G795" s="482"/>
    </row>
    <row r="796" spans="1:13">
      <c r="F796" s="482"/>
    </row>
    <row r="797" spans="1:13">
      <c r="F797" s="482"/>
    </row>
    <row r="798" spans="1:13">
      <c r="A798" s="72" t="s">
        <v>2155</v>
      </c>
    </row>
    <row r="799" spans="1:13">
      <c r="A799" s="71" t="s">
        <v>1830</v>
      </c>
    </row>
    <row r="800" spans="1:13">
      <c r="A800" s="70"/>
    </row>
    <row r="804" spans="1:15">
      <c r="A804" s="72" t="s">
        <v>1831</v>
      </c>
    </row>
    <row r="805" spans="1:15">
      <c r="A805" s="72" t="s">
        <v>1196</v>
      </c>
      <c r="G805" s="72" t="s">
        <v>1832</v>
      </c>
    </row>
    <row r="806" spans="1:15">
      <c r="A806" s="72" t="s">
        <v>1833</v>
      </c>
      <c r="C806" s="72" t="s">
        <v>1113</v>
      </c>
      <c r="D806" s="71" t="s">
        <v>2198</v>
      </c>
    </row>
    <row r="807" spans="1:15">
      <c r="A807" s="72" t="s">
        <v>2583</v>
      </c>
      <c r="C807" s="71" t="s">
        <v>1830</v>
      </c>
      <c r="D807" s="71" t="s">
        <v>1830</v>
      </c>
      <c r="E807" s="183" t="s">
        <v>2419</v>
      </c>
      <c r="G807" s="72" t="s">
        <v>1834</v>
      </c>
      <c r="K807" s="71">
        <v>506278921</v>
      </c>
    </row>
    <row r="808" spans="1:15">
      <c r="C808" s="72" t="s">
        <v>708</v>
      </c>
      <c r="D808" s="72" t="s">
        <v>708</v>
      </c>
      <c r="E808" s="72" t="s">
        <v>708</v>
      </c>
      <c r="G808" s="72" t="s">
        <v>1835</v>
      </c>
      <c r="K808" s="71">
        <v>132840188.20076457</v>
      </c>
    </row>
    <row r="809" spans="1:15">
      <c r="A809" s="72" t="s">
        <v>1836</v>
      </c>
      <c r="C809" s="71">
        <v>460189879.26000005</v>
      </c>
      <c r="D809" s="71">
        <v>276329003</v>
      </c>
      <c r="E809" s="71">
        <v>183860876.26000005</v>
      </c>
      <c r="G809" s="72" t="s">
        <v>1837</v>
      </c>
      <c r="K809" s="71">
        <v>32573243</v>
      </c>
    </row>
    <row r="810" spans="1:15">
      <c r="G810" s="72" t="s">
        <v>1838</v>
      </c>
      <c r="K810" s="71">
        <v>1072907</v>
      </c>
    </row>
    <row r="811" spans="1:15">
      <c r="A811" s="72" t="s">
        <v>1839</v>
      </c>
      <c r="C811" s="71">
        <v>384180838</v>
      </c>
      <c r="D811" s="71">
        <v>209344206</v>
      </c>
      <c r="E811" s="71">
        <v>174836632</v>
      </c>
      <c r="K811" s="72" t="s">
        <v>1214</v>
      </c>
    </row>
    <row r="812" spans="1:15">
      <c r="A812" s="72" t="s">
        <v>2583</v>
      </c>
      <c r="C812" s="72" t="s">
        <v>1878</v>
      </c>
      <c r="D812" s="72" t="s">
        <v>1878</v>
      </c>
      <c r="E812" s="72" t="s">
        <v>1878</v>
      </c>
      <c r="K812" s="71">
        <v>672765259.20076454</v>
      </c>
      <c r="M812" s="72" t="s">
        <v>1840</v>
      </c>
      <c r="O812" s="72" t="s">
        <v>1840</v>
      </c>
    </row>
    <row r="813" spans="1:15">
      <c r="A813" s="72" t="s">
        <v>1841</v>
      </c>
      <c r="C813" s="71">
        <v>76009041.26000005</v>
      </c>
      <c r="D813" s="71">
        <v>66984797</v>
      </c>
      <c r="E813" s="71">
        <v>9024244.2600000501</v>
      </c>
      <c r="K813" s="72" t="s">
        <v>1393</v>
      </c>
      <c r="M813" s="72" t="s">
        <v>1842</v>
      </c>
      <c r="O813" s="72" t="s">
        <v>1842</v>
      </c>
    </row>
    <row r="814" spans="1:15">
      <c r="C814" s="72" t="s">
        <v>736</v>
      </c>
      <c r="D814" s="72" t="s">
        <v>736</v>
      </c>
      <c r="E814" s="72" t="s">
        <v>736</v>
      </c>
      <c r="M814" s="476" t="s">
        <v>1843</v>
      </c>
      <c r="O814" s="476" t="s">
        <v>1844</v>
      </c>
    </row>
    <row r="815" spans="1:15">
      <c r="G815" s="72" t="s">
        <v>1845</v>
      </c>
      <c r="L815" s="183" t="s">
        <v>1846</v>
      </c>
      <c r="M815" s="476" t="s">
        <v>1847</v>
      </c>
      <c r="O815" s="476" t="s">
        <v>1847</v>
      </c>
    </row>
    <row r="816" spans="1:15">
      <c r="L816" s="72" t="s">
        <v>1848</v>
      </c>
      <c r="M816" s="72" t="s">
        <v>1848</v>
      </c>
      <c r="O816" s="72" t="s">
        <v>1848</v>
      </c>
    </row>
    <row r="817" spans="1:15">
      <c r="A817" s="72" t="s">
        <v>1849</v>
      </c>
      <c r="G817" s="72" t="s">
        <v>1850</v>
      </c>
      <c r="K817" s="71">
        <v>66984797</v>
      </c>
    </row>
    <row r="818" spans="1:15">
      <c r="A818" s="72" t="s">
        <v>1851</v>
      </c>
      <c r="G818" s="72" t="s">
        <v>1852</v>
      </c>
      <c r="K818" s="71">
        <v>1544355664.2007647</v>
      </c>
      <c r="L818" s="179">
        <v>4.3400000000000001E-2</v>
      </c>
      <c r="M818" s="179">
        <v>5.3400000000000003E-2</v>
      </c>
      <c r="O818" s="179">
        <v>-1.6000000000000001E-3</v>
      </c>
    </row>
    <row r="820" spans="1:15">
      <c r="G820" s="72" t="s">
        <v>1853</v>
      </c>
      <c r="K820" s="71">
        <v>66984797</v>
      </c>
    </row>
    <row r="821" spans="1:15">
      <c r="A821" s="72" t="s">
        <v>1854</v>
      </c>
      <c r="C821" s="71">
        <v>191981614.20076457</v>
      </c>
      <c r="D821" s="71">
        <v>59141426</v>
      </c>
      <c r="E821" s="71">
        <v>132840188.20076457</v>
      </c>
      <c r="G821" s="72" t="s">
        <v>1855</v>
      </c>
      <c r="K821" s="71">
        <v>871590405</v>
      </c>
      <c r="L821" s="179">
        <v>7.6899999999999996E-2</v>
      </c>
      <c r="M821" s="179">
        <v>0.13930000000000001</v>
      </c>
      <c r="O821" s="179">
        <v>0.1045</v>
      </c>
    </row>
    <row r="822" spans="1:15">
      <c r="C822" s="72" t="s">
        <v>1878</v>
      </c>
      <c r="D822" s="72" t="s">
        <v>1878</v>
      </c>
      <c r="E822" s="72" t="s">
        <v>1878</v>
      </c>
      <c r="L822" s="477" t="s">
        <v>1856</v>
      </c>
      <c r="M822" s="477" t="s">
        <v>1856</v>
      </c>
      <c r="O822" s="477" t="s">
        <v>1856</v>
      </c>
    </row>
    <row r="823" spans="1:15">
      <c r="G823" s="72" t="s">
        <v>1857</v>
      </c>
      <c r="L823" s="179">
        <v>-3.3499999999999995E-2</v>
      </c>
      <c r="M823" s="179">
        <v>-8.5900000000000004E-2</v>
      </c>
      <c r="O823" s="179">
        <v>-0.1061</v>
      </c>
    </row>
    <row r="824" spans="1:15">
      <c r="A824" s="72" t="s">
        <v>1858</v>
      </c>
      <c r="C824" s="71">
        <v>1296909241</v>
      </c>
      <c r="D824" s="71">
        <v>790630320</v>
      </c>
      <c r="E824" s="71">
        <v>506278921</v>
      </c>
      <c r="L824" s="477" t="s">
        <v>1859</v>
      </c>
      <c r="M824" s="477" t="s">
        <v>1859</v>
      </c>
      <c r="O824" s="477" t="s">
        <v>1859</v>
      </c>
    </row>
    <row r="825" spans="1:15">
      <c r="C825" s="72" t="s">
        <v>1878</v>
      </c>
      <c r="D825" s="72" t="s">
        <v>1878</v>
      </c>
      <c r="E825" s="72" t="s">
        <v>1878</v>
      </c>
    </row>
    <row r="826" spans="1:15">
      <c r="G826" s="72" t="s">
        <v>1860</v>
      </c>
      <c r="K826" s="71">
        <v>76009041.26000005</v>
      </c>
    </row>
    <row r="827" spans="1:15">
      <c r="A827" s="72" t="s">
        <v>1861</v>
      </c>
      <c r="C827" s="71">
        <v>49977321</v>
      </c>
      <c r="D827" s="71">
        <v>17404078</v>
      </c>
      <c r="E827" s="71">
        <v>32573243</v>
      </c>
      <c r="G827" s="72" t="s">
        <v>1852</v>
      </c>
      <c r="K827" s="71">
        <v>1544355664.2007647</v>
      </c>
      <c r="L827" s="179">
        <v>4.9200000000000001E-2</v>
      </c>
      <c r="M827" s="179">
        <v>6.8199999999999997E-2</v>
      </c>
      <c r="N827" s="74"/>
      <c r="O827" s="179">
        <v>1.6799999999999999E-2</v>
      </c>
    </row>
    <row r="828" spans="1:15">
      <c r="C828" s="72" t="s">
        <v>1878</v>
      </c>
      <c r="D828" s="72" t="s">
        <v>1878</v>
      </c>
      <c r="E828" s="72" t="s">
        <v>1878</v>
      </c>
      <c r="L828" s="477" t="s">
        <v>2583</v>
      </c>
      <c r="M828" s="477" t="s">
        <v>2583</v>
      </c>
    </row>
    <row r="829" spans="1:15">
      <c r="G829" s="72" t="s">
        <v>1853</v>
      </c>
      <c r="K829" s="71">
        <v>66984797</v>
      </c>
    </row>
    <row r="830" spans="1:15">
      <c r="A830" s="72" t="s">
        <v>1862</v>
      </c>
      <c r="C830" s="71">
        <v>5487488</v>
      </c>
      <c r="D830" s="71">
        <v>4414581</v>
      </c>
      <c r="E830" s="71">
        <v>1072907</v>
      </c>
      <c r="G830" s="72" t="s">
        <v>1863</v>
      </c>
      <c r="K830" s="71">
        <v>1544355664.2007647</v>
      </c>
      <c r="L830" s="179">
        <v>4.3400000000000001E-2</v>
      </c>
      <c r="M830" s="179">
        <v>5.3400000000000003E-2</v>
      </c>
      <c r="O830" s="179">
        <v>-1.6000000000000001E-3</v>
      </c>
    </row>
    <row r="831" spans="1:15">
      <c r="C831" s="72" t="s">
        <v>1878</v>
      </c>
      <c r="D831" s="72" t="s">
        <v>1878</v>
      </c>
      <c r="E831" s="72" t="s">
        <v>1878</v>
      </c>
      <c r="L831" s="477" t="s">
        <v>1856</v>
      </c>
      <c r="M831" s="477" t="s">
        <v>1856</v>
      </c>
      <c r="O831" s="477" t="s">
        <v>1856</v>
      </c>
    </row>
    <row r="832" spans="1:15">
      <c r="G832" s="72" t="s">
        <v>1864</v>
      </c>
      <c r="L832" s="179">
        <v>5.7999999999999996E-3</v>
      </c>
      <c r="M832" s="179">
        <v>1.4799999999999994E-2</v>
      </c>
      <c r="O832" s="179">
        <v>1.84E-2</v>
      </c>
    </row>
    <row r="833" spans="1:15">
      <c r="A833" s="72" t="s">
        <v>1865</v>
      </c>
      <c r="C833" s="71">
        <v>1544355664.2007647</v>
      </c>
      <c r="D833" s="71">
        <v>871590405</v>
      </c>
      <c r="E833" s="71">
        <v>672765259.20076454</v>
      </c>
      <c r="L833" s="477" t="s">
        <v>1859</v>
      </c>
      <c r="M833" s="477" t="s">
        <v>1859</v>
      </c>
      <c r="O833" s="477" t="s">
        <v>1859</v>
      </c>
    </row>
    <row r="834" spans="1:15">
      <c r="C834" s="72" t="s">
        <v>736</v>
      </c>
      <c r="D834" s="72" t="s">
        <v>736</v>
      </c>
      <c r="E834" s="72" t="s">
        <v>736</v>
      </c>
    </row>
    <row r="835" spans="1:15">
      <c r="G835" s="72" t="s">
        <v>1866</v>
      </c>
      <c r="L835" s="179">
        <v>7.6899999999999996E-2</v>
      </c>
      <c r="M835" s="179">
        <v>0.13930000000000001</v>
      </c>
    </row>
    <row r="836" spans="1:15">
      <c r="A836" s="72" t="s">
        <v>1867</v>
      </c>
      <c r="L836" s="179"/>
      <c r="M836" s="179"/>
    </row>
    <row r="837" spans="1:15">
      <c r="C837" s="72" t="s">
        <v>2583</v>
      </c>
      <c r="G837" s="72" t="s">
        <v>1868</v>
      </c>
      <c r="L837" s="179">
        <v>7.6899999999999996E-2</v>
      </c>
      <c r="M837" s="179">
        <v>0.1045</v>
      </c>
    </row>
    <row r="838" spans="1:15">
      <c r="A838" s="72" t="s">
        <v>2211</v>
      </c>
      <c r="M838" s="477" t="s">
        <v>1856</v>
      </c>
    </row>
    <row r="839" spans="1:15">
      <c r="A839" s="72" t="s">
        <v>2212</v>
      </c>
      <c r="C839" s="72" t="s">
        <v>516</v>
      </c>
      <c r="G839" s="72" t="s">
        <v>1871</v>
      </c>
      <c r="M839" s="179">
        <v>3.4800000000000011E-2</v>
      </c>
    </row>
    <row r="840" spans="1:15">
      <c r="A840" s="72" t="s">
        <v>1872</v>
      </c>
      <c r="M840" s="477" t="s">
        <v>1859</v>
      </c>
    </row>
    <row r="841" spans="1:15">
      <c r="A841" s="72" t="s">
        <v>1873</v>
      </c>
    </row>
    <row r="842" spans="1:15">
      <c r="A842" s="72" t="s">
        <v>1874</v>
      </c>
      <c r="G842" s="72" t="s">
        <v>1875</v>
      </c>
      <c r="L842" s="179">
        <v>4.9200000000000001E-2</v>
      </c>
      <c r="O842" s="179">
        <v>6.8199999999999997E-2</v>
      </c>
    </row>
    <row r="843" spans="1:15">
      <c r="A843" s="72" t="s">
        <v>1876</v>
      </c>
    </row>
    <row r="844" spans="1:15">
      <c r="A844" s="72" t="s">
        <v>1877</v>
      </c>
      <c r="C844" s="72" t="s">
        <v>2188</v>
      </c>
      <c r="D844" s="72" t="s">
        <v>2189</v>
      </c>
      <c r="E844" s="476" t="s">
        <v>2190</v>
      </c>
      <c r="G844" s="72" t="s">
        <v>2191</v>
      </c>
      <c r="L844" s="179">
        <v>4.9200000000000001E-2</v>
      </c>
      <c r="O844" s="179">
        <v>1.6799999999999999E-2</v>
      </c>
    </row>
    <row r="845" spans="1:15">
      <c r="C845" s="72" t="s">
        <v>3074</v>
      </c>
      <c r="D845" s="72" t="s">
        <v>3074</v>
      </c>
      <c r="E845" s="476" t="s">
        <v>2192</v>
      </c>
      <c r="F845" s="179"/>
      <c r="O845" s="477" t="s">
        <v>1856</v>
      </c>
    </row>
    <row r="846" spans="1:15">
      <c r="C846" s="179">
        <v>4.9200000000000001E-2</v>
      </c>
      <c r="D846" s="179">
        <v>7.6899999999999996E-2</v>
      </c>
      <c r="F846" s="179"/>
      <c r="G846" s="72" t="s">
        <v>1871</v>
      </c>
      <c r="O846" s="179">
        <v>5.1400000000000001E-2</v>
      </c>
    </row>
    <row r="847" spans="1:15">
      <c r="C847" s="179">
        <v>2.25887213E-2</v>
      </c>
      <c r="D847" s="179">
        <v>4.3900000000000002E-2</v>
      </c>
      <c r="F847" s="179"/>
      <c r="O847" s="477" t="s">
        <v>1859</v>
      </c>
    </row>
    <row r="848" spans="1:15">
      <c r="C848" s="477" t="s">
        <v>1124</v>
      </c>
      <c r="D848" s="477" t="s">
        <v>1123</v>
      </c>
      <c r="F848" s="179"/>
    </row>
    <row r="849" spans="3:15">
      <c r="C849" s="179">
        <v>2.6611278700000001E-2</v>
      </c>
      <c r="D849" s="179">
        <v>3.2999999999999995E-2</v>
      </c>
      <c r="F849" s="179"/>
    </row>
    <row r="850" spans="3:15">
      <c r="C850" s="179">
        <v>0.39002545329999999</v>
      </c>
      <c r="D850" s="179">
        <v>0.31590000000000001</v>
      </c>
      <c r="F850" s="179"/>
      <c r="G850" s="72" t="s">
        <v>2193</v>
      </c>
      <c r="M850" s="179">
        <v>-3.6299999999999999E-2</v>
      </c>
      <c r="O850" s="179">
        <v>-3.6299999999999999E-2</v>
      </c>
    </row>
    <row r="851" spans="3:15">
      <c r="C851" s="477" t="s">
        <v>1124</v>
      </c>
      <c r="D851" s="477" t="s">
        <v>1123</v>
      </c>
      <c r="F851" s="179"/>
      <c r="M851" s="477" t="s">
        <v>1859</v>
      </c>
      <c r="O851" s="477" t="s">
        <v>1859</v>
      </c>
    </row>
    <row r="852" spans="3:15">
      <c r="C852" s="179">
        <v>6.8199999999999997E-2</v>
      </c>
      <c r="D852" s="179">
        <v>0.1045</v>
      </c>
      <c r="E852" s="179">
        <v>-3.6299999999999999E-2</v>
      </c>
      <c r="F852" s="179"/>
    </row>
    <row r="853" spans="3:15">
      <c r="C853" s="477" t="s">
        <v>1128</v>
      </c>
      <c r="D853" s="477" t="s">
        <v>1127</v>
      </c>
      <c r="E853" s="477" t="s">
        <v>1183</v>
      </c>
    </row>
    <row r="921" spans="2:8">
      <c r="H921" s="462"/>
    </row>
    <row r="922" spans="2:8">
      <c r="H922" s="462"/>
    </row>
    <row r="923" spans="2:8">
      <c r="H923" s="462"/>
    </row>
    <row r="924" spans="2:8">
      <c r="H924" s="180"/>
    </row>
    <row r="925" spans="2:8">
      <c r="H925" s="485"/>
    </row>
    <row r="927" spans="2:8">
      <c r="B927" s="462"/>
      <c r="C927" s="462"/>
    </row>
    <row r="928" spans="2:8">
      <c r="B928" s="462"/>
      <c r="C928" s="462"/>
    </row>
    <row r="929" spans="2:8">
      <c r="B929" s="462"/>
      <c r="C929" s="462"/>
      <c r="H929" s="485"/>
    </row>
    <row r="930" spans="2:8">
      <c r="B930" s="462"/>
      <c r="C930" s="462"/>
    </row>
    <row r="931" spans="2:8">
      <c r="B931" s="462"/>
      <c r="C931" s="462"/>
    </row>
    <row r="932" spans="2:8">
      <c r="B932" s="462"/>
      <c r="C932" s="462"/>
      <c r="H932" s="485"/>
    </row>
    <row r="933" spans="2:8">
      <c r="B933" s="462"/>
      <c r="C933" s="462"/>
    </row>
    <row r="934" spans="2:8">
      <c r="B934" s="462"/>
      <c r="C934" s="462"/>
    </row>
    <row r="935" spans="2:8">
      <c r="B935" s="462"/>
      <c r="C935" s="462"/>
    </row>
    <row r="936" spans="2:8">
      <c r="B936" s="462"/>
      <c r="C936" s="462"/>
    </row>
    <row r="937" spans="2:8">
      <c r="B937" s="462"/>
      <c r="C937" s="462"/>
    </row>
    <row r="938" spans="2:8">
      <c r="B938" s="462"/>
      <c r="C938" s="462"/>
    </row>
    <row r="940" spans="2:8">
      <c r="B940" s="486"/>
      <c r="C940" s="486"/>
    </row>
    <row r="942" spans="2:8">
      <c r="B942" s="486"/>
      <c r="C942" s="486"/>
    </row>
    <row r="943" spans="2:8">
      <c r="B943" s="486"/>
      <c r="C943" s="486"/>
    </row>
    <row r="944" spans="2:8">
      <c r="B944" s="486"/>
      <c r="C944" s="486"/>
    </row>
  </sheetData>
  <phoneticPr fontId="49" type="noConversion"/>
  <printOptions headings="1"/>
  <pageMargins left="0.19" right="0.19" top="0.25" bottom="0.25" header="0.33" footer="0.32"/>
  <pageSetup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 enableFormatConditionsCalculation="0"/>
  <dimension ref="A1:Q45"/>
  <sheetViews>
    <sheetView view="pageBreakPreview" zoomScale="70" zoomScaleNormal="55" zoomScaleSheetLayoutView="70" workbookViewId="0"/>
  </sheetViews>
  <sheetFormatPr defaultRowHeight="12.75"/>
  <cols>
    <col min="1" max="1" width="6" style="214" customWidth="1"/>
    <col min="2" max="2" width="28.85546875" style="214" customWidth="1"/>
    <col min="3" max="3" width="6.85546875" style="214" customWidth="1"/>
    <col min="4" max="4" width="6.42578125" style="214" customWidth="1"/>
    <col min="5" max="10" width="20" style="214" customWidth="1"/>
    <col min="11" max="11" width="4.7109375" style="214" customWidth="1"/>
    <col min="12" max="12" width="19.5703125" style="214" bestFit="1" customWidth="1"/>
    <col min="13" max="16384" width="9.140625" style="214"/>
  </cols>
  <sheetData>
    <row r="1" spans="1:11" ht="16.5">
      <c r="A1" s="4" t="s">
        <v>175</v>
      </c>
      <c r="B1" s="4"/>
      <c r="C1" s="189"/>
      <c r="D1" s="189"/>
      <c r="E1" s="4" t="s">
        <v>271</v>
      </c>
      <c r="F1" s="4"/>
      <c r="G1" s="4"/>
      <c r="H1" s="4"/>
      <c r="I1" s="4"/>
      <c r="J1" s="4" t="s">
        <v>72</v>
      </c>
      <c r="K1" s="189"/>
    </row>
    <row r="2" spans="1:11" ht="16.5">
      <c r="A2" s="5" t="s">
        <v>73</v>
      </c>
      <c r="B2" s="5"/>
      <c r="C2" s="5"/>
      <c r="E2" s="5" t="s">
        <v>252</v>
      </c>
      <c r="G2" s="5"/>
      <c r="H2" s="5"/>
      <c r="I2" s="2" t="s">
        <v>74</v>
      </c>
      <c r="J2" s="5"/>
      <c r="K2" s="5"/>
    </row>
    <row r="3" spans="1:11" ht="16.5">
      <c r="A3" s="5"/>
      <c r="B3" s="5"/>
      <c r="C3" s="5"/>
      <c r="E3" s="5" t="s">
        <v>253</v>
      </c>
      <c r="G3" s="5"/>
      <c r="H3" s="5"/>
      <c r="I3" s="3" t="s">
        <v>2151</v>
      </c>
      <c r="J3" s="5"/>
      <c r="K3" s="5"/>
    </row>
    <row r="4" spans="1:11" ht="16.5">
      <c r="A4" s="106" t="s">
        <v>75</v>
      </c>
      <c r="B4" s="5"/>
      <c r="C4" s="5"/>
      <c r="E4" s="5" t="s">
        <v>254</v>
      </c>
      <c r="G4" s="5"/>
      <c r="H4" s="5"/>
      <c r="I4" s="3" t="s">
        <v>2152</v>
      </c>
      <c r="J4" s="5"/>
      <c r="K4" s="5"/>
    </row>
    <row r="5" spans="1:11" ht="16.5">
      <c r="A5" s="106"/>
      <c r="B5" s="5"/>
      <c r="C5" s="5"/>
      <c r="E5" s="5"/>
      <c r="F5" s="5"/>
      <c r="G5" s="5"/>
      <c r="H5" s="5"/>
      <c r="I5" s="3" t="s">
        <v>2217</v>
      </c>
      <c r="J5" s="5"/>
      <c r="K5" s="5"/>
    </row>
    <row r="6" spans="1:11" ht="16.5">
      <c r="A6" s="190" t="s">
        <v>76</v>
      </c>
      <c r="B6" s="189"/>
      <c r="C6" s="189"/>
      <c r="D6" s="189"/>
      <c r="E6" s="189"/>
      <c r="F6" s="189"/>
      <c r="G6" s="189"/>
      <c r="H6" s="189"/>
      <c r="I6" s="1" t="s">
        <v>109</v>
      </c>
      <c r="J6" s="189"/>
      <c r="K6" s="189"/>
    </row>
    <row r="7" spans="1:11" ht="16.5">
      <c r="A7" s="7" t="s">
        <v>2167</v>
      </c>
      <c r="B7" s="7"/>
      <c r="C7" s="7"/>
      <c r="D7" s="7"/>
      <c r="E7" s="7"/>
      <c r="F7" s="7"/>
      <c r="G7" s="7"/>
      <c r="H7" s="7"/>
      <c r="I7" s="191"/>
      <c r="J7" s="7"/>
      <c r="K7" s="7"/>
    </row>
    <row r="8" spans="1:11" ht="16.5">
      <c r="A8" s="192" t="s">
        <v>77</v>
      </c>
      <c r="B8" s="193"/>
      <c r="C8" s="193"/>
      <c r="D8" s="193"/>
      <c r="E8" s="193"/>
      <c r="F8" s="193"/>
      <c r="G8" s="193"/>
      <c r="H8" s="193"/>
      <c r="I8" s="194"/>
      <c r="J8" s="193"/>
      <c r="K8" s="195"/>
    </row>
    <row r="9" spans="1:11" ht="16.5">
      <c r="A9" s="83" t="s">
        <v>2158</v>
      </c>
      <c r="B9" s="83" t="s">
        <v>2159</v>
      </c>
      <c r="C9" s="5"/>
      <c r="D9" s="83"/>
      <c r="E9" s="83" t="s">
        <v>2160</v>
      </c>
      <c r="F9" s="83" t="s">
        <v>2161</v>
      </c>
      <c r="G9" s="83" t="s">
        <v>2162</v>
      </c>
      <c r="H9" s="83" t="s">
        <v>78</v>
      </c>
      <c r="I9" s="83" t="s">
        <v>79</v>
      </c>
      <c r="J9" s="83" t="s">
        <v>80</v>
      </c>
      <c r="K9" s="83"/>
    </row>
    <row r="10" spans="1:11" ht="16.5">
      <c r="A10" s="5"/>
      <c r="B10" s="5"/>
      <c r="C10" s="5"/>
      <c r="D10" s="8"/>
      <c r="E10" s="8"/>
      <c r="F10" s="8"/>
      <c r="G10" s="8"/>
      <c r="H10" s="8"/>
      <c r="I10" s="8"/>
      <c r="J10" s="83"/>
      <c r="K10" s="83"/>
    </row>
    <row r="11" spans="1:11" ht="16.5">
      <c r="A11" s="5"/>
      <c r="B11" s="5"/>
      <c r="C11" s="5"/>
      <c r="D11" s="8"/>
      <c r="E11" s="8" t="s">
        <v>176</v>
      </c>
      <c r="F11" s="8"/>
      <c r="G11" s="8"/>
      <c r="H11" s="8"/>
      <c r="I11" s="8"/>
      <c r="J11" s="83"/>
      <c r="K11" s="83"/>
    </row>
    <row r="12" spans="1:11" ht="16.5">
      <c r="A12" s="5"/>
      <c r="B12" s="5"/>
      <c r="C12" s="5"/>
      <c r="D12" s="8"/>
      <c r="E12" s="8" t="s">
        <v>177</v>
      </c>
      <c r="F12" s="8" t="s">
        <v>178</v>
      </c>
      <c r="G12" s="8" t="s">
        <v>179</v>
      </c>
      <c r="H12" s="8" t="s">
        <v>180</v>
      </c>
      <c r="J12" s="5"/>
      <c r="K12" s="5"/>
    </row>
    <row r="13" spans="1:11" ht="16.5">
      <c r="A13" s="5" t="s">
        <v>181</v>
      </c>
      <c r="B13" s="5"/>
      <c r="C13" s="5"/>
      <c r="D13" s="8"/>
      <c r="E13" s="8" t="s">
        <v>182</v>
      </c>
      <c r="F13" s="8" t="s">
        <v>183</v>
      </c>
      <c r="G13" s="8" t="s">
        <v>183</v>
      </c>
      <c r="H13" s="8" t="s">
        <v>183</v>
      </c>
      <c r="I13" s="8" t="s">
        <v>184</v>
      </c>
      <c r="J13" s="8" t="s">
        <v>87</v>
      </c>
      <c r="K13" s="8"/>
    </row>
    <row r="14" spans="1:11" ht="16.5">
      <c r="A14" s="4" t="s">
        <v>97</v>
      </c>
      <c r="B14" s="9" t="s">
        <v>185</v>
      </c>
      <c r="C14" s="4"/>
      <c r="D14" s="9"/>
      <c r="E14" s="9" t="s">
        <v>186</v>
      </c>
      <c r="F14" s="9" t="s">
        <v>187</v>
      </c>
      <c r="G14" s="9" t="s">
        <v>187</v>
      </c>
      <c r="H14" s="9" t="s">
        <v>187</v>
      </c>
      <c r="I14" s="196" t="s">
        <v>2167</v>
      </c>
      <c r="J14" s="9" t="s">
        <v>2167</v>
      </c>
      <c r="K14" s="196"/>
    </row>
    <row r="15" spans="1:11" ht="16.5">
      <c r="A15" s="5"/>
      <c r="B15" s="5"/>
      <c r="C15" s="5"/>
      <c r="D15" s="5"/>
      <c r="E15" s="5"/>
      <c r="F15" s="5"/>
      <c r="G15" s="5"/>
      <c r="H15" s="5"/>
      <c r="I15" s="10"/>
      <c r="J15" s="5"/>
      <c r="K15" s="5"/>
    </row>
    <row r="16" spans="1:11" ht="16.5">
      <c r="A16" s="197" t="s">
        <v>134</v>
      </c>
      <c r="B16" s="11" t="s">
        <v>135</v>
      </c>
      <c r="C16" s="7"/>
      <c r="D16" s="5"/>
      <c r="E16" s="5"/>
      <c r="F16" s="5"/>
      <c r="G16" s="5"/>
      <c r="H16" s="5"/>
      <c r="I16" s="5"/>
      <c r="J16" s="5"/>
      <c r="K16" s="5"/>
    </row>
    <row r="17" spans="1:17" ht="16.5">
      <c r="A17" s="197" t="s">
        <v>136</v>
      </c>
      <c r="B17" s="5" t="s">
        <v>137</v>
      </c>
      <c r="C17" s="5"/>
      <c r="D17" s="12"/>
      <c r="E17" s="12">
        <f>ROUND(-'MFR G-11 TY'!M28,0)</f>
        <v>-742049</v>
      </c>
      <c r="F17" s="12">
        <f>ROUND(-'MFR G-11 TY'!Q28,0)</f>
        <v>-11426</v>
      </c>
      <c r="G17" s="12">
        <f>ROUND(-'MFR G-11 TY'!O28,0)</f>
        <v>-47491</v>
      </c>
      <c r="H17" s="12">
        <f>ROUND(-'MFR G-11 TY'!S28,0)</f>
        <v>-157256</v>
      </c>
      <c r="I17" s="12">
        <f>ROUND(-'MFR G-11 TY'!U28-'MFR G-11 TY'!Y28,0)</f>
        <v>-31706</v>
      </c>
      <c r="J17" s="18">
        <f>SUM(D17:I17)</f>
        <v>-989928</v>
      </c>
      <c r="K17" s="18"/>
    </row>
    <row r="18" spans="1:17" ht="16.5">
      <c r="A18" s="197" t="s">
        <v>138</v>
      </c>
      <c r="B18" s="5" t="s">
        <v>139</v>
      </c>
      <c r="C18" s="5"/>
      <c r="D18" s="12"/>
      <c r="E18" s="12">
        <f>ROUND(-'MFR G-11 TY'!M39,0)</f>
        <v>-10180</v>
      </c>
      <c r="F18" s="12">
        <f>ROUND(-'MFR G-11 TY'!Q39,0)</f>
        <v>802</v>
      </c>
      <c r="G18" s="12">
        <f>ROUND(-'MFR G-11 TY'!O39,0)</f>
        <v>-924</v>
      </c>
      <c r="H18" s="12">
        <f>ROUND(-'MFR G-11 TY'!S39,0)</f>
        <v>-2255</v>
      </c>
      <c r="I18" s="12">
        <f>ROUND(-'MFR G-11 TY'!U39-'MFR G-11 TY'!Y39,0)</f>
        <v>-40355</v>
      </c>
      <c r="J18" s="19">
        <f>SUM(D18:I18)</f>
        <v>-52912</v>
      </c>
      <c r="K18" s="19"/>
    </row>
    <row r="19" spans="1:17" ht="16.5">
      <c r="A19" s="5"/>
      <c r="B19" s="5"/>
      <c r="C19" s="5"/>
      <c r="D19" s="13"/>
      <c r="E19" s="13"/>
      <c r="F19" s="13"/>
      <c r="G19" s="13"/>
      <c r="H19" s="13"/>
      <c r="I19" s="13"/>
      <c r="J19" s="5"/>
      <c r="K19" s="96"/>
    </row>
    <row r="20" spans="1:17" ht="16.5">
      <c r="A20" s="197" t="s">
        <v>140</v>
      </c>
      <c r="B20" s="5" t="s">
        <v>141</v>
      </c>
      <c r="C20" s="5"/>
      <c r="D20" s="14"/>
      <c r="E20" s="14">
        <f t="shared" ref="E20:J20" si="0">SUM(E17:E19)</f>
        <v>-752229</v>
      </c>
      <c r="F20" s="14">
        <f t="shared" si="0"/>
        <v>-10624</v>
      </c>
      <c r="G20" s="14">
        <f t="shared" si="0"/>
        <v>-48415</v>
      </c>
      <c r="H20" s="14">
        <f t="shared" si="0"/>
        <v>-159511</v>
      </c>
      <c r="I20" s="14">
        <f t="shared" si="0"/>
        <v>-72061</v>
      </c>
      <c r="J20" s="14">
        <f t="shared" si="0"/>
        <v>-1042840</v>
      </c>
      <c r="K20" s="15"/>
    </row>
    <row r="21" spans="1:17" ht="16.5">
      <c r="A21" s="5"/>
      <c r="B21" s="5"/>
      <c r="C21" s="5"/>
      <c r="D21" s="12"/>
      <c r="E21" s="12"/>
      <c r="F21" s="12"/>
      <c r="G21" s="12"/>
      <c r="H21" s="12"/>
      <c r="I21" s="12"/>
      <c r="J21" s="5"/>
      <c r="K21" s="5"/>
    </row>
    <row r="22" spans="1:17" ht="16.5">
      <c r="A22" s="197" t="s">
        <v>143</v>
      </c>
      <c r="B22" s="11" t="s">
        <v>144</v>
      </c>
      <c r="C22" s="7"/>
      <c r="D22" s="12"/>
      <c r="E22" s="12"/>
      <c r="F22" s="12"/>
      <c r="G22" s="12"/>
      <c r="H22" s="12"/>
      <c r="I22" s="12"/>
      <c r="J22" s="5"/>
      <c r="K22" s="5"/>
    </row>
    <row r="23" spans="1:17" ht="16.5">
      <c r="A23" s="197" t="s">
        <v>145</v>
      </c>
      <c r="B23" s="5" t="s">
        <v>146</v>
      </c>
      <c r="C23" s="5"/>
      <c r="D23" s="12"/>
      <c r="E23" s="12">
        <f>ROUND(-('MFR G-9 TY'!I18+'MFR G-9 TY'!I21+'MFR G-9 TY'!I24+'MFR G-9 TY'!I27),0)</f>
        <v>-751972</v>
      </c>
      <c r="F23" s="12"/>
      <c r="G23" s="12"/>
      <c r="H23" s="12"/>
      <c r="I23" s="12"/>
      <c r="J23" s="18">
        <f t="shared" ref="J23:J28" si="1">SUM(D23:I23)</f>
        <v>-751972</v>
      </c>
      <c r="K23" s="18"/>
      <c r="O23" s="435" t="e">
        <f>J23-'[7]MFR C-1 TY'!G27</f>
        <v>#REF!</v>
      </c>
      <c r="P23" s="102"/>
      <c r="Q23" s="102"/>
    </row>
    <row r="24" spans="1:17" ht="16.5">
      <c r="A24" s="197" t="s">
        <v>147</v>
      </c>
      <c r="B24" s="5" t="s">
        <v>148</v>
      </c>
      <c r="C24" s="5"/>
      <c r="D24" s="12"/>
      <c r="E24" s="12"/>
      <c r="F24" s="12"/>
      <c r="G24" s="12">
        <f>ROUND(-('MFR G-9 TY'!I65+'MFR G-9 TY'!I68),0)</f>
        <v>-50153</v>
      </c>
      <c r="H24" s="12"/>
      <c r="I24" s="12"/>
      <c r="J24" s="18">
        <f t="shared" si="1"/>
        <v>-50153</v>
      </c>
      <c r="K24" s="18"/>
      <c r="O24" s="435" t="e">
        <f>J24-'[7]MFR C-1 TY'!G28</f>
        <v>#REF!</v>
      </c>
      <c r="P24" s="102"/>
      <c r="Q24" s="102"/>
    </row>
    <row r="25" spans="1:17" ht="16.5">
      <c r="A25" s="197" t="s">
        <v>149</v>
      </c>
      <c r="B25" s="5" t="s">
        <v>150</v>
      </c>
      <c r="C25" s="5"/>
      <c r="D25" s="12"/>
      <c r="E25" s="12"/>
      <c r="F25" s="12">
        <f>ROUND(-('MFR G-9 TY'!I33),0)</f>
        <v>-8530</v>
      </c>
      <c r="G25" s="12"/>
      <c r="H25" s="12"/>
      <c r="I25" s="12"/>
      <c r="J25" s="18">
        <f t="shared" si="1"/>
        <v>-8530</v>
      </c>
      <c r="K25" s="18"/>
      <c r="O25" s="102"/>
      <c r="P25" s="102"/>
      <c r="Q25" s="102"/>
    </row>
    <row r="26" spans="1:17" ht="16.5">
      <c r="A26" s="197" t="s">
        <v>151</v>
      </c>
      <c r="B26" s="5" t="s">
        <v>152</v>
      </c>
      <c r="C26" s="5"/>
      <c r="D26" s="12"/>
      <c r="E26" s="12"/>
      <c r="F26" s="12"/>
      <c r="G26" s="12"/>
      <c r="H26" s="12">
        <f>ROUND(-('MFR G-9 TY'!I74),0)</f>
        <v>-30015</v>
      </c>
      <c r="I26" s="12"/>
      <c r="J26" s="18">
        <f t="shared" si="1"/>
        <v>-30015</v>
      </c>
      <c r="K26" s="18"/>
      <c r="O26" s="102"/>
      <c r="P26" s="102"/>
      <c r="Q26" s="436"/>
    </row>
    <row r="27" spans="1:17" ht="16.5">
      <c r="A27" s="197" t="s">
        <v>188</v>
      </c>
      <c r="B27" s="5" t="s">
        <v>154</v>
      </c>
      <c r="C27" s="5"/>
      <c r="D27" s="12"/>
      <c r="E27" s="12"/>
      <c r="G27" s="12"/>
      <c r="I27" s="12">
        <f>ROUND(-'MFR G-9 TY'!I155-'MFR G-9 TY'!I161-'MFR G-9 TY'!I164-'MFR G-9 TY'!I167-'MFR G-9 TY'!I191-'MFR G-9 TY'!I194-'MFR G-9 TY'!I197,0)</f>
        <v>-751</v>
      </c>
      <c r="J27" s="18">
        <f t="shared" si="1"/>
        <v>-751</v>
      </c>
      <c r="K27" s="18"/>
      <c r="O27" s="435" t="e">
        <f>F25-'[7]MFR C-1 TY'!G29</f>
        <v>#REF!</v>
      </c>
      <c r="P27" s="437" t="e">
        <f>H26-'[7]MFR C-1 TY'!G30</f>
        <v>#REF!</v>
      </c>
      <c r="Q27" s="437" t="e">
        <f>I27-'[7]MFR C-1 TY'!G31-'[7]MFR C-1 TY'!I31</f>
        <v>#REF!</v>
      </c>
    </row>
    <row r="28" spans="1:17" ht="16.5">
      <c r="A28" s="197" t="s">
        <v>189</v>
      </c>
      <c r="B28" s="5" t="s">
        <v>156</v>
      </c>
      <c r="C28" s="5"/>
      <c r="D28" s="12"/>
      <c r="E28" s="12"/>
      <c r="F28" s="12">
        <f>ROUND(-('MFR G-9 TY'!I59),0)</f>
        <v>-294</v>
      </c>
      <c r="G28" s="12"/>
      <c r="H28" s="12">
        <f>ROUND(-('MFR G-9 TY'!I77),0)</f>
        <v>-35669</v>
      </c>
      <c r="I28" s="12">
        <f>-'MFR G-9 TY'!I158</f>
        <v>-10</v>
      </c>
      <c r="J28" s="18">
        <f t="shared" si="1"/>
        <v>-35973</v>
      </c>
      <c r="K28" s="18"/>
      <c r="O28" s="435" t="e">
        <f>J28-'[7]MFR C-1 TY'!G32-'[7]MFR C-1 TY'!I32</f>
        <v>#REF!</v>
      </c>
      <c r="P28" s="438"/>
      <c r="Q28" s="439"/>
    </row>
    <row r="29" spans="1:17" ht="16.5">
      <c r="A29" s="197" t="s">
        <v>190</v>
      </c>
      <c r="B29" s="5" t="s">
        <v>158</v>
      </c>
      <c r="C29" s="5"/>
      <c r="D29" s="12"/>
      <c r="E29" s="12"/>
      <c r="F29" s="12"/>
      <c r="G29" s="12"/>
      <c r="H29" s="12"/>
      <c r="I29" s="12"/>
      <c r="J29" s="18"/>
      <c r="K29" s="18"/>
      <c r="O29" s="102"/>
      <c r="P29" s="102"/>
      <c r="Q29" s="102"/>
    </row>
    <row r="30" spans="1:17" ht="16.5">
      <c r="A30" s="197" t="s">
        <v>191</v>
      </c>
      <c r="B30" s="5" t="s">
        <v>160</v>
      </c>
      <c r="C30" s="5"/>
      <c r="D30" s="12"/>
      <c r="E30" s="12">
        <f>ROUND(-'MFR G-9 TY'!I150,0)</f>
        <v>-424</v>
      </c>
      <c r="F30" s="12">
        <f>ROUND(-'MFR G-9 TY'!I121-'MFR G-9 TY'!I147,0)</f>
        <v>-303</v>
      </c>
      <c r="G30" s="12">
        <f>ROUND(-'MFR G-9 TY'!I152,0)</f>
        <v>-34</v>
      </c>
      <c r="H30" s="12">
        <f>ROUND(-'MFR G-9 TY'!I115-'MFR G-9 TY'!I118,0)</f>
        <v>-618</v>
      </c>
      <c r="I30" s="12">
        <f>ROUND(-('MFR G-9 TY'!I106+'MFR G-9 TY'!I109+'MFR G-9 TY'!I112),0)</f>
        <v>-72428</v>
      </c>
      <c r="J30" s="18">
        <f>SUM(D30:I30)</f>
        <v>-73807</v>
      </c>
      <c r="K30" s="18"/>
      <c r="L30" s="440" t="e">
        <f>J30+#REF!/1000</f>
        <v>#REF!</v>
      </c>
      <c r="O30" s="435" t="e">
        <f>J30-'[7]MFR C-1 TY'!G34</f>
        <v>#REF!</v>
      </c>
      <c r="P30" s="102"/>
      <c r="Q30" s="102"/>
    </row>
    <row r="31" spans="1:17" ht="16.5">
      <c r="A31" s="197" t="s">
        <v>192</v>
      </c>
      <c r="B31" s="5" t="s">
        <v>193</v>
      </c>
      <c r="C31" s="5"/>
      <c r="D31" s="12"/>
      <c r="E31" s="12"/>
      <c r="F31" s="12"/>
      <c r="G31" s="12"/>
      <c r="H31" s="12"/>
      <c r="I31" s="12"/>
      <c r="J31" s="18"/>
      <c r="K31" s="18"/>
      <c r="O31" s="102"/>
      <c r="P31" s="102"/>
      <c r="Q31" s="102"/>
    </row>
    <row r="32" spans="1:17" ht="16.5">
      <c r="A32" s="197" t="s">
        <v>194</v>
      </c>
      <c r="B32" s="5" t="s">
        <v>164</v>
      </c>
      <c r="C32" s="5"/>
      <c r="D32" s="12"/>
      <c r="E32" s="12">
        <f>ROUND((+E20-SUM(E23:E30))*0.33075,0)</f>
        <v>55</v>
      </c>
      <c r="F32" s="12">
        <f>ROUND((+F20-SUM(F23:F30))*0.33075,0)</f>
        <v>-495</v>
      </c>
      <c r="G32" s="12">
        <f>ROUND((+G20-SUM(G23:G30))*0.33075,0)</f>
        <v>586</v>
      </c>
      <c r="H32" s="12">
        <f>ROUND((+H20-SUM(H23:H30))*0.33075,0)</f>
        <v>-30829</v>
      </c>
      <c r="I32" s="12">
        <f>ROUND((+I20-SUM(I23:I30))*0.33075,0)-('MFR G-9 TY'!I203*0.33075/0.38575)</f>
        <v>5941.9468567725216</v>
      </c>
      <c r="J32" s="18">
        <f>SUM(D32:I32)</f>
        <v>-24741.05314322748</v>
      </c>
      <c r="K32" s="18"/>
      <c r="O32" s="435" t="e">
        <f>J32-'[7]MFR C-1 TY'!G36</f>
        <v>#REF!</v>
      </c>
      <c r="P32" s="102"/>
      <c r="Q32" s="102"/>
    </row>
    <row r="33" spans="1:17" ht="16.5">
      <c r="A33" s="197" t="s">
        <v>195</v>
      </c>
      <c r="B33" s="5" t="s">
        <v>166</v>
      </c>
      <c r="C33" s="5"/>
      <c r="D33" s="12"/>
      <c r="E33" s="12">
        <f>ROUND((+E20-SUM(E23:E30))*0.055,0)</f>
        <v>9</v>
      </c>
      <c r="F33" s="12">
        <f>ROUND((+F20-SUM(F23:F30))*0.055,0)</f>
        <v>-82</v>
      </c>
      <c r="G33" s="12">
        <f>ROUND((+G20-SUM(G23:G30))*0.055,0)</f>
        <v>97</v>
      </c>
      <c r="H33" s="12">
        <f>ROUND((+H20-SUM(H23:H30))*0.055,0)</f>
        <v>-5126</v>
      </c>
      <c r="I33" s="12">
        <f>ROUND((+I20-SUM(I23:I30))*0.055,0)-('MFR G-9 TY'!I203*0.055/0.38575)</f>
        <v>988.05314322747904</v>
      </c>
      <c r="J33" s="18">
        <f>SUM(D33:I33)</f>
        <v>-4113.9468567725207</v>
      </c>
      <c r="K33" s="18"/>
      <c r="O33" s="435" t="e">
        <f>J33-'[7]MFR C-1 TY'!G37</f>
        <v>#REF!</v>
      </c>
      <c r="P33" s="102"/>
      <c r="Q33" s="102"/>
    </row>
    <row r="34" spans="1:17" ht="16.5">
      <c r="A34" s="197" t="s">
        <v>196</v>
      </c>
      <c r="B34" s="5" t="s">
        <v>168</v>
      </c>
      <c r="C34" s="5"/>
      <c r="D34" s="12"/>
      <c r="E34" s="12"/>
      <c r="F34" s="12"/>
      <c r="G34" s="12"/>
      <c r="H34" s="12"/>
      <c r="I34" s="12"/>
      <c r="J34" s="18"/>
      <c r="K34" s="18"/>
    </row>
    <row r="35" spans="1:17" ht="16.5">
      <c r="A35" s="197" t="s">
        <v>197</v>
      </c>
      <c r="B35" s="5" t="s">
        <v>164</v>
      </c>
      <c r="C35" s="5"/>
      <c r="D35" s="12"/>
      <c r="E35" s="12"/>
      <c r="F35" s="12"/>
      <c r="G35" s="12"/>
      <c r="H35" s="12"/>
      <c r="I35" s="12"/>
      <c r="J35" s="18">
        <f>SUM(D35:I35)</f>
        <v>0</v>
      </c>
      <c r="K35" s="18"/>
    </row>
    <row r="36" spans="1:17" ht="16.5">
      <c r="A36" s="197" t="s">
        <v>198</v>
      </c>
      <c r="B36" s="5" t="s">
        <v>166</v>
      </c>
      <c r="C36" s="5"/>
      <c r="D36" s="12"/>
      <c r="E36" s="12"/>
      <c r="F36" s="12"/>
      <c r="G36" s="12"/>
      <c r="H36" s="12"/>
      <c r="I36" s="12"/>
      <c r="J36" s="18">
        <f>SUM(D36:I36)</f>
        <v>0</v>
      </c>
      <c r="K36" s="18"/>
    </row>
    <row r="37" spans="1:17" ht="16.5">
      <c r="A37" s="197" t="s">
        <v>199</v>
      </c>
      <c r="B37" s="5" t="s">
        <v>200</v>
      </c>
      <c r="C37" s="5"/>
      <c r="D37" s="12"/>
      <c r="E37" s="12"/>
      <c r="F37" s="12"/>
      <c r="G37" s="12"/>
      <c r="H37" s="12"/>
      <c r="I37" s="12"/>
      <c r="J37" s="19">
        <f>SUM(D37:I37)</f>
        <v>0</v>
      </c>
      <c r="K37" s="19"/>
    </row>
    <row r="38" spans="1:17" ht="16.5">
      <c r="A38" s="197"/>
      <c r="B38" s="5"/>
      <c r="C38" s="5"/>
      <c r="D38" s="13"/>
      <c r="E38" s="13"/>
      <c r="F38" s="13"/>
      <c r="G38" s="13"/>
      <c r="H38" s="13"/>
      <c r="I38" s="13"/>
      <c r="J38" s="5"/>
      <c r="K38" s="5"/>
    </row>
    <row r="39" spans="1:17" ht="16.5">
      <c r="A39" s="197" t="s">
        <v>201</v>
      </c>
      <c r="B39" s="5" t="s">
        <v>172</v>
      </c>
      <c r="C39" s="5"/>
      <c r="D39" s="14"/>
      <c r="E39" s="14">
        <f t="shared" ref="E39:J39" si="2">SUM(E23:E38)</f>
        <v>-752332</v>
      </c>
      <c r="F39" s="14">
        <f t="shared" si="2"/>
        <v>-9704</v>
      </c>
      <c r="G39" s="14">
        <f t="shared" si="2"/>
        <v>-49504</v>
      </c>
      <c r="H39" s="14">
        <f t="shared" si="2"/>
        <v>-102257</v>
      </c>
      <c r="I39" s="14">
        <f t="shared" si="2"/>
        <v>-66259</v>
      </c>
      <c r="J39" s="14">
        <f t="shared" si="2"/>
        <v>-980056</v>
      </c>
      <c r="K39" s="15"/>
    </row>
    <row r="40" spans="1:17" ht="16.5">
      <c r="A40" s="5"/>
      <c r="B40" s="5"/>
      <c r="C40" s="5"/>
      <c r="D40" s="12"/>
      <c r="E40" s="12"/>
      <c r="F40" s="12"/>
      <c r="G40" s="12"/>
      <c r="H40" s="12"/>
      <c r="I40" s="12"/>
      <c r="J40" s="5"/>
      <c r="K40" s="5"/>
    </row>
    <row r="41" spans="1:17" ht="17.25" thickBot="1">
      <c r="A41" s="197" t="s">
        <v>202</v>
      </c>
      <c r="B41" s="5" t="s">
        <v>174</v>
      </c>
      <c r="C41" s="5"/>
      <c r="D41" s="17"/>
      <c r="E41" s="17">
        <f t="shared" ref="E41:J41" si="3">E20-E39</f>
        <v>103</v>
      </c>
      <c r="F41" s="17">
        <f t="shared" si="3"/>
        <v>-920</v>
      </c>
      <c r="G41" s="17">
        <f t="shared" si="3"/>
        <v>1089</v>
      </c>
      <c r="H41" s="17">
        <f t="shared" si="3"/>
        <v>-57254</v>
      </c>
      <c r="I41" s="17">
        <f t="shared" si="3"/>
        <v>-5802</v>
      </c>
      <c r="J41" s="17">
        <f t="shared" si="3"/>
        <v>-62784</v>
      </c>
      <c r="K41" s="97"/>
      <c r="L41" s="440" t="e">
        <f>J41+#REF!/1000</f>
        <v>#REF!</v>
      </c>
    </row>
    <row r="42" spans="1:17" ht="17.25" thickTop="1">
      <c r="A42" s="5"/>
      <c r="B42" s="5"/>
      <c r="C42" s="5"/>
      <c r="D42" s="12"/>
      <c r="E42" s="12"/>
      <c r="F42" s="12"/>
      <c r="G42" s="12"/>
      <c r="H42" s="12"/>
      <c r="I42" s="12"/>
      <c r="J42" s="12"/>
      <c r="K42" s="12"/>
      <c r="L42" s="441" t="s">
        <v>142</v>
      </c>
    </row>
    <row r="43" spans="1:17" ht="16.5">
      <c r="A43" s="4"/>
      <c r="B43" s="4"/>
      <c r="C43" s="4"/>
      <c r="D43" s="4"/>
      <c r="E43" s="4"/>
      <c r="F43" s="4"/>
      <c r="G43" s="4"/>
      <c r="H43" s="4"/>
      <c r="I43" s="4"/>
      <c r="J43" s="4"/>
      <c r="K43" s="189"/>
      <c r="L43" s="96"/>
      <c r="M43" s="96"/>
      <c r="N43" s="96"/>
    </row>
    <row r="44" spans="1:17" ht="16.5">
      <c r="A44" s="5" t="s">
        <v>1299</v>
      </c>
      <c r="B44" s="5"/>
      <c r="C44" s="5"/>
      <c r="D44" s="5"/>
      <c r="E44" s="5"/>
      <c r="F44" s="5"/>
      <c r="G44" s="5"/>
      <c r="H44" s="5"/>
      <c r="I44" s="5" t="s">
        <v>1298</v>
      </c>
      <c r="M44" s="5"/>
      <c r="N44" s="5"/>
    </row>
    <row r="45" spans="1:17">
      <c r="B45" s="442"/>
    </row>
  </sheetData>
  <phoneticPr fontId="2" type="noConversion"/>
  <pageMargins left="0.75" right="0.5" top="1" bottom="0.5" header="0.5" footer="0.5"/>
  <pageSetup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 enableFormatConditionsCalculation="0"/>
  <dimension ref="A1:AF264"/>
  <sheetViews>
    <sheetView view="pageBreakPreview" zoomScale="70" zoomScaleNormal="55" workbookViewId="0"/>
  </sheetViews>
  <sheetFormatPr defaultColWidth="8.85546875" defaultRowHeight="16.5"/>
  <cols>
    <col min="1" max="2" width="6" style="33" customWidth="1"/>
    <col min="3" max="3" width="27.42578125" style="33" customWidth="1"/>
    <col min="4" max="4" width="22" style="33" customWidth="1"/>
    <col min="5" max="5" width="33.7109375" style="33" customWidth="1"/>
    <col min="6" max="6" width="34" style="33" customWidth="1"/>
    <col min="7" max="7" width="5.42578125" style="33" customWidth="1"/>
    <col min="8" max="8" width="1.42578125" style="33" customWidth="1"/>
    <col min="9" max="9" width="14.5703125" style="33" customWidth="1"/>
    <col min="10" max="11" width="16.85546875" style="33" customWidth="1"/>
    <col min="12" max="12" width="3.5703125" style="49" customWidth="1"/>
    <col min="13" max="13" width="17.140625" style="49" customWidth="1"/>
    <col min="14" max="14" width="17.28515625" style="33" bestFit="1" customWidth="1"/>
    <col min="15" max="16" width="8.85546875" style="33"/>
    <col min="17" max="17" width="41" style="33" customWidth="1"/>
    <col min="18" max="18" width="13.5703125" style="33" customWidth="1"/>
    <col min="19" max="19" width="8.85546875" style="33"/>
    <col min="20" max="20" width="11.28515625" style="33" customWidth="1"/>
    <col min="21" max="21" width="11.7109375" style="33" customWidth="1"/>
    <col min="22" max="22" width="11.85546875" style="33" customWidth="1"/>
    <col min="23" max="23" width="4.42578125" style="33" customWidth="1"/>
    <col min="24" max="24" width="3.42578125" style="33" customWidth="1"/>
    <col min="25" max="25" width="8.85546875" style="33"/>
    <col min="26" max="26" width="11.140625" style="33" customWidth="1"/>
    <col min="27" max="27" width="4.42578125" style="33" customWidth="1"/>
    <col min="28" max="16384" width="8.85546875" style="33"/>
  </cols>
  <sheetData>
    <row r="1" spans="1:32" s="24" customFormat="1" ht="18">
      <c r="A1" s="20" t="s">
        <v>204</v>
      </c>
      <c r="B1" s="20"/>
      <c r="C1" s="20"/>
      <c r="D1" s="21" t="s">
        <v>205</v>
      </c>
      <c r="E1" s="21"/>
      <c r="F1" s="22"/>
      <c r="G1" s="20"/>
      <c r="H1" s="20"/>
      <c r="I1" s="20"/>
      <c r="J1" s="20"/>
      <c r="K1" s="20" t="s">
        <v>1236</v>
      </c>
      <c r="L1" s="22"/>
      <c r="M1" s="23"/>
    </row>
    <row r="2" spans="1:32" s="24" customFormat="1" ht="18">
      <c r="A2" s="25" t="s">
        <v>73</v>
      </c>
      <c r="B2" s="25"/>
      <c r="C2" s="25"/>
      <c r="D2" s="25"/>
      <c r="E2" s="25" t="s">
        <v>206</v>
      </c>
      <c r="G2" s="25"/>
      <c r="H2" s="25"/>
      <c r="I2" s="26" t="s">
        <v>74</v>
      </c>
      <c r="J2" s="26"/>
      <c r="L2" s="27"/>
      <c r="M2" s="27"/>
    </row>
    <row r="3" spans="1:32" s="24" customFormat="1" ht="18">
      <c r="A3" s="25"/>
      <c r="B3" s="25"/>
      <c r="C3" s="25"/>
      <c r="D3" s="25"/>
      <c r="E3" s="25" t="s">
        <v>3743</v>
      </c>
      <c r="G3" s="25"/>
      <c r="H3" s="25"/>
      <c r="I3" s="28" t="s">
        <v>2215</v>
      </c>
      <c r="J3" s="28"/>
      <c r="L3" s="27"/>
      <c r="M3" s="27"/>
    </row>
    <row r="4" spans="1:32" s="24" customFormat="1" ht="18">
      <c r="A4" s="26" t="s">
        <v>75</v>
      </c>
      <c r="B4" s="26"/>
      <c r="C4" s="25"/>
      <c r="D4" s="25"/>
      <c r="E4" s="25" t="s">
        <v>207</v>
      </c>
      <c r="F4" s="25"/>
      <c r="G4" s="25"/>
      <c r="H4" s="25"/>
      <c r="I4" s="28" t="s">
        <v>2153</v>
      </c>
      <c r="J4" s="28"/>
      <c r="L4" s="27"/>
      <c r="M4" s="27"/>
    </row>
    <row r="5" spans="1:32" s="24" customFormat="1" ht="18">
      <c r="A5" s="26"/>
      <c r="B5" s="26"/>
      <c r="C5" s="25"/>
      <c r="D5" s="25"/>
      <c r="E5" s="25" t="s">
        <v>208</v>
      </c>
      <c r="F5" s="25"/>
      <c r="G5" s="25"/>
      <c r="H5" s="25"/>
      <c r="I5" s="28" t="s">
        <v>2216</v>
      </c>
      <c r="J5" s="28"/>
      <c r="L5" s="27"/>
      <c r="M5" s="27"/>
    </row>
    <row r="6" spans="1:32" s="24" customFormat="1" ht="18">
      <c r="A6" s="30" t="s">
        <v>76</v>
      </c>
      <c r="B6" s="30"/>
      <c r="C6" s="25"/>
      <c r="D6" s="25"/>
      <c r="E6" s="29" t="s">
        <v>77</v>
      </c>
      <c r="F6" s="25"/>
      <c r="G6" s="25"/>
      <c r="H6" s="25"/>
      <c r="I6" s="30" t="s">
        <v>109</v>
      </c>
      <c r="J6" s="30"/>
      <c r="L6" s="21"/>
      <c r="M6" s="27"/>
    </row>
    <row r="7" spans="1:3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2"/>
    </row>
    <row r="8" spans="1:32">
      <c r="A8" s="34" t="s">
        <v>2158</v>
      </c>
      <c r="B8" s="34" t="s">
        <v>2159</v>
      </c>
      <c r="C8" s="34" t="s">
        <v>2160</v>
      </c>
      <c r="D8" s="35"/>
      <c r="E8" s="34" t="s">
        <v>2161</v>
      </c>
      <c r="G8" s="35"/>
      <c r="H8" s="35"/>
      <c r="I8" s="34" t="s">
        <v>2162</v>
      </c>
      <c r="J8" s="34" t="s">
        <v>78</v>
      </c>
      <c r="K8" s="34" t="s">
        <v>79</v>
      </c>
      <c r="L8" s="36"/>
      <c r="M8" s="32"/>
    </row>
    <row r="9" spans="1:32">
      <c r="A9" s="35"/>
      <c r="B9" s="35"/>
      <c r="C9" s="35"/>
      <c r="D9" s="35"/>
      <c r="E9" s="35"/>
      <c r="G9" s="35"/>
      <c r="H9" s="35"/>
      <c r="I9" s="35"/>
      <c r="J9" s="35"/>
      <c r="K9" s="35"/>
      <c r="L9" s="36"/>
      <c r="M9" s="32"/>
    </row>
    <row r="10" spans="1:32">
      <c r="A10" s="35"/>
      <c r="B10" s="35"/>
      <c r="C10" s="35"/>
      <c r="D10" s="35"/>
      <c r="E10" s="37" t="s">
        <v>209</v>
      </c>
      <c r="G10" s="38"/>
      <c r="H10" s="35"/>
      <c r="I10" s="35"/>
      <c r="J10" s="35"/>
      <c r="K10" s="35"/>
      <c r="L10" s="36"/>
      <c r="M10" s="32"/>
    </row>
    <row r="11" spans="1:32">
      <c r="A11" s="39" t="s">
        <v>93</v>
      </c>
      <c r="B11" s="39" t="s">
        <v>210</v>
      </c>
      <c r="C11" s="35"/>
      <c r="D11" s="35"/>
      <c r="E11" s="37" t="s">
        <v>211</v>
      </c>
      <c r="G11" s="38"/>
      <c r="H11" s="35"/>
      <c r="I11" s="39" t="s">
        <v>87</v>
      </c>
      <c r="J11" s="39" t="s">
        <v>88</v>
      </c>
      <c r="K11" s="39" t="s">
        <v>88</v>
      </c>
      <c r="L11" s="36"/>
      <c r="M11" s="32"/>
    </row>
    <row r="12" spans="1:32">
      <c r="A12" s="40" t="s">
        <v>97</v>
      </c>
      <c r="B12" s="40" t="s">
        <v>97</v>
      </c>
      <c r="C12" s="41" t="s">
        <v>212</v>
      </c>
      <c r="D12" s="41"/>
      <c r="E12" s="42" t="s">
        <v>213</v>
      </c>
      <c r="F12" s="43"/>
      <c r="G12" s="44"/>
      <c r="H12" s="41"/>
      <c r="I12" s="40" t="s">
        <v>110</v>
      </c>
      <c r="J12" s="40" t="s">
        <v>99</v>
      </c>
      <c r="K12" s="40" t="s">
        <v>110</v>
      </c>
      <c r="L12" s="45"/>
      <c r="M12" s="32"/>
    </row>
    <row r="13" spans="1:3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2"/>
      <c r="M13" s="32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</row>
    <row r="14" spans="1:32">
      <c r="A14" s="39">
        <v>1</v>
      </c>
      <c r="B14" s="35"/>
      <c r="C14" s="46" t="s">
        <v>112</v>
      </c>
      <c r="D14" s="38"/>
      <c r="E14" s="35"/>
      <c r="F14" s="35"/>
      <c r="G14" s="35"/>
      <c r="H14" s="35"/>
      <c r="I14" s="35"/>
      <c r="J14" s="47"/>
      <c r="K14" s="35"/>
      <c r="L14" s="32"/>
      <c r="M14" s="32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</row>
    <row r="15" spans="1:32">
      <c r="A15" s="39">
        <v>2</v>
      </c>
      <c r="B15" s="34" t="s">
        <v>2158</v>
      </c>
      <c r="C15" s="35" t="s">
        <v>214</v>
      </c>
      <c r="D15" s="35"/>
      <c r="E15" s="35" t="s">
        <v>215</v>
      </c>
      <c r="G15" s="35"/>
      <c r="H15" s="35"/>
      <c r="I15" s="132">
        <f>ROUND('MFR G-8 TY'!E20,0)</f>
        <v>-752229</v>
      </c>
      <c r="J15" s="131" t="s">
        <v>1269</v>
      </c>
      <c r="K15" s="132">
        <v>-698781</v>
      </c>
      <c r="L15" s="48"/>
      <c r="M15" s="32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</row>
    <row r="16" spans="1:32">
      <c r="A16" s="39">
        <v>3</v>
      </c>
      <c r="B16" s="39"/>
      <c r="C16" s="35"/>
      <c r="D16" s="35"/>
      <c r="E16" s="35" t="s">
        <v>216</v>
      </c>
      <c r="G16" s="35"/>
      <c r="H16" s="35"/>
      <c r="I16" s="132"/>
      <c r="J16" s="47"/>
      <c r="K16" s="132"/>
      <c r="L16" s="48"/>
      <c r="M16" s="32"/>
      <c r="Q16" s="198" t="s">
        <v>217</v>
      </c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</row>
    <row r="17" spans="1:32">
      <c r="A17" s="39"/>
      <c r="B17" s="39"/>
      <c r="C17" s="35"/>
      <c r="D17" s="35"/>
      <c r="E17" s="35"/>
      <c r="G17" s="35"/>
      <c r="H17" s="35"/>
      <c r="I17" s="132"/>
      <c r="J17" s="47"/>
      <c r="K17" s="132"/>
      <c r="L17" s="48"/>
      <c r="M17" s="32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</row>
    <row r="18" spans="1:32">
      <c r="A18" s="39">
        <v>4</v>
      </c>
      <c r="B18" s="34" t="s">
        <v>2159</v>
      </c>
      <c r="C18" s="35" t="s">
        <v>218</v>
      </c>
      <c r="D18" s="35"/>
      <c r="E18" s="35" t="s">
        <v>215</v>
      </c>
      <c r="G18" s="35"/>
      <c r="H18" s="35"/>
      <c r="I18" s="132">
        <f>ROUND((-RRCOMB3!M1021+RRCOMB4!M146-484180-48382)/1000-RRCOMB3!M1023/1000-I21-I24,0)</f>
        <v>706360</v>
      </c>
      <c r="J18" s="199">
        <v>0.93024839999999998</v>
      </c>
      <c r="K18" s="132">
        <f>ROUND(+I18*J18,0)</f>
        <v>657090</v>
      </c>
      <c r="L18" s="48"/>
      <c r="M18" s="32"/>
      <c r="Q18" s="200" t="s">
        <v>219</v>
      </c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14"/>
      <c r="AD18" s="214"/>
      <c r="AE18" s="214"/>
      <c r="AF18" s="214"/>
    </row>
    <row r="19" spans="1:32">
      <c r="A19" s="39">
        <v>5</v>
      </c>
      <c r="B19" s="39"/>
      <c r="C19" s="35"/>
      <c r="D19" s="35"/>
      <c r="E19" s="35" t="s">
        <v>216</v>
      </c>
      <c r="G19" s="35"/>
      <c r="H19" s="35"/>
      <c r="I19" s="132"/>
      <c r="J19" s="47"/>
      <c r="K19" s="132"/>
      <c r="L19" s="48"/>
      <c r="M19" s="32"/>
      <c r="Q19" s="200" t="s">
        <v>220</v>
      </c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14"/>
      <c r="AD19" s="214"/>
      <c r="AE19" s="214"/>
      <c r="AF19" s="214"/>
    </row>
    <row r="20" spans="1:32">
      <c r="A20" s="39"/>
      <c r="B20" s="39"/>
      <c r="J20" s="47"/>
      <c r="K20" s="132"/>
      <c r="L20" s="48"/>
      <c r="M20" s="32"/>
      <c r="Q20" s="200" t="s">
        <v>221</v>
      </c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14"/>
      <c r="AD20" s="214"/>
      <c r="AE20" s="214"/>
      <c r="AF20" s="214"/>
    </row>
    <row r="21" spans="1:32">
      <c r="A21" s="39">
        <v>6</v>
      </c>
      <c r="B21" s="34" t="s">
        <v>2160</v>
      </c>
      <c r="C21" s="35" t="s">
        <v>222</v>
      </c>
      <c r="D21" s="35"/>
      <c r="E21" s="35" t="s">
        <v>215</v>
      </c>
      <c r="G21" s="35"/>
      <c r="H21" s="35"/>
      <c r="I21" s="132">
        <f>ROUND(30583.73+14618.759,0)</f>
        <v>45202</v>
      </c>
      <c r="J21" s="199">
        <v>0.90607459999999995</v>
      </c>
      <c r="K21" s="132">
        <f>ROUND(+I21*J21,0)</f>
        <v>40956</v>
      </c>
      <c r="L21" s="48"/>
      <c r="M21" s="82">
        <f>I21+I24+I27+I33+I59+I65+I68+I74+I77+I106+I112+I115+I121+I150+I152+I155+I158+I161+I164+I167+I191+I194+I197+I200+I203+I35</f>
        <v>273549</v>
      </c>
      <c r="N21" s="69">
        <f>SUM(RRCOMB3!E1056:E1064)/1000</f>
        <v>-980055.94599548494</v>
      </c>
      <c r="Q21" s="200" t="s">
        <v>223</v>
      </c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14"/>
      <c r="AD21" s="214"/>
      <c r="AE21" s="214"/>
      <c r="AF21" s="214"/>
    </row>
    <row r="22" spans="1:32">
      <c r="A22" s="39">
        <v>7</v>
      </c>
      <c r="B22" s="39"/>
      <c r="C22" s="35"/>
      <c r="D22" s="35"/>
      <c r="E22" s="35" t="s">
        <v>216</v>
      </c>
      <c r="G22" s="35"/>
      <c r="H22" s="35"/>
      <c r="I22" s="35"/>
      <c r="J22" s="47"/>
      <c r="K22" s="132"/>
      <c r="L22" s="48"/>
      <c r="M22" s="32"/>
      <c r="Q22" s="202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14"/>
      <c r="AD22" s="214"/>
      <c r="AE22" s="214"/>
      <c r="AF22" s="214"/>
    </row>
    <row r="23" spans="1:32">
      <c r="A23" s="39"/>
      <c r="B23" s="39"/>
      <c r="C23" s="35"/>
      <c r="D23" s="35"/>
      <c r="E23" s="35"/>
      <c r="G23" s="35"/>
      <c r="H23" s="35"/>
      <c r="I23" s="35"/>
      <c r="J23" s="47"/>
      <c r="K23" s="35"/>
      <c r="L23" s="32"/>
      <c r="M23" s="32"/>
      <c r="Q23" s="202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14"/>
      <c r="AD23" s="214"/>
      <c r="AE23" s="214"/>
      <c r="AF23" s="214"/>
    </row>
    <row r="24" spans="1:32">
      <c r="A24" s="39">
        <v>8</v>
      </c>
      <c r="B24" s="34" t="s">
        <v>2161</v>
      </c>
      <c r="C24" s="33" t="s">
        <v>224</v>
      </c>
      <c r="E24" s="33" t="s">
        <v>225</v>
      </c>
      <c r="I24" s="132">
        <v>362</v>
      </c>
      <c r="J24" s="199">
        <v>0.96761839999999999</v>
      </c>
      <c r="K24" s="132">
        <f>ROUND(+I24*J24,0)</f>
        <v>350</v>
      </c>
      <c r="L24" s="48"/>
      <c r="M24" s="82">
        <f>M21+N21</f>
        <v>-706506.94599548494</v>
      </c>
      <c r="Q24" s="203"/>
      <c r="R24" s="203"/>
      <c r="S24" s="202"/>
      <c r="T24" s="203"/>
      <c r="U24" s="203"/>
      <c r="V24" s="202" t="s">
        <v>226</v>
      </c>
      <c r="W24" s="203"/>
      <c r="X24" s="203"/>
      <c r="Y24" s="203"/>
      <c r="Z24" s="202" t="s">
        <v>227</v>
      </c>
      <c r="AA24" s="203"/>
      <c r="AB24" s="202" t="s">
        <v>228</v>
      </c>
      <c r="AC24" s="214"/>
      <c r="AD24" s="214"/>
      <c r="AE24" s="214"/>
      <c r="AF24" s="214"/>
    </row>
    <row r="25" spans="1:32">
      <c r="A25" s="39">
        <v>9</v>
      </c>
      <c r="B25" s="39"/>
      <c r="E25" s="33" t="s">
        <v>229</v>
      </c>
      <c r="I25" s="132"/>
      <c r="J25" s="47"/>
      <c r="K25" s="132"/>
      <c r="L25" s="48"/>
      <c r="Q25" s="203"/>
      <c r="R25" s="203"/>
      <c r="S25" s="202"/>
      <c r="T25" s="203"/>
      <c r="U25" s="203"/>
      <c r="V25" s="202" t="s">
        <v>230</v>
      </c>
      <c r="W25" s="203"/>
      <c r="X25" s="203"/>
      <c r="Y25" s="203"/>
      <c r="Z25" s="202" t="s">
        <v>230</v>
      </c>
      <c r="AA25" s="203"/>
      <c r="AB25" s="202" t="s">
        <v>230</v>
      </c>
      <c r="AC25" s="214"/>
      <c r="AD25" s="214"/>
      <c r="AE25" s="214"/>
      <c r="AF25" s="214"/>
    </row>
    <row r="26" spans="1:32">
      <c r="A26" s="39"/>
      <c r="B26" s="39"/>
      <c r="I26" s="132"/>
      <c r="J26" s="47"/>
      <c r="K26" s="132"/>
      <c r="L26" s="48"/>
      <c r="Q26" s="203"/>
      <c r="R26" s="203"/>
      <c r="S26" s="204" t="s">
        <v>231</v>
      </c>
      <c r="T26" s="203"/>
      <c r="U26" s="203"/>
      <c r="V26" s="205" t="s">
        <v>232</v>
      </c>
      <c r="W26" s="203"/>
      <c r="X26" s="203"/>
      <c r="Y26" s="203"/>
      <c r="Z26" s="205" t="s">
        <v>232</v>
      </c>
      <c r="AA26" s="203"/>
      <c r="AB26" s="205" t="s">
        <v>232</v>
      </c>
      <c r="AC26" s="214"/>
      <c r="AD26" s="214"/>
      <c r="AE26" s="214"/>
      <c r="AF26" s="214"/>
    </row>
    <row r="27" spans="1:32">
      <c r="A27" s="39">
        <v>10</v>
      </c>
      <c r="B27" s="34" t="s">
        <v>2162</v>
      </c>
      <c r="C27" s="33" t="s">
        <v>233</v>
      </c>
      <c r="E27" s="33" t="s">
        <v>234</v>
      </c>
      <c r="I27" s="132">
        <f>ROUND(48.382,0)</f>
        <v>48</v>
      </c>
      <c r="J27" s="199">
        <v>0.96761839999999999</v>
      </c>
      <c r="K27" s="132">
        <f>ROUND(+I27*J27,0)</f>
        <v>46</v>
      </c>
      <c r="L27" s="48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14"/>
      <c r="AD27" s="214"/>
      <c r="AE27" s="214"/>
      <c r="AF27" s="214"/>
    </row>
    <row r="28" spans="1:32">
      <c r="A28" s="39">
        <v>11</v>
      </c>
      <c r="B28" s="39"/>
      <c r="E28" s="33" t="s">
        <v>235</v>
      </c>
      <c r="I28" s="132"/>
      <c r="J28" s="47"/>
      <c r="K28" s="132"/>
      <c r="L28" s="48"/>
      <c r="Q28" s="201" t="s">
        <v>236</v>
      </c>
      <c r="R28" s="201"/>
      <c r="S28" s="201" t="s">
        <v>237</v>
      </c>
      <c r="T28" s="201"/>
      <c r="U28" s="201"/>
      <c r="V28" s="425">
        <f>ROUND(657923.42472, RoundDigits)</f>
        <v>657923</v>
      </c>
      <c r="W28" s="53"/>
      <c r="X28" s="53"/>
      <c r="Y28" s="53"/>
      <c r="Z28" s="425">
        <f>ROUND(657923.42472, RoundDigits)</f>
        <v>657923</v>
      </c>
      <c r="AA28" s="201"/>
      <c r="AB28" s="206"/>
      <c r="AC28" s="214"/>
      <c r="AD28" s="214"/>
      <c r="AE28" s="214"/>
      <c r="AF28" s="214"/>
    </row>
    <row r="29" spans="1:32">
      <c r="A29" s="39"/>
      <c r="B29" s="39"/>
      <c r="I29" s="132"/>
      <c r="J29" s="47"/>
      <c r="K29" s="132"/>
      <c r="L29" s="48"/>
      <c r="Q29" s="201" t="s">
        <v>238</v>
      </c>
      <c r="R29" s="201"/>
      <c r="S29" s="201" t="s">
        <v>237</v>
      </c>
      <c r="T29" s="201"/>
      <c r="U29" s="201"/>
      <c r="V29" s="426">
        <f>ROUND(419750.62245, RoundDigits)</f>
        <v>419751</v>
      </c>
      <c r="W29" s="53"/>
      <c r="X29" s="53"/>
      <c r="Y29" s="53"/>
      <c r="Z29" s="426">
        <f>ROUND(419750.62245, RoundDigits)</f>
        <v>419751</v>
      </c>
      <c r="AA29" s="201"/>
      <c r="AB29" s="206"/>
      <c r="AC29" s="214"/>
      <c r="AD29" s="214"/>
      <c r="AE29" s="214"/>
      <c r="AF29" s="214"/>
    </row>
    <row r="30" spans="1:32">
      <c r="A30" s="39">
        <v>12</v>
      </c>
      <c r="B30" s="34" t="s">
        <v>78</v>
      </c>
      <c r="C30" s="35" t="s">
        <v>239</v>
      </c>
      <c r="D30" s="35"/>
      <c r="E30" s="35" t="s">
        <v>240</v>
      </c>
      <c r="G30" s="35"/>
      <c r="H30" s="35"/>
      <c r="I30" s="132">
        <f>ROUND('MFR G-8 TY'!F20,0)</f>
        <v>-10624</v>
      </c>
      <c r="J30" s="131" t="s">
        <v>1269</v>
      </c>
      <c r="K30" s="132">
        <f>ROUND(+I30*1,0)</f>
        <v>-10624</v>
      </c>
      <c r="L30" s="48"/>
      <c r="M30" s="32"/>
      <c r="Q30" s="201" t="s">
        <v>241</v>
      </c>
      <c r="R30" s="201"/>
      <c r="S30" s="201"/>
      <c r="T30" s="201"/>
      <c r="U30" s="201"/>
      <c r="V30" s="53">
        <f>SUM(V28:V29)</f>
        <v>1077674</v>
      </c>
      <c r="W30" s="53"/>
      <c r="X30" s="53"/>
      <c r="Y30" s="53"/>
      <c r="Z30" s="53">
        <f>SUM(Z28:Z29)</f>
        <v>1077674</v>
      </c>
      <c r="AA30" s="201"/>
      <c r="AB30" s="206"/>
      <c r="AC30" s="214"/>
      <c r="AD30" s="214"/>
      <c r="AE30" s="214"/>
      <c r="AF30" s="214"/>
    </row>
    <row r="31" spans="1:32">
      <c r="A31" s="39">
        <v>13</v>
      </c>
      <c r="B31" s="39"/>
      <c r="C31" s="35"/>
      <c r="D31" s="35"/>
      <c r="E31" s="35" t="s">
        <v>242</v>
      </c>
      <c r="G31" s="35"/>
      <c r="H31" s="35"/>
      <c r="I31" s="132"/>
      <c r="J31" s="47"/>
      <c r="K31" s="132"/>
      <c r="L31" s="48"/>
      <c r="M31" s="32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14"/>
      <c r="AD31" s="214"/>
      <c r="AE31" s="214"/>
      <c r="AF31" s="214"/>
    </row>
    <row r="32" spans="1:32">
      <c r="A32" s="39"/>
      <c r="B32" s="39"/>
      <c r="C32" s="35"/>
      <c r="D32" s="35"/>
      <c r="E32" s="35"/>
      <c r="G32" s="35"/>
      <c r="H32" s="35"/>
      <c r="I32" s="132"/>
      <c r="J32" s="47"/>
      <c r="K32" s="132"/>
      <c r="L32" s="48"/>
      <c r="M32" s="32"/>
      <c r="Q32" s="201" t="s">
        <v>243</v>
      </c>
      <c r="R32" s="201"/>
      <c r="S32" s="201" t="s">
        <v>244</v>
      </c>
      <c r="T32" s="207" t="s">
        <v>2503</v>
      </c>
      <c r="U32" s="207"/>
      <c r="V32" s="50">
        <f>V34/V30</f>
        <v>2.1698584172950262E-2</v>
      </c>
      <c r="W32" s="214"/>
      <c r="X32" s="201"/>
      <c r="Y32" s="207" t="s">
        <v>2503</v>
      </c>
      <c r="Z32" s="50">
        <f>Z34/Z30</f>
        <v>1.5747804994831461E-2</v>
      </c>
      <c r="AA32" s="214"/>
      <c r="AB32" s="201"/>
      <c r="AC32" s="214"/>
      <c r="AD32" s="214"/>
      <c r="AE32" s="214"/>
      <c r="AF32" s="214"/>
    </row>
    <row r="33" spans="1:32">
      <c r="A33" s="39">
        <v>14</v>
      </c>
      <c r="B33" s="34" t="s">
        <v>79</v>
      </c>
      <c r="C33" s="35" t="s">
        <v>245</v>
      </c>
      <c r="D33" s="35"/>
      <c r="E33" s="35" t="s">
        <v>240</v>
      </c>
      <c r="G33" s="35"/>
      <c r="H33" s="35"/>
      <c r="I33" s="132">
        <f>ROUND(-(RRCOMB3!E1052+RRCOMB3!M1036)/1000,0)</f>
        <v>8530</v>
      </c>
      <c r="J33" s="47">
        <v>1</v>
      </c>
      <c r="K33" s="132">
        <f>ROUND(+I33*J33,0)</f>
        <v>8530</v>
      </c>
      <c r="L33" s="33"/>
      <c r="M33" s="32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14"/>
      <c r="AD33" s="214"/>
      <c r="AE33" s="214"/>
      <c r="AF33" s="214"/>
    </row>
    <row r="34" spans="1:32" ht="17.25" thickBot="1">
      <c r="A34" s="39">
        <v>15</v>
      </c>
      <c r="B34" s="39"/>
      <c r="C34" s="35"/>
      <c r="D34" s="35"/>
      <c r="E34" s="35" t="s">
        <v>242</v>
      </c>
      <c r="G34" s="35"/>
      <c r="H34" s="35"/>
      <c r="I34" s="132"/>
      <c r="J34" s="47"/>
      <c r="K34" s="132"/>
      <c r="L34" s="48"/>
      <c r="M34" s="32"/>
      <c r="Q34" s="136" t="s">
        <v>497</v>
      </c>
      <c r="R34" s="201"/>
      <c r="S34" s="201" t="s">
        <v>237</v>
      </c>
      <c r="T34" s="201"/>
      <c r="U34" s="201"/>
      <c r="V34" s="208">
        <f>ROUND(23383.89861,0)</f>
        <v>23384</v>
      </c>
      <c r="W34" s="201" t="s">
        <v>498</v>
      </c>
      <c r="X34" s="53" t="s">
        <v>499</v>
      </c>
      <c r="Y34" s="53" t="s">
        <v>500</v>
      </c>
      <c r="Z34" s="208">
        <f>ROUND(16970.90574,0)</f>
        <v>16971</v>
      </c>
      <c r="AA34" s="201" t="s">
        <v>498</v>
      </c>
      <c r="AB34" s="209">
        <f>V34+Z34</f>
        <v>40355</v>
      </c>
      <c r="AC34" s="427"/>
      <c r="AD34" s="214"/>
      <c r="AE34" s="214"/>
      <c r="AF34" s="214"/>
    </row>
    <row r="35" spans="1:32" ht="17.25" thickTop="1">
      <c r="A35" s="39"/>
      <c r="L35" s="32"/>
      <c r="M35" s="32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14"/>
      <c r="AD35" s="214"/>
      <c r="AE35" s="214"/>
      <c r="AF35" s="214"/>
    </row>
    <row r="36" spans="1:32">
      <c r="A36" s="39"/>
      <c r="J36" s="47"/>
      <c r="K36" s="132"/>
      <c r="L36" s="48"/>
      <c r="M36" s="32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14"/>
      <c r="AD36" s="214"/>
      <c r="AE36" s="214"/>
      <c r="AF36" s="214"/>
    </row>
    <row r="37" spans="1:32">
      <c r="A37" s="39">
        <v>16</v>
      </c>
      <c r="C37" s="51" t="s">
        <v>502</v>
      </c>
      <c r="M37" s="32"/>
      <c r="Q37" s="201" t="s">
        <v>501</v>
      </c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14"/>
      <c r="AD37" s="214"/>
      <c r="AE37" s="214"/>
      <c r="AF37" s="214"/>
    </row>
    <row r="38" spans="1:32">
      <c r="A38" s="39">
        <v>17</v>
      </c>
      <c r="C38" s="33" t="s">
        <v>503</v>
      </c>
      <c r="D38" s="33" t="s">
        <v>504</v>
      </c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14"/>
      <c r="AD38" s="214"/>
      <c r="AE38" s="214"/>
      <c r="AF38" s="214"/>
    </row>
    <row r="39" spans="1:32">
      <c r="A39" s="39">
        <v>18</v>
      </c>
      <c r="C39" s="33" t="s">
        <v>179</v>
      </c>
      <c r="D39" s="33" t="s">
        <v>506</v>
      </c>
      <c r="Q39" s="201" t="s">
        <v>505</v>
      </c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14"/>
      <c r="AD39" s="214"/>
      <c r="AE39" s="214"/>
      <c r="AF39" s="214"/>
    </row>
    <row r="40" spans="1:32">
      <c r="A40" s="39">
        <v>19</v>
      </c>
      <c r="B40" s="39"/>
      <c r="C40" s="33" t="s">
        <v>180</v>
      </c>
      <c r="D40" s="33" t="s">
        <v>508</v>
      </c>
      <c r="E40" s="35"/>
      <c r="F40" s="35"/>
      <c r="G40" s="35"/>
      <c r="H40" s="35"/>
      <c r="I40" s="132"/>
      <c r="J40" s="47"/>
      <c r="K40" s="132"/>
      <c r="L40" s="48"/>
      <c r="Q40" s="201"/>
      <c r="R40" s="201"/>
      <c r="S40" s="201"/>
      <c r="T40" s="207" t="s">
        <v>2503</v>
      </c>
      <c r="U40" s="207"/>
      <c r="V40" s="50">
        <v>2.5000000000000001E-2</v>
      </c>
      <c r="W40" s="201" t="s">
        <v>507</v>
      </c>
      <c r="X40" s="201"/>
      <c r="Y40" s="207" t="s">
        <v>2503</v>
      </c>
      <c r="Z40" s="50">
        <v>2.5000000000000001E-2</v>
      </c>
      <c r="AA40" s="201" t="s">
        <v>507</v>
      </c>
      <c r="AB40" s="201"/>
      <c r="AC40" s="214"/>
      <c r="AD40" s="214"/>
      <c r="AE40" s="214"/>
      <c r="AF40" s="214"/>
    </row>
    <row r="41" spans="1:32">
      <c r="M41" s="32"/>
      <c r="Q41" s="201"/>
      <c r="R41" s="201"/>
      <c r="S41" s="428" t="s">
        <v>509</v>
      </c>
      <c r="T41" s="210" t="s">
        <v>510</v>
      </c>
      <c r="U41" s="210"/>
      <c r="V41" s="53">
        <f>ROUND(-V34*V40,0)</f>
        <v>-585</v>
      </c>
      <c r="W41" s="201" t="s">
        <v>511</v>
      </c>
      <c r="X41" s="201"/>
      <c r="Y41" s="201"/>
      <c r="Z41" s="53">
        <f>ROUND(-Z34*Z40,0)</f>
        <v>-424</v>
      </c>
      <c r="AA41" s="201" t="s">
        <v>511</v>
      </c>
      <c r="AB41" s="201"/>
      <c r="AC41" s="214"/>
      <c r="AD41" s="214"/>
      <c r="AE41" s="214"/>
      <c r="AF41" s="214"/>
    </row>
    <row r="42" spans="1:3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14"/>
      <c r="AD42" s="214"/>
      <c r="AE42" s="214"/>
      <c r="AF42" s="214"/>
    </row>
    <row r="43" spans="1:32">
      <c r="A43" s="35" t="s">
        <v>512</v>
      </c>
      <c r="B43" s="35"/>
      <c r="C43" s="35"/>
      <c r="D43" s="35"/>
      <c r="E43" s="35"/>
      <c r="F43" s="35"/>
      <c r="G43" s="35"/>
      <c r="H43" s="35"/>
      <c r="I43" s="35"/>
      <c r="J43" s="35" t="s">
        <v>2962</v>
      </c>
      <c r="K43" s="35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14"/>
      <c r="AD43" s="214"/>
      <c r="AE43" s="214"/>
      <c r="AF43" s="214"/>
    </row>
    <row r="44" spans="1:32">
      <c r="A44" s="35"/>
      <c r="B44" s="35"/>
      <c r="C44" s="52"/>
      <c r="D44" s="35"/>
      <c r="E44" s="35"/>
      <c r="F44" s="35"/>
      <c r="G44" s="35"/>
      <c r="H44" s="35"/>
      <c r="I44" s="35"/>
      <c r="J44" s="35"/>
      <c r="K44" s="35"/>
      <c r="L44" s="32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14"/>
      <c r="AD44" s="214"/>
      <c r="AE44" s="214"/>
      <c r="AF44" s="214"/>
    </row>
    <row r="45" spans="1:32" ht="18">
      <c r="A45" s="20" t="s">
        <v>204</v>
      </c>
      <c r="B45" s="20"/>
      <c r="C45" s="20"/>
      <c r="D45" s="21" t="s">
        <v>205</v>
      </c>
      <c r="E45" s="21"/>
      <c r="F45" s="22"/>
      <c r="G45" s="20"/>
      <c r="H45" s="20"/>
      <c r="I45" s="20"/>
      <c r="J45" s="20"/>
      <c r="K45" s="20" t="s">
        <v>1237</v>
      </c>
      <c r="L45" s="22"/>
      <c r="M45" s="32"/>
      <c r="Q45" s="201" t="s">
        <v>513</v>
      </c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14"/>
      <c r="AD45" s="214"/>
      <c r="AE45" s="214"/>
      <c r="AF45" s="214"/>
    </row>
    <row r="46" spans="1:32" ht="18">
      <c r="A46" s="25" t="s">
        <v>73</v>
      </c>
      <c r="B46" s="25"/>
      <c r="C46" s="25"/>
      <c r="D46" s="25"/>
      <c r="E46" s="25" t="s">
        <v>206</v>
      </c>
      <c r="F46" s="24"/>
      <c r="G46" s="25"/>
      <c r="H46" s="25"/>
      <c r="I46" s="26" t="s">
        <v>74</v>
      </c>
      <c r="J46" s="26"/>
      <c r="K46" s="24"/>
      <c r="L46" s="27"/>
      <c r="M46" s="32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14"/>
      <c r="AD46" s="214"/>
      <c r="AE46" s="214"/>
      <c r="AF46" s="214"/>
    </row>
    <row r="47" spans="1:32" s="24" customFormat="1" ht="18">
      <c r="A47" s="25"/>
      <c r="B47" s="25"/>
      <c r="C47" s="25"/>
      <c r="D47" s="25"/>
      <c r="E47" s="25" t="s">
        <v>3743</v>
      </c>
      <c r="G47" s="25"/>
      <c r="H47" s="25"/>
      <c r="I47" s="28" t="s">
        <v>2215</v>
      </c>
      <c r="J47" s="28"/>
      <c r="L47" s="27"/>
      <c r="M47" s="23"/>
      <c r="Q47" s="201"/>
      <c r="R47" s="201"/>
      <c r="S47" s="201"/>
      <c r="T47" s="207" t="s">
        <v>2503</v>
      </c>
      <c r="U47" s="207"/>
      <c r="V47" s="50">
        <v>7.2000000000000005E-4</v>
      </c>
      <c r="W47" s="201" t="s">
        <v>514</v>
      </c>
      <c r="X47" s="201"/>
      <c r="Y47" s="207" t="s">
        <v>2503</v>
      </c>
      <c r="Z47" s="50">
        <v>7.2000000000000005E-4</v>
      </c>
      <c r="AA47" s="201" t="s">
        <v>514</v>
      </c>
      <c r="AB47" s="201"/>
      <c r="AC47" s="214"/>
      <c r="AD47" s="214"/>
      <c r="AE47" s="214"/>
      <c r="AF47" s="214"/>
    </row>
    <row r="48" spans="1:32" s="24" customFormat="1" ht="18">
      <c r="A48" s="26" t="s">
        <v>75</v>
      </c>
      <c r="B48" s="26"/>
      <c r="C48" s="25"/>
      <c r="D48" s="25"/>
      <c r="E48" s="25" t="s">
        <v>207</v>
      </c>
      <c r="F48" s="25"/>
      <c r="G48" s="25"/>
      <c r="H48" s="25"/>
      <c r="I48" s="28" t="s">
        <v>2153</v>
      </c>
      <c r="J48" s="28"/>
      <c r="L48" s="27"/>
      <c r="M48" s="27"/>
      <c r="Q48" s="201"/>
      <c r="R48" s="201"/>
      <c r="S48" s="428" t="s">
        <v>515</v>
      </c>
      <c r="T48" s="210" t="s">
        <v>510</v>
      </c>
      <c r="U48" s="210"/>
      <c r="V48" s="206">
        <f>ROUND(-V34*V47,0)</f>
        <v>-17</v>
      </c>
      <c r="W48" s="201" t="s">
        <v>516</v>
      </c>
      <c r="X48" s="201"/>
      <c r="Y48" s="201"/>
      <c r="Z48" s="206">
        <f>ROUND(-Z34*Z47,0)</f>
        <v>-12</v>
      </c>
      <c r="AA48" s="201" t="s">
        <v>516</v>
      </c>
      <c r="AB48" s="201"/>
      <c r="AC48" s="214"/>
      <c r="AD48" s="214"/>
      <c r="AE48" s="214"/>
      <c r="AF48" s="214"/>
    </row>
    <row r="49" spans="1:32" s="24" customFormat="1" ht="18">
      <c r="A49" s="26"/>
      <c r="B49" s="26"/>
      <c r="C49" s="25"/>
      <c r="D49" s="25"/>
      <c r="E49" s="25" t="s">
        <v>208</v>
      </c>
      <c r="F49" s="25"/>
      <c r="G49" s="25"/>
      <c r="H49" s="25"/>
      <c r="I49" s="28" t="s">
        <v>2216</v>
      </c>
      <c r="J49" s="28"/>
      <c r="L49" s="27"/>
      <c r="M49" s="27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14"/>
      <c r="AD49" s="214"/>
      <c r="AE49" s="214"/>
      <c r="AF49" s="214"/>
    </row>
    <row r="50" spans="1:32" s="24" customFormat="1" ht="18.75" thickBot="1">
      <c r="A50" s="30" t="s">
        <v>76</v>
      </c>
      <c r="B50" s="30"/>
      <c r="C50" s="25"/>
      <c r="D50" s="25"/>
      <c r="E50" s="29" t="s">
        <v>77</v>
      </c>
      <c r="F50" s="25"/>
      <c r="G50" s="25"/>
      <c r="H50" s="25"/>
      <c r="I50" s="30" t="s">
        <v>109</v>
      </c>
      <c r="J50" s="30"/>
      <c r="L50" s="21"/>
      <c r="M50" s="27"/>
      <c r="Q50" s="201"/>
      <c r="R50" s="201" t="s">
        <v>517</v>
      </c>
      <c r="S50" s="201"/>
      <c r="T50" s="201"/>
      <c r="U50" s="201"/>
      <c r="V50" s="209">
        <f>V34+V41+V48</f>
        <v>22782</v>
      </c>
      <c r="W50" s="201"/>
      <c r="X50" s="201"/>
      <c r="Y50" s="201"/>
      <c r="Z50" s="209">
        <f>Z34+Z41+Z48</f>
        <v>16535</v>
      </c>
      <c r="AA50" s="201"/>
      <c r="AB50" s="209">
        <f>V50+Z50</f>
        <v>39317</v>
      </c>
      <c r="AC50" s="214"/>
      <c r="AD50" s="214"/>
      <c r="AE50" s="214"/>
      <c r="AF50" s="214"/>
    </row>
    <row r="51" spans="1:32" s="24" customFormat="1" ht="18.75" thickTop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27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14"/>
      <c r="AD51" s="214"/>
      <c r="AE51" s="214"/>
      <c r="AF51" s="214"/>
    </row>
    <row r="52" spans="1:32" s="24" customFormat="1" ht="18">
      <c r="A52" s="34" t="s">
        <v>2158</v>
      </c>
      <c r="B52" s="34" t="s">
        <v>2159</v>
      </c>
      <c r="C52" s="34" t="s">
        <v>2160</v>
      </c>
      <c r="D52" s="35"/>
      <c r="E52" s="34" t="s">
        <v>2161</v>
      </c>
      <c r="F52" s="33"/>
      <c r="G52" s="35"/>
      <c r="H52" s="35"/>
      <c r="I52" s="34" t="s">
        <v>2162</v>
      </c>
      <c r="J52" s="34" t="s">
        <v>78</v>
      </c>
      <c r="K52" s="34" t="s">
        <v>79</v>
      </c>
      <c r="L52" s="36"/>
      <c r="M52" s="27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14"/>
      <c r="AD52" s="214"/>
      <c r="AE52" s="214"/>
      <c r="AF52" s="214"/>
    </row>
    <row r="53" spans="1:32">
      <c r="A53" s="35"/>
      <c r="B53" s="35"/>
      <c r="C53" s="35"/>
      <c r="D53" s="35"/>
      <c r="E53" s="35"/>
      <c r="G53" s="35"/>
      <c r="H53" s="35"/>
      <c r="I53" s="35"/>
      <c r="J53" s="35"/>
      <c r="K53" s="35"/>
      <c r="L53" s="36"/>
      <c r="M53" s="32"/>
      <c r="Q53" s="201" t="s">
        <v>518</v>
      </c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53">
        <v>0</v>
      </c>
      <c r="AC53" s="214"/>
      <c r="AD53" s="214"/>
      <c r="AE53" s="214"/>
      <c r="AF53" s="214"/>
    </row>
    <row r="54" spans="1:32">
      <c r="A54" s="35"/>
      <c r="B54" s="35"/>
      <c r="C54" s="35"/>
      <c r="D54" s="35"/>
      <c r="E54" s="37" t="s">
        <v>209</v>
      </c>
      <c r="G54" s="38"/>
      <c r="H54" s="35"/>
      <c r="I54" s="35"/>
      <c r="J54" s="35"/>
      <c r="K54" s="35"/>
      <c r="L54" s="36"/>
      <c r="M54" s="32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14"/>
      <c r="AD54" s="214"/>
      <c r="AE54" s="214"/>
      <c r="AF54" s="214"/>
    </row>
    <row r="55" spans="1:32" ht="17.25" thickBot="1">
      <c r="A55" s="39" t="s">
        <v>93</v>
      </c>
      <c r="B55" s="39" t="s">
        <v>210</v>
      </c>
      <c r="C55" s="35"/>
      <c r="D55" s="35"/>
      <c r="E55" s="37" t="s">
        <v>211</v>
      </c>
      <c r="G55" s="38"/>
      <c r="H55" s="35"/>
      <c r="I55" s="39" t="s">
        <v>87</v>
      </c>
      <c r="J55" s="39" t="s">
        <v>88</v>
      </c>
      <c r="K55" s="39" t="s">
        <v>88</v>
      </c>
      <c r="L55" s="36"/>
      <c r="M55" s="32"/>
      <c r="Q55" s="136" t="s">
        <v>519</v>
      </c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9">
        <f>AB50+AB53</f>
        <v>39317</v>
      </c>
      <c r="AC55" s="214"/>
      <c r="AD55" s="214"/>
      <c r="AE55" s="214"/>
      <c r="AF55" s="214"/>
    </row>
    <row r="56" spans="1:32" ht="17.25" thickTop="1">
      <c r="A56" s="40" t="s">
        <v>97</v>
      </c>
      <c r="B56" s="40" t="s">
        <v>97</v>
      </c>
      <c r="C56" s="41" t="s">
        <v>212</v>
      </c>
      <c r="D56" s="41"/>
      <c r="E56" s="42" t="s">
        <v>213</v>
      </c>
      <c r="F56" s="43"/>
      <c r="G56" s="44"/>
      <c r="H56" s="41"/>
      <c r="I56" s="40" t="s">
        <v>110</v>
      </c>
      <c r="J56" s="40" t="s">
        <v>99</v>
      </c>
      <c r="K56" s="40" t="s">
        <v>110</v>
      </c>
      <c r="L56" s="45"/>
      <c r="M56" s="32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14"/>
      <c r="AD56" s="214"/>
      <c r="AE56" s="214"/>
      <c r="AF56" s="214"/>
    </row>
    <row r="57" spans="1:32">
      <c r="M57" s="32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14"/>
      <c r="AD57" s="214"/>
      <c r="AE57" s="214"/>
      <c r="AF57" s="214"/>
    </row>
    <row r="58" spans="1:32">
      <c r="A58" s="39">
        <v>1</v>
      </c>
      <c r="C58" s="46" t="s">
        <v>520</v>
      </c>
      <c r="M58" s="32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14"/>
      <c r="AD58" s="214"/>
      <c r="AE58" s="214"/>
      <c r="AF58" s="214"/>
    </row>
    <row r="59" spans="1:32">
      <c r="A59" s="39">
        <v>2</v>
      </c>
      <c r="B59" s="34" t="s">
        <v>80</v>
      </c>
      <c r="C59" s="33" t="s">
        <v>521</v>
      </c>
      <c r="E59" s="33" t="s">
        <v>240</v>
      </c>
      <c r="I59" s="132">
        <f>ROUND((RRCOMB3!M1853+RRCOMB3!N1853)/1000,0)</f>
        <v>294</v>
      </c>
      <c r="J59" s="47">
        <v>1</v>
      </c>
      <c r="K59" s="132">
        <f>ROUND(+I59*J59,0)</f>
        <v>294</v>
      </c>
      <c r="L59" s="33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14"/>
      <c r="AD59" s="214"/>
      <c r="AE59" s="214"/>
      <c r="AF59" s="214"/>
    </row>
    <row r="60" spans="1:32">
      <c r="A60" s="39">
        <v>3</v>
      </c>
      <c r="B60" s="39"/>
      <c r="E60" s="33" t="s">
        <v>242</v>
      </c>
      <c r="I60" s="132"/>
      <c r="J60" s="47"/>
      <c r="K60" s="132"/>
      <c r="L60" s="48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14"/>
      <c r="AD60" s="214"/>
      <c r="AE60" s="214"/>
      <c r="AF60" s="214"/>
    </row>
    <row r="61" spans="1:32">
      <c r="A61" s="39"/>
      <c r="C61" s="35"/>
      <c r="D61" s="35"/>
      <c r="E61" s="35"/>
      <c r="G61" s="35"/>
      <c r="H61" s="35"/>
      <c r="I61" s="35"/>
      <c r="J61" s="47"/>
      <c r="K61" s="35"/>
      <c r="L61" s="48"/>
      <c r="M61" s="32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14"/>
      <c r="AD61" s="214"/>
      <c r="AE61" s="214"/>
      <c r="AF61" s="214"/>
    </row>
    <row r="62" spans="1:32">
      <c r="A62" s="39">
        <v>4</v>
      </c>
      <c r="B62" s="34" t="s">
        <v>81</v>
      </c>
      <c r="C62" s="35" t="s">
        <v>523</v>
      </c>
      <c r="D62" s="35"/>
      <c r="E62" s="35" t="s">
        <v>524</v>
      </c>
      <c r="G62" s="35"/>
      <c r="H62" s="35"/>
      <c r="I62" s="132">
        <f>ROUND('MFR G-8 TY'!G20,0)</f>
        <v>-48415</v>
      </c>
      <c r="J62" s="131" t="s">
        <v>1269</v>
      </c>
      <c r="K62" s="132">
        <f>-('MFR G-11 TY'!O24+'MFR G-11 TY'!O38)-('MFR G-11 TY'!O25)*RRCOMB3!H1039</f>
        <v>-48407.885520999997</v>
      </c>
      <c r="L62" s="48"/>
      <c r="M62" s="32"/>
      <c r="Q62" s="201" t="s">
        <v>522</v>
      </c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14"/>
      <c r="AD62" s="214"/>
      <c r="AE62" s="214"/>
      <c r="AF62" s="214"/>
    </row>
    <row r="63" spans="1:32">
      <c r="A63" s="39">
        <v>5</v>
      </c>
      <c r="B63" s="39"/>
      <c r="C63" s="35"/>
      <c r="D63" s="35"/>
      <c r="E63" s="35" t="s">
        <v>242</v>
      </c>
      <c r="G63" s="35"/>
      <c r="H63" s="35"/>
      <c r="I63" s="132"/>
      <c r="K63" s="132"/>
      <c r="L63" s="48"/>
      <c r="M63" s="32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14"/>
      <c r="AD63" s="214"/>
      <c r="AE63" s="214"/>
      <c r="AF63" s="214"/>
    </row>
    <row r="64" spans="1:32">
      <c r="A64" s="39"/>
      <c r="L64" s="48"/>
      <c r="M64" s="32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</row>
    <row r="65" spans="1:32">
      <c r="A65" s="39">
        <v>6</v>
      </c>
      <c r="B65" s="34" t="s">
        <v>82</v>
      </c>
      <c r="C65" s="35" t="s">
        <v>526</v>
      </c>
      <c r="D65" s="35"/>
      <c r="E65" s="35" t="s">
        <v>524</v>
      </c>
      <c r="G65" s="35"/>
      <c r="H65" s="35"/>
      <c r="I65" s="132">
        <f>ROUND(-RRCOMB3!M1024/1000,0)</f>
        <v>47796</v>
      </c>
      <c r="J65" s="47">
        <f>ROUND(RRCOMB3!T1076/RRCOMB3!T1059,7)</f>
        <v>0.96424200000000004</v>
      </c>
      <c r="K65" s="132">
        <f>ROUND(+I65*J65,0)</f>
        <v>46087</v>
      </c>
      <c r="L65" s="48"/>
      <c r="M65" s="32"/>
      <c r="Q65" s="214" t="s">
        <v>525</v>
      </c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</row>
    <row r="66" spans="1:32">
      <c r="A66" s="39">
        <v>7</v>
      </c>
      <c r="B66" s="39"/>
      <c r="C66" s="35"/>
      <c r="D66" s="35"/>
      <c r="E66" s="35" t="s">
        <v>242</v>
      </c>
      <c r="G66" s="35"/>
      <c r="H66" s="35"/>
      <c r="I66" s="132"/>
      <c r="J66" s="47"/>
      <c r="L66" s="48"/>
      <c r="M66" s="32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</row>
    <row r="67" spans="1:32">
      <c r="A67" s="39"/>
      <c r="J67" s="47"/>
      <c r="L67" s="48"/>
      <c r="M67" s="32"/>
      <c r="Q67" s="214"/>
      <c r="R67" s="366" t="s">
        <v>111</v>
      </c>
      <c r="S67" s="366"/>
      <c r="T67" s="366" t="s">
        <v>527</v>
      </c>
      <c r="U67" s="366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</row>
    <row r="68" spans="1:32">
      <c r="A68" s="39">
        <v>8</v>
      </c>
      <c r="B68" s="34" t="s">
        <v>83</v>
      </c>
      <c r="C68" s="35" t="s">
        <v>224</v>
      </c>
      <c r="D68" s="35"/>
      <c r="E68" s="35" t="s">
        <v>530</v>
      </c>
      <c r="G68" s="35"/>
      <c r="H68" s="35"/>
      <c r="I68" s="132">
        <f>ROUND(RRCOMB3!AE1059/1000,0)</f>
        <v>2357</v>
      </c>
      <c r="J68" s="47">
        <f>J65</f>
        <v>0.96424200000000004</v>
      </c>
      <c r="K68" s="132">
        <f>ROUND(+I68*J68,0)</f>
        <v>2273</v>
      </c>
      <c r="L68" s="48"/>
      <c r="M68" s="32"/>
      <c r="Q68" s="214"/>
      <c r="R68" s="429" t="s">
        <v>77</v>
      </c>
      <c r="S68" s="135" t="s">
        <v>528</v>
      </c>
      <c r="T68" s="429" t="s">
        <v>77</v>
      </c>
      <c r="U68" s="429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</row>
    <row r="69" spans="1:32">
      <c r="A69" s="39">
        <v>9</v>
      </c>
      <c r="B69" s="39"/>
      <c r="C69" s="35"/>
      <c r="D69" s="35"/>
      <c r="E69" s="35" t="s">
        <v>532</v>
      </c>
      <c r="G69" s="35"/>
      <c r="H69" s="35"/>
      <c r="I69" s="132"/>
      <c r="J69" s="47"/>
      <c r="K69" s="132"/>
      <c r="L69" s="48"/>
      <c r="M69" s="32"/>
      <c r="Q69" s="214" t="s">
        <v>529</v>
      </c>
      <c r="R69" s="386" t="e">
        <f>ROUND(#REF!/1000,0)</f>
        <v>#REF!</v>
      </c>
      <c r="S69" s="214">
        <v>7.2000000000000005E-4</v>
      </c>
      <c r="T69" s="54" t="e">
        <f>ROUND(R69*S69,0)</f>
        <v>#REF!</v>
      </c>
      <c r="U69" s="5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</row>
    <row r="70" spans="1:32">
      <c r="A70" s="39"/>
      <c r="B70" s="39"/>
      <c r="J70" s="47"/>
      <c r="K70" s="35"/>
      <c r="M70" s="32"/>
      <c r="Q70" s="214" t="s">
        <v>531</v>
      </c>
      <c r="R70" s="386" t="e">
        <f>ROUND(#REF!/1000,0)</f>
        <v>#REF!</v>
      </c>
      <c r="S70" s="214">
        <v>7.2000000000000005E-4</v>
      </c>
      <c r="T70" s="54" t="e">
        <f>ROUND(R70*S70,0)</f>
        <v>#REF!</v>
      </c>
      <c r="U70" s="5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</row>
    <row r="71" spans="1:32">
      <c r="A71" s="39">
        <v>10</v>
      </c>
      <c r="B71" s="34" t="s">
        <v>84</v>
      </c>
      <c r="C71" s="35" t="s">
        <v>534</v>
      </c>
      <c r="D71" s="35"/>
      <c r="E71" s="35" t="s">
        <v>535</v>
      </c>
      <c r="G71" s="35"/>
      <c r="H71" s="35"/>
      <c r="I71" s="132">
        <f>ROUND('MFR G-8 TY'!H20,0)</f>
        <v>-159511</v>
      </c>
      <c r="J71" s="131" t="s">
        <v>1269</v>
      </c>
      <c r="K71" s="132">
        <f>-'MFR G-11 TY'!S24-'MFR G-11 TY'!S38+(RRCOMB3!Y1724+RRCOMB3!AB1724)/1000</f>
        <v>-154302.70438000001</v>
      </c>
      <c r="M71" s="32"/>
      <c r="Q71" s="214" t="s">
        <v>533</v>
      </c>
      <c r="R71" s="386" t="e">
        <f>ROUND(#REF!/1000,0)</f>
        <v>#REF!</v>
      </c>
      <c r="S71" s="214">
        <v>7.2000000000000005E-4</v>
      </c>
      <c r="T71" s="54" t="e">
        <f>ROUND(R71*S71,0)</f>
        <v>#REF!</v>
      </c>
      <c r="U71" s="54" t="e">
        <f>SUM(T69:T73)</f>
        <v>#REF!</v>
      </c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</row>
    <row r="72" spans="1:32">
      <c r="A72" s="39">
        <v>11</v>
      </c>
      <c r="B72" s="39"/>
      <c r="E72" s="35" t="s">
        <v>242</v>
      </c>
      <c r="M72" s="32"/>
      <c r="Q72" s="214" t="s">
        <v>534</v>
      </c>
      <c r="R72" s="386" t="e">
        <f>ROUND(#REF!/1000+#REF!/1000,0)</f>
        <v>#REF!</v>
      </c>
      <c r="S72" s="214">
        <v>7.2000000000000005E-4</v>
      </c>
      <c r="T72" s="54" t="e">
        <f>ROUND(R72*S72,0)</f>
        <v>#REF!</v>
      </c>
      <c r="U72" s="5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</row>
    <row r="73" spans="1:32">
      <c r="A73" s="39"/>
      <c r="B73" s="39"/>
      <c r="Q73" s="214" t="s">
        <v>536</v>
      </c>
      <c r="R73" s="386">
        <f>ROUND(AB34,0)</f>
        <v>40355</v>
      </c>
      <c r="S73" s="214">
        <v>7.2000000000000005E-4</v>
      </c>
      <c r="T73" s="54">
        <f>ROUND(R73*S73,0)</f>
        <v>29</v>
      </c>
      <c r="U73" s="5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</row>
    <row r="74" spans="1:32">
      <c r="A74" s="39">
        <v>12</v>
      </c>
      <c r="B74" s="34" t="s">
        <v>85</v>
      </c>
      <c r="C74" s="35" t="s">
        <v>539</v>
      </c>
      <c r="D74" s="35"/>
      <c r="E74" s="35" t="s">
        <v>535</v>
      </c>
      <c r="G74" s="35"/>
      <c r="H74" s="35"/>
      <c r="I74" s="132">
        <f>ROUND(-(RRCOMB3!E1049+RRCOMB3!M1022+RRCOMB3!M1039+RRCOMB3!M1070)/1000,0)</f>
        <v>30015</v>
      </c>
      <c r="J74" s="47">
        <f>ROUND(K74/I74,7)</f>
        <v>0.96641679999999996</v>
      </c>
      <c r="K74" s="132">
        <f>ROUND((RRCOMB3!H1697+RRCOMB3!H1740)/1000,0)</f>
        <v>29007</v>
      </c>
      <c r="L74" s="48"/>
      <c r="Q74" s="214" t="s">
        <v>537</v>
      </c>
      <c r="R74" s="386">
        <f>ROUND(V30,0)</f>
        <v>1077674</v>
      </c>
      <c r="S74" s="214">
        <f>T74/R74</f>
        <v>2.1139973684064013E-2</v>
      </c>
      <c r="T74" s="54">
        <f>V50</f>
        <v>22782</v>
      </c>
      <c r="U74" s="54">
        <f>T74+T75</f>
        <v>39317</v>
      </c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</row>
    <row r="75" spans="1:32">
      <c r="A75" s="39">
        <v>13</v>
      </c>
      <c r="B75" s="39"/>
      <c r="C75" s="35"/>
      <c r="D75" s="35"/>
      <c r="E75" s="35" t="s">
        <v>242</v>
      </c>
      <c r="G75" s="35"/>
      <c r="H75" s="35"/>
      <c r="I75" s="132"/>
      <c r="J75" s="47"/>
      <c r="K75" s="132"/>
      <c r="L75" s="48"/>
      <c r="Q75" s="214" t="s">
        <v>538</v>
      </c>
      <c r="R75" s="386">
        <f>ROUND(Z30,0)</f>
        <v>1077674</v>
      </c>
      <c r="S75" s="214">
        <f>T75/R75</f>
        <v>1.5343229956368994E-2</v>
      </c>
      <c r="T75" s="54">
        <f>Z50</f>
        <v>16535</v>
      </c>
      <c r="U75" s="5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</row>
    <row r="76" spans="1:32">
      <c r="A76" s="39"/>
      <c r="B76" s="39"/>
      <c r="L76" s="48"/>
      <c r="Q76" s="214" t="s">
        <v>540</v>
      </c>
      <c r="R76" s="386"/>
      <c r="S76" s="214"/>
      <c r="T76" s="386">
        <f>ROUND(([8]Inputs!C263+[8]Inputs!C264+[8]Inputs!C367)/1000,0)</f>
        <v>508</v>
      </c>
      <c r="U76" s="386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</row>
    <row r="77" spans="1:32">
      <c r="A77" s="39">
        <v>14</v>
      </c>
      <c r="B77" s="34" t="s">
        <v>543</v>
      </c>
      <c r="C77" s="33" t="s">
        <v>544</v>
      </c>
      <c r="E77" s="33" t="s">
        <v>535</v>
      </c>
      <c r="I77" s="132">
        <f>ROUND((RRCOMB3!G1778+RRCOMB3!K1746)/1000,0)</f>
        <v>35669</v>
      </c>
      <c r="J77" s="47">
        <f>ROUND(K77/I77,7)</f>
        <v>0.96672179999999996</v>
      </c>
      <c r="K77" s="132">
        <f>ROUND((RRCOMB3!J1697+RRCOMB3!J1740+RRCOMB3!K1740)/1000,0)</f>
        <v>34482</v>
      </c>
      <c r="L77" s="48"/>
      <c r="Q77" s="214" t="s">
        <v>541</v>
      </c>
      <c r="R77" s="386"/>
      <c r="S77" s="214"/>
      <c r="T77" s="386">
        <f>ROUND(([8]Inputs!C246)/1000,0)</f>
        <v>113</v>
      </c>
      <c r="U77" s="386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</row>
    <row r="78" spans="1:32">
      <c r="A78" s="39">
        <v>15</v>
      </c>
      <c r="B78" s="39"/>
      <c r="E78" s="33" t="s">
        <v>242</v>
      </c>
      <c r="I78" s="132"/>
      <c r="J78" s="47"/>
      <c r="K78" s="132"/>
      <c r="Q78" s="214" t="s">
        <v>542</v>
      </c>
      <c r="R78" s="386"/>
      <c r="S78" s="214"/>
      <c r="T78" s="386">
        <f>ROUND(([8]Inputs!C245)/1000,0)</f>
        <v>182</v>
      </c>
      <c r="U78" s="386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</row>
    <row r="79" spans="1:32">
      <c r="A79" s="39"/>
      <c r="Q79" s="214" t="s">
        <v>545</v>
      </c>
      <c r="R79" s="386"/>
      <c r="S79" s="214"/>
      <c r="T79" s="386">
        <f>ROUND(([8]Inputs!C299)/1000,0)</f>
        <v>17</v>
      </c>
      <c r="U79" s="386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>
      <c r="A80" s="39"/>
      <c r="Q80" s="214" t="s">
        <v>546</v>
      </c>
      <c r="R80" s="214"/>
      <c r="S80" s="214"/>
      <c r="T80" s="55">
        <f>ROUND(([8]Inputs!C170),0)</f>
        <v>31705</v>
      </c>
      <c r="U80" s="423"/>
      <c r="V80" s="386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</row>
    <row r="81" spans="1:32">
      <c r="A81" s="39">
        <v>16</v>
      </c>
      <c r="C81" s="51" t="s">
        <v>502</v>
      </c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</row>
    <row r="82" spans="1:32">
      <c r="A82" s="39">
        <v>17</v>
      </c>
      <c r="C82" s="33" t="s">
        <v>503</v>
      </c>
      <c r="D82" s="33" t="s">
        <v>504</v>
      </c>
      <c r="Q82" s="214"/>
      <c r="R82" s="430"/>
      <c r="S82" s="214"/>
      <c r="T82" s="54" t="e">
        <f>SUM(T69:T80)</f>
        <v>#REF!</v>
      </c>
      <c r="U82" s="427"/>
      <c r="V82" s="386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</row>
    <row r="83" spans="1:32">
      <c r="A83" s="39">
        <v>18</v>
      </c>
      <c r="C83" s="33" t="s">
        <v>179</v>
      </c>
      <c r="D83" s="33" t="s">
        <v>506</v>
      </c>
      <c r="Q83" s="214"/>
      <c r="R83" s="430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</row>
    <row r="84" spans="1:32">
      <c r="A84" s="39">
        <v>19</v>
      </c>
      <c r="B84" s="49"/>
      <c r="C84" s="33" t="s">
        <v>180</v>
      </c>
      <c r="D84" s="33" t="s">
        <v>508</v>
      </c>
      <c r="E84" s="49"/>
      <c r="F84" s="49"/>
      <c r="G84" s="49"/>
      <c r="H84" s="49"/>
      <c r="I84" s="49"/>
      <c r="J84" s="49"/>
      <c r="K84" s="49"/>
      <c r="Q84" s="214"/>
      <c r="R84" s="430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</row>
    <row r="85" spans="1:32">
      <c r="B85" s="32"/>
      <c r="C85" s="56"/>
      <c r="D85" s="32"/>
      <c r="E85" s="32"/>
      <c r="F85" s="32"/>
      <c r="G85" s="32"/>
      <c r="H85" s="32"/>
      <c r="I85" s="32"/>
      <c r="J85" s="32"/>
      <c r="K85" s="32"/>
      <c r="L85" s="32"/>
      <c r="Q85" s="214"/>
      <c r="R85" s="430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</row>
    <row r="86" spans="1:32">
      <c r="A86" s="43"/>
      <c r="B86" s="59"/>
      <c r="C86" s="59"/>
      <c r="D86" s="59"/>
      <c r="E86" s="59"/>
      <c r="F86" s="43"/>
      <c r="G86" s="59"/>
      <c r="H86" s="41"/>
      <c r="I86" s="41"/>
      <c r="J86" s="41"/>
      <c r="K86" s="41"/>
      <c r="L86" s="59"/>
      <c r="Q86" s="214"/>
      <c r="R86" s="430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</row>
    <row r="87" spans="1:32">
      <c r="A87" s="35" t="s">
        <v>512</v>
      </c>
      <c r="B87" s="35"/>
      <c r="C87" s="35"/>
      <c r="D87" s="35"/>
      <c r="E87" s="35"/>
      <c r="F87" s="35"/>
      <c r="G87" s="35"/>
      <c r="H87" s="35"/>
      <c r="I87" s="35"/>
      <c r="J87" s="35" t="s">
        <v>2962</v>
      </c>
      <c r="K87" s="35"/>
      <c r="Q87" s="214"/>
      <c r="R87" s="430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</row>
    <row r="88" spans="1:32">
      <c r="A88" s="35"/>
      <c r="B88" s="35"/>
      <c r="C88" s="52"/>
      <c r="D88" s="35"/>
      <c r="E88" s="35"/>
      <c r="F88" s="35"/>
      <c r="G88" s="35"/>
      <c r="H88" s="35"/>
      <c r="I88" s="35"/>
      <c r="J88" s="35"/>
      <c r="K88" s="35"/>
      <c r="L88" s="32"/>
      <c r="Q88" s="214"/>
      <c r="R88" s="430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</row>
    <row r="89" spans="1:32" ht="18">
      <c r="A89" s="20" t="s">
        <v>204</v>
      </c>
      <c r="B89" s="20"/>
      <c r="C89" s="20"/>
      <c r="D89" s="21" t="s">
        <v>205</v>
      </c>
      <c r="E89" s="21"/>
      <c r="F89" s="22"/>
      <c r="G89" s="20"/>
      <c r="H89" s="20"/>
      <c r="I89" s="20"/>
      <c r="J89" s="20"/>
      <c r="K89" s="20" t="s">
        <v>1238</v>
      </c>
      <c r="L89" s="22"/>
      <c r="Q89" s="57" t="s">
        <v>547</v>
      </c>
      <c r="R89" s="58"/>
      <c r="T89" s="60">
        <f>-T77-T78</f>
        <v>-295</v>
      </c>
    </row>
    <row r="90" spans="1:32" ht="18">
      <c r="A90" s="25" t="s">
        <v>73</v>
      </c>
      <c r="B90" s="25"/>
      <c r="C90" s="25"/>
      <c r="D90" s="25"/>
      <c r="E90" s="25" t="s">
        <v>206</v>
      </c>
      <c r="F90" s="24"/>
      <c r="G90" s="25"/>
      <c r="H90" s="25"/>
      <c r="I90" s="26" t="s">
        <v>74</v>
      </c>
      <c r="J90" s="26"/>
      <c r="K90" s="24"/>
      <c r="L90" s="27"/>
      <c r="Q90" s="57" t="s">
        <v>548</v>
      </c>
      <c r="R90" s="58"/>
      <c r="T90" s="60">
        <f>-AB55</f>
        <v>-39317</v>
      </c>
    </row>
    <row r="91" spans="1:32" ht="18">
      <c r="A91" s="25"/>
      <c r="B91" s="25"/>
      <c r="C91" s="25"/>
      <c r="D91" s="25"/>
      <c r="E91" s="25" t="s">
        <v>3743</v>
      </c>
      <c r="F91" s="24"/>
      <c r="G91" s="25"/>
      <c r="H91" s="25"/>
      <c r="I91" s="28" t="s">
        <v>2215</v>
      </c>
      <c r="J91" s="28"/>
      <c r="K91" s="24"/>
      <c r="L91" s="27"/>
      <c r="M91" s="32"/>
      <c r="Q91" s="57" t="s">
        <v>549</v>
      </c>
      <c r="R91" s="58"/>
      <c r="T91" s="60">
        <f>-ROUND(([8]Inputs!C299)/1000,0)</f>
        <v>-17</v>
      </c>
    </row>
    <row r="92" spans="1:32" ht="18">
      <c r="A92" s="26" t="s">
        <v>75</v>
      </c>
      <c r="B92" s="26"/>
      <c r="C92" s="25"/>
      <c r="D92" s="25"/>
      <c r="E92" s="25" t="s">
        <v>207</v>
      </c>
      <c r="F92" s="25"/>
      <c r="G92" s="25"/>
      <c r="H92" s="25"/>
      <c r="I92" s="28" t="s">
        <v>2153</v>
      </c>
      <c r="J92" s="28"/>
      <c r="K92" s="24"/>
      <c r="L92" s="27"/>
      <c r="M92" s="32"/>
      <c r="Q92" s="57" t="s">
        <v>550</v>
      </c>
      <c r="R92" s="58"/>
      <c r="T92" s="60">
        <f>-T76</f>
        <v>-508</v>
      </c>
    </row>
    <row r="93" spans="1:32" s="24" customFormat="1" ht="18">
      <c r="A93" s="26"/>
      <c r="B93" s="26"/>
      <c r="C93" s="25"/>
      <c r="D93" s="25"/>
      <c r="E93" s="25" t="s">
        <v>208</v>
      </c>
      <c r="F93" s="25"/>
      <c r="G93" s="25"/>
      <c r="H93" s="25"/>
      <c r="I93" s="28" t="s">
        <v>2216</v>
      </c>
      <c r="J93" s="28"/>
      <c r="L93" s="27"/>
      <c r="M93" s="23"/>
      <c r="Q93" s="58" t="s">
        <v>551</v>
      </c>
      <c r="R93" s="58"/>
      <c r="T93" s="130">
        <v>-33616</v>
      </c>
    </row>
    <row r="94" spans="1:32" s="24" customFormat="1" ht="18">
      <c r="A94" s="30" t="s">
        <v>76</v>
      </c>
      <c r="B94" s="30"/>
      <c r="C94" s="25"/>
      <c r="D94" s="25"/>
      <c r="E94" s="29" t="s">
        <v>77</v>
      </c>
      <c r="F94" s="25"/>
      <c r="G94" s="25"/>
      <c r="H94" s="25"/>
      <c r="I94" s="30" t="s">
        <v>109</v>
      </c>
      <c r="J94" s="30"/>
      <c r="L94" s="21"/>
      <c r="M94" s="27"/>
      <c r="Q94" s="57" t="s">
        <v>552</v>
      </c>
      <c r="R94" s="58"/>
      <c r="T94" s="386" t="e">
        <f>ROUND( (-#REF!-#REF!-#REF!-#REF!-#REF!-#REF!)/1000-T89-T90-T91-T92-T93, RoundDigits )</f>
        <v>#REF!</v>
      </c>
    </row>
    <row r="95" spans="1:32" s="24" customFormat="1" ht="18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2"/>
      <c r="M95" s="27"/>
    </row>
    <row r="96" spans="1:32" s="24" customFormat="1" ht="18">
      <c r="A96" s="34" t="s">
        <v>2158</v>
      </c>
      <c r="B96" s="34" t="s">
        <v>2159</v>
      </c>
      <c r="C96" s="34" t="s">
        <v>2160</v>
      </c>
      <c r="D96" s="35"/>
      <c r="E96" s="34" t="s">
        <v>2161</v>
      </c>
      <c r="F96" s="33"/>
      <c r="G96" s="35"/>
      <c r="H96" s="35"/>
      <c r="I96" s="34" t="s">
        <v>2162</v>
      </c>
      <c r="J96" s="34" t="s">
        <v>78</v>
      </c>
      <c r="K96" s="34" t="s">
        <v>79</v>
      </c>
      <c r="L96" s="36"/>
      <c r="M96" s="27"/>
    </row>
    <row r="97" spans="1:13" s="24" customFormat="1" ht="18">
      <c r="A97" s="35"/>
      <c r="B97" s="35"/>
      <c r="C97" s="35"/>
      <c r="D97" s="35"/>
      <c r="E97" s="35"/>
      <c r="F97" s="33"/>
      <c r="G97" s="35"/>
      <c r="H97" s="35"/>
      <c r="I97" s="35"/>
      <c r="J97" s="35"/>
      <c r="K97" s="35"/>
      <c r="L97" s="36"/>
      <c r="M97" s="27"/>
    </row>
    <row r="98" spans="1:13" s="24" customFormat="1" ht="18">
      <c r="A98" s="35"/>
      <c r="B98" s="35"/>
      <c r="C98" s="35"/>
      <c r="D98" s="35"/>
      <c r="E98" s="37" t="s">
        <v>209</v>
      </c>
      <c r="F98" s="33"/>
      <c r="G98" s="38"/>
      <c r="H98" s="35"/>
      <c r="I98" s="35"/>
      <c r="J98" s="35"/>
      <c r="K98" s="35"/>
      <c r="L98" s="36"/>
      <c r="M98" s="27"/>
    </row>
    <row r="99" spans="1:13">
      <c r="A99" s="39" t="s">
        <v>93</v>
      </c>
      <c r="B99" s="39" t="s">
        <v>210</v>
      </c>
      <c r="C99" s="35"/>
      <c r="D99" s="35"/>
      <c r="E99" s="37" t="s">
        <v>211</v>
      </c>
      <c r="G99" s="38"/>
      <c r="H99" s="35"/>
      <c r="I99" s="39" t="s">
        <v>87</v>
      </c>
      <c r="J99" s="39" t="s">
        <v>88</v>
      </c>
      <c r="K99" s="39" t="s">
        <v>88</v>
      </c>
      <c r="L99" s="36"/>
      <c r="M99" s="32"/>
    </row>
    <row r="100" spans="1:13">
      <c r="A100" s="40" t="s">
        <v>97</v>
      </c>
      <c r="B100" s="40" t="s">
        <v>97</v>
      </c>
      <c r="C100" s="41" t="s">
        <v>212</v>
      </c>
      <c r="D100" s="41"/>
      <c r="E100" s="42" t="s">
        <v>213</v>
      </c>
      <c r="F100" s="43"/>
      <c r="G100" s="44"/>
      <c r="H100" s="41"/>
      <c r="I100" s="40" t="s">
        <v>110</v>
      </c>
      <c r="J100" s="40" t="s">
        <v>99</v>
      </c>
      <c r="K100" s="40" t="s">
        <v>110</v>
      </c>
      <c r="L100" s="45"/>
      <c r="M100" s="32"/>
    </row>
    <row r="101" spans="1:13">
      <c r="A101" s="35"/>
      <c r="B101" s="36"/>
      <c r="C101" s="32"/>
      <c r="D101" s="32"/>
      <c r="E101" s="61"/>
      <c r="F101" s="49"/>
      <c r="G101" s="62"/>
      <c r="H101" s="32"/>
      <c r="I101" s="36"/>
      <c r="J101" s="36"/>
      <c r="K101" s="36"/>
      <c r="L101" s="36"/>
      <c r="M101" s="32"/>
    </row>
    <row r="102" spans="1:13">
      <c r="A102" s="39">
        <v>1</v>
      </c>
      <c r="B102" s="32"/>
      <c r="C102" s="46" t="s">
        <v>520</v>
      </c>
      <c r="D102" s="32"/>
      <c r="E102" s="32"/>
      <c r="F102" s="62"/>
      <c r="G102" s="62"/>
      <c r="H102" s="32"/>
      <c r="I102" s="36"/>
      <c r="J102" s="36"/>
      <c r="K102" s="36"/>
      <c r="L102" s="36"/>
      <c r="M102" s="32"/>
    </row>
    <row r="103" spans="1:13">
      <c r="A103" s="39">
        <v>2</v>
      </c>
      <c r="B103" s="34" t="s">
        <v>553</v>
      </c>
      <c r="C103" s="35" t="s">
        <v>554</v>
      </c>
      <c r="D103" s="35"/>
      <c r="E103" s="35" t="s">
        <v>555</v>
      </c>
      <c r="G103" s="35"/>
      <c r="H103" s="35"/>
      <c r="I103" s="132">
        <f>ROUND('MFR G-8 TY'!I20,0)</f>
        <v>-72061</v>
      </c>
      <c r="J103" s="47">
        <v>1</v>
      </c>
      <c r="K103" s="132">
        <f>ROUND(+I103*J103,0)</f>
        <v>-72061</v>
      </c>
      <c r="M103" s="32"/>
    </row>
    <row r="104" spans="1:13">
      <c r="A104" s="39">
        <v>3</v>
      </c>
      <c r="B104" s="39"/>
      <c r="C104" s="35"/>
      <c r="D104" s="35"/>
      <c r="E104" s="35" t="s">
        <v>242</v>
      </c>
      <c r="G104" s="35"/>
      <c r="H104" s="35"/>
      <c r="I104" s="132"/>
      <c r="J104" s="47"/>
      <c r="K104" s="132"/>
      <c r="L104" s="48"/>
      <c r="M104" s="32"/>
    </row>
    <row r="105" spans="1:13">
      <c r="A105" s="39"/>
      <c r="B105" s="39"/>
      <c r="L105" s="48"/>
      <c r="M105" s="32"/>
    </row>
    <row r="106" spans="1:13">
      <c r="A106" s="39">
        <v>4</v>
      </c>
      <c r="B106" s="34" t="s">
        <v>556</v>
      </c>
      <c r="C106" s="35" t="s">
        <v>557</v>
      </c>
      <c r="D106" s="35"/>
      <c r="E106" s="35" t="s">
        <v>558</v>
      </c>
      <c r="G106" s="35"/>
      <c r="H106" s="35"/>
      <c r="I106" s="132">
        <v>72382</v>
      </c>
      <c r="J106" s="47">
        <v>1</v>
      </c>
      <c r="K106" s="132">
        <f>ROUND(+I106*J106,0)</f>
        <v>72382</v>
      </c>
      <c r="L106" s="48"/>
      <c r="M106" s="32"/>
    </row>
    <row r="107" spans="1:13">
      <c r="A107" s="39">
        <v>5</v>
      </c>
      <c r="B107" s="39"/>
      <c r="C107" s="35"/>
      <c r="D107" s="35"/>
      <c r="E107" s="35" t="s">
        <v>242</v>
      </c>
      <c r="G107" s="35"/>
      <c r="H107" s="35"/>
      <c r="I107" s="132"/>
      <c r="J107" s="47"/>
      <c r="K107" s="132"/>
      <c r="M107" s="32"/>
    </row>
    <row r="108" spans="1:13">
      <c r="A108" s="39"/>
      <c r="L108" s="48"/>
      <c r="M108" s="32"/>
    </row>
    <row r="109" spans="1:13">
      <c r="A109" s="39">
        <v>6</v>
      </c>
      <c r="B109" s="34" t="s">
        <v>559</v>
      </c>
      <c r="C109" s="35" t="s">
        <v>1283</v>
      </c>
      <c r="D109" s="35"/>
      <c r="E109" s="35" t="s">
        <v>1284</v>
      </c>
      <c r="I109" s="132">
        <v>29</v>
      </c>
      <c r="J109" s="47">
        <v>1</v>
      </c>
      <c r="K109" s="132">
        <f>ROUND(+I109*J109,0)</f>
        <v>29</v>
      </c>
      <c r="M109" s="32"/>
    </row>
    <row r="110" spans="1:13">
      <c r="A110" s="39">
        <v>7</v>
      </c>
      <c r="C110" s="35" t="s">
        <v>1285</v>
      </c>
      <c r="D110" s="35"/>
      <c r="E110" s="35" t="s">
        <v>1286</v>
      </c>
    </row>
    <row r="111" spans="1:13">
      <c r="A111" s="39"/>
      <c r="L111" s="48"/>
    </row>
    <row r="112" spans="1:13">
      <c r="A112" s="39">
        <v>8</v>
      </c>
      <c r="B112" s="34" t="s">
        <v>563</v>
      </c>
      <c r="C112" s="33" t="s">
        <v>560</v>
      </c>
      <c r="E112" s="33" t="s">
        <v>561</v>
      </c>
      <c r="I112" s="132">
        <f>-ROUND((RRCOMB3!M1053/1000),0)</f>
        <v>17</v>
      </c>
      <c r="J112" s="47">
        <f>ROUND(RRCOMB3!H1061,7)</f>
        <v>0.97579289999999996</v>
      </c>
      <c r="K112" s="132">
        <f>ROUND(+I112*J112,0)</f>
        <v>17</v>
      </c>
      <c r="L112" s="48"/>
    </row>
    <row r="113" spans="1:13">
      <c r="A113" s="39">
        <v>9</v>
      </c>
      <c r="E113" s="33" t="s">
        <v>562</v>
      </c>
      <c r="I113" s="132"/>
      <c r="J113" s="47"/>
    </row>
    <row r="114" spans="1:13">
      <c r="A114" s="39"/>
      <c r="L114" s="48"/>
    </row>
    <row r="115" spans="1:13">
      <c r="A115" s="39">
        <v>10</v>
      </c>
      <c r="B115" s="34" t="s">
        <v>565</v>
      </c>
      <c r="C115" s="35" t="s">
        <v>564</v>
      </c>
      <c r="E115" s="35" t="s">
        <v>1300</v>
      </c>
      <c r="I115" s="132">
        <f>ROUND((RRCOMB3!I1681+RRCOMB3!I1724)/1000,0)</f>
        <v>508</v>
      </c>
      <c r="J115" s="47">
        <f>ROUND(K115/I115,7)</f>
        <v>0.9645669</v>
      </c>
      <c r="K115" s="132">
        <f>ROUND((RRCOMB3!I1697+RRCOMB3!I1740)/1000,0)</f>
        <v>490</v>
      </c>
      <c r="M115" s="33"/>
    </row>
    <row r="116" spans="1:13">
      <c r="A116" s="39">
        <v>11</v>
      </c>
      <c r="B116" s="39"/>
      <c r="E116" s="33" t="s">
        <v>242</v>
      </c>
      <c r="I116" s="132"/>
      <c r="J116" s="47"/>
      <c r="K116" s="132"/>
      <c r="L116" s="48"/>
    </row>
    <row r="117" spans="1:13">
      <c r="A117" s="39"/>
    </row>
    <row r="118" spans="1:13">
      <c r="A118" s="39">
        <v>12</v>
      </c>
      <c r="B118" s="34" t="s">
        <v>2966</v>
      </c>
      <c r="C118" s="33" t="s">
        <v>1291</v>
      </c>
      <c r="E118" s="33" t="s">
        <v>1292</v>
      </c>
      <c r="I118" s="132">
        <f>ROUND((RRCOMB3!C1681+RRCOMB3!C1724)/1000,0)</f>
        <v>110</v>
      </c>
      <c r="J118" s="47">
        <v>1</v>
      </c>
      <c r="K118" s="132">
        <f>ROUND(+I118*J118,0)</f>
        <v>110</v>
      </c>
      <c r="L118" s="48"/>
    </row>
    <row r="119" spans="1:13">
      <c r="A119" s="39">
        <v>13</v>
      </c>
      <c r="C119" s="33" t="s">
        <v>1293</v>
      </c>
      <c r="L119" s="48"/>
    </row>
    <row r="120" spans="1:13">
      <c r="A120" s="39"/>
    </row>
    <row r="121" spans="1:13">
      <c r="A121" s="39">
        <v>14</v>
      </c>
      <c r="B121" s="34" t="s">
        <v>2968</v>
      </c>
      <c r="C121" s="35" t="s">
        <v>566</v>
      </c>
      <c r="D121" s="35"/>
      <c r="E121" s="35" t="s">
        <v>1301</v>
      </c>
      <c r="G121" s="35"/>
      <c r="H121" s="35"/>
      <c r="I121" s="132">
        <v>295</v>
      </c>
      <c r="J121" s="47">
        <v>1</v>
      </c>
      <c r="K121" s="132">
        <f>ROUND(+I121*J121,0)</f>
        <v>295</v>
      </c>
      <c r="L121" s="48"/>
    </row>
    <row r="122" spans="1:13">
      <c r="A122" s="39">
        <v>15</v>
      </c>
      <c r="B122" s="39"/>
      <c r="C122" s="35"/>
      <c r="D122" s="35"/>
      <c r="E122" s="33" t="s">
        <v>242</v>
      </c>
      <c r="G122" s="35"/>
      <c r="H122" s="35"/>
      <c r="I122" s="132"/>
      <c r="J122" s="47"/>
      <c r="L122" s="48"/>
      <c r="M122" s="33"/>
    </row>
    <row r="123" spans="1:13">
      <c r="A123" s="39"/>
    </row>
    <row r="124" spans="1:13">
      <c r="A124" s="39"/>
    </row>
    <row r="125" spans="1:13">
      <c r="A125" s="39">
        <v>16</v>
      </c>
      <c r="C125" s="51" t="s">
        <v>502</v>
      </c>
    </row>
    <row r="126" spans="1:13">
      <c r="A126" s="39">
        <v>17</v>
      </c>
      <c r="C126" s="33" t="s">
        <v>503</v>
      </c>
      <c r="D126" s="33" t="s">
        <v>504</v>
      </c>
      <c r="M126" s="33"/>
    </row>
    <row r="127" spans="1:13">
      <c r="A127" s="39">
        <v>18</v>
      </c>
      <c r="C127" s="33" t="s">
        <v>179</v>
      </c>
      <c r="D127" s="33" t="s">
        <v>506</v>
      </c>
    </row>
    <row r="128" spans="1:13">
      <c r="A128" s="39">
        <v>19</v>
      </c>
      <c r="B128" s="49"/>
      <c r="C128" s="33" t="s">
        <v>180</v>
      </c>
      <c r="D128" s="33" t="s">
        <v>508</v>
      </c>
      <c r="E128" s="49"/>
      <c r="F128" s="49"/>
      <c r="G128" s="49"/>
      <c r="H128" s="49"/>
      <c r="I128" s="49"/>
      <c r="J128" s="49"/>
      <c r="K128" s="49"/>
    </row>
    <row r="129" spans="1:13">
      <c r="A129" s="39"/>
      <c r="B129" s="32"/>
      <c r="C129" s="32"/>
      <c r="D129" s="32"/>
      <c r="E129" s="32"/>
      <c r="F129" s="32"/>
      <c r="G129" s="32"/>
      <c r="H129" s="32"/>
      <c r="I129" s="32"/>
      <c r="J129" s="32"/>
      <c r="K129" s="32"/>
    </row>
    <row r="130" spans="1:13">
      <c r="A130" s="43"/>
      <c r="B130" s="59"/>
      <c r="C130" s="63"/>
      <c r="D130" s="59"/>
      <c r="E130" s="59"/>
      <c r="F130" s="59"/>
      <c r="G130" s="59"/>
      <c r="H130" s="59"/>
      <c r="I130" s="59"/>
      <c r="J130" s="59"/>
      <c r="K130" s="59"/>
      <c r="L130" s="59"/>
    </row>
    <row r="131" spans="1:13">
      <c r="A131" s="35" t="s">
        <v>512</v>
      </c>
      <c r="B131" s="35"/>
      <c r="C131" s="35"/>
      <c r="D131" s="35"/>
      <c r="E131" s="35"/>
      <c r="F131" s="35"/>
      <c r="G131" s="35"/>
      <c r="H131" s="35"/>
      <c r="I131" s="35"/>
      <c r="J131" s="35" t="s">
        <v>2962</v>
      </c>
      <c r="K131" s="35"/>
    </row>
    <row r="132" spans="1:13">
      <c r="A132" s="35"/>
      <c r="B132" s="35"/>
      <c r="C132" s="52"/>
      <c r="D132" s="35"/>
      <c r="E132" s="35"/>
      <c r="F132" s="35"/>
      <c r="G132" s="35"/>
      <c r="H132" s="35"/>
      <c r="I132" s="35"/>
      <c r="J132" s="35"/>
      <c r="K132" s="35"/>
      <c r="L132" s="32"/>
    </row>
    <row r="133" spans="1:13" ht="18">
      <c r="A133" s="20" t="s">
        <v>204</v>
      </c>
      <c r="B133" s="20"/>
      <c r="C133" s="20"/>
      <c r="D133" s="21" t="s">
        <v>205</v>
      </c>
      <c r="E133" s="21"/>
      <c r="F133" s="22"/>
      <c r="G133" s="20"/>
      <c r="H133" s="20"/>
      <c r="I133" s="20"/>
      <c r="J133" s="20"/>
      <c r="K133" s="20" t="s">
        <v>1239</v>
      </c>
      <c r="L133" s="22"/>
    </row>
    <row r="134" spans="1:13" ht="18">
      <c r="A134" s="25" t="s">
        <v>73</v>
      </c>
      <c r="B134" s="25"/>
      <c r="C134" s="25"/>
      <c r="D134" s="25"/>
      <c r="E134" s="25" t="s">
        <v>206</v>
      </c>
      <c r="F134" s="24"/>
      <c r="G134" s="25"/>
      <c r="H134" s="25"/>
      <c r="I134" s="26" t="s">
        <v>74</v>
      </c>
      <c r="J134" s="26"/>
      <c r="K134" s="24"/>
      <c r="L134" s="27"/>
    </row>
    <row r="135" spans="1:13" ht="18">
      <c r="A135" s="25"/>
      <c r="B135" s="25"/>
      <c r="C135" s="25"/>
      <c r="D135" s="25"/>
      <c r="E135" s="25" t="s">
        <v>3743</v>
      </c>
      <c r="F135" s="24"/>
      <c r="G135" s="25"/>
      <c r="H135" s="25"/>
      <c r="I135" s="28" t="s">
        <v>2215</v>
      </c>
      <c r="J135" s="28"/>
      <c r="K135" s="24"/>
      <c r="L135" s="27"/>
    </row>
    <row r="136" spans="1:13" ht="18">
      <c r="A136" s="26" t="s">
        <v>75</v>
      </c>
      <c r="B136" s="26"/>
      <c r="C136" s="25"/>
      <c r="D136" s="25"/>
      <c r="E136" s="25" t="s">
        <v>207</v>
      </c>
      <c r="F136" s="25"/>
      <c r="G136" s="25"/>
      <c r="H136" s="25"/>
      <c r="I136" s="28" t="s">
        <v>2153</v>
      </c>
      <c r="J136" s="28"/>
      <c r="K136" s="24"/>
      <c r="L136" s="27"/>
    </row>
    <row r="137" spans="1:13" ht="18">
      <c r="A137" s="26"/>
      <c r="B137" s="26"/>
      <c r="C137" s="25"/>
      <c r="D137" s="25"/>
      <c r="E137" s="25" t="s">
        <v>208</v>
      </c>
      <c r="F137" s="25"/>
      <c r="G137" s="25"/>
      <c r="H137" s="25"/>
      <c r="I137" s="28" t="s">
        <v>2216</v>
      </c>
      <c r="J137" s="28"/>
      <c r="K137" s="24"/>
      <c r="L137" s="27"/>
      <c r="M137" s="32"/>
    </row>
    <row r="138" spans="1:13" ht="18">
      <c r="A138" s="30" t="s">
        <v>76</v>
      </c>
      <c r="B138" s="30"/>
      <c r="C138" s="25"/>
      <c r="D138" s="25"/>
      <c r="E138" s="29" t="s">
        <v>77</v>
      </c>
      <c r="F138" s="25"/>
      <c r="G138" s="25"/>
      <c r="H138" s="25"/>
      <c r="I138" s="30" t="s">
        <v>109</v>
      </c>
      <c r="J138" s="30"/>
      <c r="K138" s="24"/>
      <c r="L138" s="21"/>
      <c r="M138" s="32"/>
    </row>
    <row r="139" spans="1:13" s="24" customFormat="1" ht="18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2"/>
      <c r="M139" s="23"/>
    </row>
    <row r="140" spans="1:13" s="24" customFormat="1" ht="18">
      <c r="A140" s="34" t="s">
        <v>2158</v>
      </c>
      <c r="B140" s="34" t="s">
        <v>2159</v>
      </c>
      <c r="C140" s="34" t="s">
        <v>2160</v>
      </c>
      <c r="D140" s="35"/>
      <c r="E140" s="34" t="s">
        <v>2161</v>
      </c>
      <c r="F140" s="33"/>
      <c r="G140" s="35"/>
      <c r="H140" s="35"/>
      <c r="I140" s="34" t="s">
        <v>2162</v>
      </c>
      <c r="J140" s="34" t="s">
        <v>78</v>
      </c>
      <c r="K140" s="34" t="s">
        <v>79</v>
      </c>
      <c r="L140" s="36"/>
      <c r="M140" s="27"/>
    </row>
    <row r="141" spans="1:13" s="24" customFormat="1" ht="18">
      <c r="A141" s="35"/>
      <c r="B141" s="35"/>
      <c r="C141" s="35"/>
      <c r="D141" s="35"/>
      <c r="E141" s="35"/>
      <c r="F141" s="33"/>
      <c r="G141" s="35"/>
      <c r="H141" s="35"/>
      <c r="I141" s="35"/>
      <c r="J141" s="35"/>
      <c r="K141" s="35"/>
      <c r="L141" s="36"/>
      <c r="M141" s="27"/>
    </row>
    <row r="142" spans="1:13" s="24" customFormat="1" ht="18">
      <c r="A142" s="35"/>
      <c r="B142" s="35"/>
      <c r="C142" s="35"/>
      <c r="D142" s="35"/>
      <c r="E142" s="37" t="s">
        <v>209</v>
      </c>
      <c r="F142" s="33"/>
      <c r="G142" s="38"/>
      <c r="H142" s="35"/>
      <c r="I142" s="35"/>
      <c r="J142" s="35"/>
      <c r="K142" s="35"/>
      <c r="L142" s="36"/>
      <c r="M142" s="27"/>
    </row>
    <row r="143" spans="1:13" s="24" customFormat="1" ht="18">
      <c r="A143" s="39" t="s">
        <v>93</v>
      </c>
      <c r="B143" s="39" t="s">
        <v>210</v>
      </c>
      <c r="C143" s="35"/>
      <c r="D143" s="35"/>
      <c r="E143" s="37" t="s">
        <v>211</v>
      </c>
      <c r="F143" s="33"/>
      <c r="G143" s="38"/>
      <c r="H143" s="35"/>
      <c r="I143" s="39" t="s">
        <v>87</v>
      </c>
      <c r="J143" s="39" t="s">
        <v>88</v>
      </c>
      <c r="K143" s="39" t="s">
        <v>88</v>
      </c>
      <c r="L143" s="36"/>
      <c r="M143" s="27"/>
    </row>
    <row r="144" spans="1:13" s="24" customFormat="1" ht="18">
      <c r="A144" s="40" t="s">
        <v>97</v>
      </c>
      <c r="B144" s="40" t="s">
        <v>97</v>
      </c>
      <c r="C144" s="41" t="s">
        <v>212</v>
      </c>
      <c r="D144" s="41"/>
      <c r="E144" s="42" t="s">
        <v>213</v>
      </c>
      <c r="F144" s="43"/>
      <c r="G144" s="44"/>
      <c r="H144" s="41"/>
      <c r="I144" s="40" t="s">
        <v>110</v>
      </c>
      <c r="J144" s="40" t="s">
        <v>99</v>
      </c>
      <c r="K144" s="40" t="s">
        <v>110</v>
      </c>
      <c r="L144" s="45"/>
      <c r="M144" s="27"/>
    </row>
    <row r="145" spans="1:13">
      <c r="A145" s="35"/>
      <c r="B145" s="32"/>
      <c r="C145" s="32"/>
      <c r="D145" s="32"/>
      <c r="E145" s="32"/>
      <c r="F145" s="62"/>
      <c r="G145" s="62"/>
      <c r="H145" s="32"/>
      <c r="I145" s="36"/>
      <c r="J145" s="36"/>
      <c r="K145" s="36"/>
      <c r="L145" s="36"/>
      <c r="M145" s="32"/>
    </row>
    <row r="146" spans="1:13">
      <c r="A146" s="39">
        <v>1</v>
      </c>
      <c r="C146" s="46" t="s">
        <v>520</v>
      </c>
      <c r="L146" s="48"/>
      <c r="M146" s="32"/>
    </row>
    <row r="147" spans="1:13">
      <c r="A147" s="39">
        <v>2</v>
      </c>
      <c r="B147" s="34" t="s">
        <v>2969</v>
      </c>
      <c r="C147" s="33" t="s">
        <v>1294</v>
      </c>
      <c r="E147" s="33" t="s">
        <v>1295</v>
      </c>
      <c r="I147" s="132">
        <v>8</v>
      </c>
      <c r="J147" s="47">
        <v>1</v>
      </c>
      <c r="K147" s="132">
        <f>ROUND(+I147*J147,0)</f>
        <v>8</v>
      </c>
      <c r="L147" s="48"/>
      <c r="M147" s="32"/>
    </row>
    <row r="148" spans="1:13">
      <c r="A148" s="39">
        <v>3</v>
      </c>
      <c r="C148" s="33" t="s">
        <v>1293</v>
      </c>
      <c r="L148" s="48"/>
      <c r="M148" s="32"/>
    </row>
    <row r="149" spans="1:13">
      <c r="A149" s="39"/>
      <c r="L149" s="48"/>
      <c r="M149" s="32"/>
    </row>
    <row r="150" spans="1:13">
      <c r="A150" s="39">
        <v>4</v>
      </c>
      <c r="B150" s="34" t="s">
        <v>2973</v>
      </c>
      <c r="C150" s="35" t="s">
        <v>3746</v>
      </c>
      <c r="E150" s="33" t="s">
        <v>2967</v>
      </c>
      <c r="I150" s="132">
        <v>424</v>
      </c>
      <c r="J150" s="47">
        <v>1</v>
      </c>
      <c r="K150" s="132">
        <f>ROUND(+I150*J150,0)</f>
        <v>424</v>
      </c>
      <c r="M150" s="32"/>
    </row>
    <row r="151" spans="1:13">
      <c r="A151" s="39"/>
      <c r="B151" s="39"/>
      <c r="I151" s="132"/>
      <c r="J151" s="47"/>
      <c r="M151" s="32"/>
    </row>
    <row r="152" spans="1:13">
      <c r="A152" s="39">
        <v>5</v>
      </c>
      <c r="B152" s="34" t="s">
        <v>2980</v>
      </c>
      <c r="C152" s="35" t="s">
        <v>3748</v>
      </c>
      <c r="E152" s="33" t="s">
        <v>3749</v>
      </c>
      <c r="I152" s="132">
        <v>34</v>
      </c>
      <c r="J152" s="47">
        <v>1</v>
      </c>
      <c r="K152" s="132">
        <f>ROUND(+I152*J152,0)</f>
        <v>34</v>
      </c>
      <c r="M152" s="32"/>
    </row>
    <row r="153" spans="1:13">
      <c r="A153" s="39">
        <v>6</v>
      </c>
      <c r="B153" s="39"/>
      <c r="C153" s="33" t="s">
        <v>3747</v>
      </c>
      <c r="I153" s="132"/>
      <c r="J153" s="47"/>
      <c r="M153" s="32"/>
    </row>
    <row r="155" spans="1:13">
      <c r="A155" s="39">
        <v>7</v>
      </c>
      <c r="B155" s="34" t="s">
        <v>2984</v>
      </c>
      <c r="C155" s="33" t="s">
        <v>2970</v>
      </c>
      <c r="E155" s="33" t="s">
        <v>2971</v>
      </c>
      <c r="I155" s="132">
        <f>ROUND(-RRCOMB3!M1037/1000,0)</f>
        <v>20</v>
      </c>
      <c r="J155" s="47">
        <f>ROUND(RRCOMB3!H1054,7)</f>
        <v>0.97870869999999999</v>
      </c>
      <c r="K155" s="132">
        <f>ROUND(+I155*J155,0)</f>
        <v>20</v>
      </c>
      <c r="L155" s="48"/>
    </row>
    <row r="156" spans="1:13">
      <c r="A156" s="39">
        <v>8</v>
      </c>
      <c r="B156" s="39"/>
      <c r="E156" s="33" t="s">
        <v>2972</v>
      </c>
      <c r="L156" s="48"/>
    </row>
    <row r="157" spans="1:13">
      <c r="A157" s="39"/>
    </row>
    <row r="158" spans="1:13">
      <c r="A158" s="39">
        <v>9</v>
      </c>
      <c r="B158" s="34" t="s">
        <v>2991</v>
      </c>
      <c r="C158" s="33" t="s">
        <v>2974</v>
      </c>
      <c r="E158" s="33" t="s">
        <v>2975</v>
      </c>
      <c r="I158" s="132">
        <f>ROUND(-RRCOMB3!M1044/1000,0)</f>
        <v>10</v>
      </c>
      <c r="J158" s="47">
        <v>1</v>
      </c>
      <c r="K158" s="132">
        <f>ROUND(+I158*J158,0)</f>
        <v>10</v>
      </c>
      <c r="L158" s="48"/>
    </row>
    <row r="159" spans="1:13">
      <c r="A159" s="39">
        <v>10</v>
      </c>
      <c r="E159" s="33" t="s">
        <v>2976</v>
      </c>
      <c r="L159" s="48"/>
    </row>
    <row r="160" spans="1:13">
      <c r="A160" s="39"/>
      <c r="L160" s="48"/>
    </row>
    <row r="161" spans="1:12">
      <c r="A161" s="39">
        <v>11</v>
      </c>
      <c r="B161" s="34" t="s">
        <v>1296</v>
      </c>
      <c r="C161" s="33" t="s">
        <v>2977</v>
      </c>
      <c r="E161" s="33" t="s">
        <v>2978</v>
      </c>
      <c r="I161" s="132">
        <f>ROUND(-RRCOMB3!M1040/1000,0)</f>
        <v>325</v>
      </c>
      <c r="J161" s="47">
        <f>ROUND(RRCOMB3!H1054,7)</f>
        <v>0.97870869999999999</v>
      </c>
      <c r="K161" s="132">
        <f>ROUND(+I161*J161,0)</f>
        <v>318</v>
      </c>
      <c r="L161" s="48"/>
    </row>
    <row r="162" spans="1:12">
      <c r="A162" s="39">
        <v>12</v>
      </c>
      <c r="B162" s="64"/>
      <c r="E162" s="33" t="s">
        <v>2979</v>
      </c>
      <c r="I162" s="132"/>
      <c r="J162" s="47"/>
      <c r="L162" s="48"/>
    </row>
    <row r="163" spans="1:12">
      <c r="A163" s="39"/>
      <c r="L163" s="48"/>
    </row>
    <row r="164" spans="1:12">
      <c r="A164" s="39">
        <v>13</v>
      </c>
      <c r="B164" s="34" t="s">
        <v>2998</v>
      </c>
      <c r="C164" s="33" t="s">
        <v>2981</v>
      </c>
      <c r="E164" s="33" t="s">
        <v>2982</v>
      </c>
      <c r="I164" s="132">
        <f>ROUND(-RRCOMB3!M1035/1000,0)</f>
        <v>9</v>
      </c>
      <c r="J164" s="47">
        <f>ROUND(RRCOMB3!H1054,7)</f>
        <v>0.97870869999999999</v>
      </c>
      <c r="K164" s="132">
        <f>ROUND(+I164*J164,0)</f>
        <v>9</v>
      </c>
    </row>
    <row r="165" spans="1:12">
      <c r="A165" s="39">
        <v>14</v>
      </c>
      <c r="B165" s="39"/>
      <c r="E165" s="33" t="s">
        <v>2983</v>
      </c>
      <c r="J165" s="47"/>
      <c r="K165" s="132"/>
    </row>
    <row r="166" spans="1:12">
      <c r="A166" s="39"/>
      <c r="B166" s="39"/>
      <c r="J166" s="47"/>
    </row>
    <row r="167" spans="1:12">
      <c r="A167" s="39">
        <v>15</v>
      </c>
      <c r="B167" s="34" t="s">
        <v>1231</v>
      </c>
      <c r="C167" s="33" t="s">
        <v>2985</v>
      </c>
      <c r="E167" s="33" t="s">
        <v>2986</v>
      </c>
      <c r="I167" s="132">
        <f>ROUND(-RRCOMB3!M1032/1000,0)</f>
        <v>119</v>
      </c>
      <c r="J167" s="47">
        <f>RRCOMB3!H1114</f>
        <v>1</v>
      </c>
      <c r="K167" s="132">
        <f>ROUND(+I167*J167,0)</f>
        <v>119</v>
      </c>
    </row>
    <row r="168" spans="1:12">
      <c r="A168" s="39">
        <v>16</v>
      </c>
      <c r="B168" s="39"/>
      <c r="E168" s="33" t="s">
        <v>2987</v>
      </c>
      <c r="I168" s="132"/>
      <c r="J168" s="47"/>
      <c r="K168" s="132"/>
    </row>
    <row r="169" spans="1:12">
      <c r="A169" s="39"/>
    </row>
    <row r="170" spans="1:12">
      <c r="A170" s="39">
        <v>17</v>
      </c>
      <c r="C170" s="51" t="s">
        <v>502</v>
      </c>
      <c r="L170" s="48"/>
    </row>
    <row r="171" spans="1:12">
      <c r="A171" s="39">
        <v>18</v>
      </c>
      <c r="C171" s="33" t="s">
        <v>503</v>
      </c>
      <c r="D171" s="33" t="s">
        <v>504</v>
      </c>
      <c r="L171" s="48"/>
    </row>
    <row r="172" spans="1:12">
      <c r="A172" s="39">
        <v>19</v>
      </c>
      <c r="C172" s="33" t="s">
        <v>179</v>
      </c>
      <c r="D172" s="33" t="s">
        <v>506</v>
      </c>
      <c r="L172" s="48"/>
    </row>
    <row r="173" spans="1:12">
      <c r="A173" s="39">
        <v>20</v>
      </c>
      <c r="C173" s="33" t="s">
        <v>180</v>
      </c>
      <c r="D173" s="33" t="s">
        <v>508</v>
      </c>
      <c r="L173" s="48"/>
    </row>
    <row r="174" spans="1:12">
      <c r="A174" s="65"/>
      <c r="B174" s="45"/>
      <c r="C174" s="43"/>
      <c r="D174" s="43"/>
      <c r="E174" s="43"/>
      <c r="F174" s="43"/>
      <c r="G174" s="43"/>
      <c r="H174" s="43"/>
      <c r="I174" s="66"/>
      <c r="J174" s="67"/>
      <c r="K174" s="66"/>
      <c r="L174" s="66"/>
    </row>
    <row r="175" spans="1:12">
      <c r="A175" s="35" t="s">
        <v>512</v>
      </c>
      <c r="B175" s="35"/>
      <c r="C175" s="35"/>
      <c r="D175" s="35"/>
      <c r="E175" s="35"/>
      <c r="F175" s="35"/>
      <c r="G175" s="35"/>
      <c r="H175" s="35"/>
      <c r="I175" s="35"/>
      <c r="J175" s="35" t="s">
        <v>2962</v>
      </c>
      <c r="K175" s="35"/>
    </row>
    <row r="176" spans="1:12">
      <c r="A176" s="35"/>
      <c r="B176" s="35"/>
      <c r="C176" s="52"/>
      <c r="D176" s="35"/>
      <c r="E176" s="35"/>
      <c r="F176" s="35"/>
      <c r="G176" s="35"/>
      <c r="H176" s="35"/>
      <c r="I176" s="35"/>
      <c r="J176" s="35"/>
      <c r="K176" s="35"/>
      <c r="L176" s="32"/>
    </row>
    <row r="177" spans="1:13" ht="18">
      <c r="A177" s="20" t="s">
        <v>204</v>
      </c>
      <c r="B177" s="20"/>
      <c r="C177" s="20"/>
      <c r="D177" s="21" t="s">
        <v>205</v>
      </c>
      <c r="E177" s="21"/>
      <c r="F177" s="22"/>
      <c r="G177" s="20"/>
      <c r="H177" s="20"/>
      <c r="I177" s="20"/>
      <c r="J177" s="20"/>
      <c r="K177" s="20" t="s">
        <v>1240</v>
      </c>
      <c r="L177" s="22"/>
    </row>
    <row r="178" spans="1:13" ht="18">
      <c r="A178" s="25" t="s">
        <v>73</v>
      </c>
      <c r="B178" s="25"/>
      <c r="C178" s="25"/>
      <c r="D178" s="25"/>
      <c r="E178" s="25" t="s">
        <v>206</v>
      </c>
      <c r="F178" s="24"/>
      <c r="G178" s="25"/>
      <c r="H178" s="25"/>
      <c r="I178" s="26" t="s">
        <v>74</v>
      </c>
      <c r="J178" s="26"/>
      <c r="K178" s="24"/>
      <c r="L178" s="27"/>
    </row>
    <row r="179" spans="1:13" ht="18">
      <c r="A179" s="25"/>
      <c r="B179" s="25"/>
      <c r="C179" s="25"/>
      <c r="D179" s="25"/>
      <c r="E179" s="25" t="s">
        <v>3743</v>
      </c>
      <c r="F179" s="24"/>
      <c r="G179" s="25"/>
      <c r="H179" s="25"/>
      <c r="I179" s="28" t="s">
        <v>2215</v>
      </c>
      <c r="J179" s="28"/>
      <c r="K179" s="24"/>
      <c r="L179" s="27"/>
    </row>
    <row r="180" spans="1:13" ht="18">
      <c r="A180" s="26" t="s">
        <v>75</v>
      </c>
      <c r="B180" s="26"/>
      <c r="C180" s="25"/>
      <c r="D180" s="25"/>
      <c r="E180" s="25" t="s">
        <v>207</v>
      </c>
      <c r="F180" s="25"/>
      <c r="G180" s="25"/>
      <c r="H180" s="25"/>
      <c r="I180" s="28" t="s">
        <v>2153</v>
      </c>
      <c r="J180" s="28"/>
      <c r="K180" s="24"/>
      <c r="L180" s="27"/>
    </row>
    <row r="181" spans="1:13" ht="18">
      <c r="A181" s="26"/>
      <c r="B181" s="26"/>
      <c r="C181" s="25"/>
      <c r="D181" s="25"/>
      <c r="E181" s="25" t="s">
        <v>208</v>
      </c>
      <c r="F181" s="25"/>
      <c r="G181" s="25"/>
      <c r="H181" s="25"/>
      <c r="I181" s="28" t="s">
        <v>2216</v>
      </c>
      <c r="J181" s="28"/>
      <c r="K181" s="24"/>
      <c r="L181" s="27"/>
    </row>
    <row r="182" spans="1:13" ht="18">
      <c r="A182" s="30" t="s">
        <v>76</v>
      </c>
      <c r="B182" s="30"/>
      <c r="C182" s="25"/>
      <c r="D182" s="25"/>
      <c r="E182" s="29" t="s">
        <v>77</v>
      </c>
      <c r="F182" s="25"/>
      <c r="G182" s="25"/>
      <c r="H182" s="25"/>
      <c r="I182" s="30" t="s">
        <v>109</v>
      </c>
      <c r="J182" s="30"/>
      <c r="K182" s="24"/>
      <c r="L182" s="21"/>
    </row>
    <row r="183" spans="1:1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2"/>
      <c r="M183" s="32"/>
    </row>
    <row r="184" spans="1:13">
      <c r="A184" s="34" t="s">
        <v>2158</v>
      </c>
      <c r="B184" s="34" t="s">
        <v>2159</v>
      </c>
      <c r="C184" s="34" t="s">
        <v>2160</v>
      </c>
      <c r="D184" s="35"/>
      <c r="E184" s="34" t="s">
        <v>2161</v>
      </c>
      <c r="G184" s="35"/>
      <c r="H184" s="35"/>
      <c r="I184" s="34" t="s">
        <v>2162</v>
      </c>
      <c r="J184" s="34" t="s">
        <v>78</v>
      </c>
      <c r="K184" s="34" t="s">
        <v>79</v>
      </c>
      <c r="L184" s="36"/>
      <c r="M184" s="32"/>
    </row>
    <row r="185" spans="1:13" s="24" customFormat="1" ht="18">
      <c r="A185" s="35"/>
      <c r="B185" s="35"/>
      <c r="C185" s="35"/>
      <c r="D185" s="35"/>
      <c r="E185" s="35"/>
      <c r="F185" s="33"/>
      <c r="G185" s="35"/>
      <c r="H185" s="35"/>
      <c r="I185" s="35"/>
      <c r="J185" s="35"/>
      <c r="K185" s="35"/>
      <c r="L185" s="36"/>
      <c r="M185" s="23"/>
    </row>
    <row r="186" spans="1:13" s="24" customFormat="1" ht="18">
      <c r="A186" s="35"/>
      <c r="B186" s="35"/>
      <c r="C186" s="35"/>
      <c r="D186" s="35"/>
      <c r="E186" s="37" t="s">
        <v>209</v>
      </c>
      <c r="F186" s="33"/>
      <c r="G186" s="38"/>
      <c r="H186" s="35"/>
      <c r="I186" s="35"/>
      <c r="J186" s="35"/>
      <c r="K186" s="35"/>
      <c r="L186" s="36"/>
      <c r="M186" s="27"/>
    </row>
    <row r="187" spans="1:13" s="24" customFormat="1" ht="18">
      <c r="A187" s="39" t="s">
        <v>93</v>
      </c>
      <c r="B187" s="39" t="s">
        <v>210</v>
      </c>
      <c r="C187" s="35"/>
      <c r="D187" s="35"/>
      <c r="E187" s="37" t="s">
        <v>211</v>
      </c>
      <c r="F187" s="33"/>
      <c r="G187" s="38"/>
      <c r="H187" s="35"/>
      <c r="I187" s="39" t="s">
        <v>87</v>
      </c>
      <c r="J187" s="39" t="s">
        <v>88</v>
      </c>
      <c r="K187" s="39" t="s">
        <v>88</v>
      </c>
      <c r="L187" s="36"/>
      <c r="M187" s="27"/>
    </row>
    <row r="188" spans="1:13" s="24" customFormat="1" ht="18">
      <c r="A188" s="40" t="s">
        <v>97</v>
      </c>
      <c r="B188" s="40" t="s">
        <v>97</v>
      </c>
      <c r="C188" s="41" t="s">
        <v>212</v>
      </c>
      <c r="D188" s="41"/>
      <c r="E188" s="42" t="s">
        <v>213</v>
      </c>
      <c r="F188" s="43"/>
      <c r="G188" s="44"/>
      <c r="H188" s="41"/>
      <c r="I188" s="40" t="s">
        <v>110</v>
      </c>
      <c r="J188" s="40" t="s">
        <v>99</v>
      </c>
      <c r="K188" s="40" t="s">
        <v>110</v>
      </c>
      <c r="L188" s="45"/>
      <c r="M188" s="27"/>
    </row>
    <row r="189" spans="1:13" s="24" customFormat="1" ht="18">
      <c r="A189" s="35"/>
      <c r="B189" s="32"/>
      <c r="C189" s="32"/>
      <c r="D189" s="32"/>
      <c r="E189" s="32"/>
      <c r="F189" s="62"/>
      <c r="G189" s="62"/>
      <c r="H189" s="32"/>
      <c r="I189" s="36"/>
      <c r="J189" s="36"/>
      <c r="K189" s="36"/>
      <c r="L189" s="36"/>
      <c r="M189" s="27"/>
    </row>
    <row r="190" spans="1:13" s="24" customFormat="1" ht="18">
      <c r="A190" s="39">
        <v>1</v>
      </c>
      <c r="C190" s="46" t="s">
        <v>520</v>
      </c>
      <c r="L190" s="36"/>
      <c r="M190" s="27"/>
    </row>
    <row r="191" spans="1:13">
      <c r="A191" s="39">
        <v>2</v>
      </c>
      <c r="B191" s="34" t="s">
        <v>1287</v>
      </c>
      <c r="C191" s="33" t="s">
        <v>2988</v>
      </c>
      <c r="E191" s="33" t="s">
        <v>2989</v>
      </c>
      <c r="I191" s="69">
        <f>ROUND(-(RRCOMB3!M1033+RRCOMB3!M1034)/1000,0)</f>
        <v>40</v>
      </c>
      <c r="J191" s="47">
        <f>RRCOMB3!H1114</f>
        <v>1</v>
      </c>
      <c r="K191" s="132">
        <f>ROUND(+I191*J191,0)</f>
        <v>40</v>
      </c>
      <c r="L191" s="48"/>
      <c r="M191" s="32"/>
    </row>
    <row r="192" spans="1:13">
      <c r="A192" s="39">
        <v>3</v>
      </c>
      <c r="E192" s="33" t="s">
        <v>2963</v>
      </c>
      <c r="I192" s="132"/>
      <c r="L192" s="48"/>
      <c r="M192" s="32"/>
    </row>
    <row r="193" spans="1:15">
      <c r="A193" s="39"/>
      <c r="L193" s="48"/>
      <c r="M193" s="32"/>
    </row>
    <row r="194" spans="1:15">
      <c r="A194" s="39">
        <v>4</v>
      </c>
      <c r="B194" s="34" t="s">
        <v>1288</v>
      </c>
      <c r="C194" s="33" t="s">
        <v>2990</v>
      </c>
      <c r="E194" s="33" t="s">
        <v>2964</v>
      </c>
      <c r="I194" s="69">
        <f>ROUND(-RRCOMB3!M1038/1000,0)</f>
        <v>1</v>
      </c>
      <c r="J194" s="116">
        <f>ROUND(RRCOMB3!H1054,7)</f>
        <v>0.97870869999999999</v>
      </c>
      <c r="K194" s="132">
        <f>ROUND(+I194*J194,0)</f>
        <v>1</v>
      </c>
      <c r="L194" s="48"/>
      <c r="M194" s="32">
        <f>ROUND(-RRCOMB3!E1063/1000,0)+1</f>
        <v>35350</v>
      </c>
      <c r="N194" s="118" t="s">
        <v>1234</v>
      </c>
    </row>
    <row r="195" spans="1:15">
      <c r="A195" s="39">
        <v>5</v>
      </c>
      <c r="E195" s="33" t="s">
        <v>2965</v>
      </c>
      <c r="I195" s="132"/>
      <c r="L195" s="48"/>
      <c r="M195" s="32"/>
    </row>
    <row r="196" spans="1:15">
      <c r="A196" s="39"/>
      <c r="L196" s="48"/>
      <c r="M196" s="32"/>
    </row>
    <row r="197" spans="1:15">
      <c r="A197" s="39">
        <v>6</v>
      </c>
      <c r="B197" s="34" t="s">
        <v>1289</v>
      </c>
      <c r="C197" s="33" t="s">
        <v>2992</v>
      </c>
      <c r="E197" s="33" t="s">
        <v>2993</v>
      </c>
      <c r="I197" s="132">
        <f>ROUND(-RRCOMB3!M1031/1000,0)</f>
        <v>237</v>
      </c>
      <c r="J197" s="47">
        <v>1</v>
      </c>
      <c r="K197" s="132">
        <f>ROUND(+I197*J197,0)</f>
        <v>237</v>
      </c>
      <c r="L197" s="48"/>
      <c r="M197" s="32">
        <f>ROUND(-RRCOMB3!E1064/1000,0)</f>
        <v>-6495</v>
      </c>
      <c r="N197" s="118" t="s">
        <v>1235</v>
      </c>
    </row>
    <row r="198" spans="1:15">
      <c r="A198" s="39">
        <v>7</v>
      </c>
      <c r="E198" s="33" t="s">
        <v>2994</v>
      </c>
      <c r="I198" s="132"/>
      <c r="J198" s="47"/>
      <c r="K198" s="132"/>
      <c r="L198" s="48"/>
    </row>
    <row r="199" spans="1:15">
      <c r="A199" s="39"/>
      <c r="J199" s="47"/>
      <c r="K199" s="132"/>
      <c r="L199" s="48"/>
      <c r="N199" s="431" t="e">
        <f>I207+SUM(#REF!)/1000+SUM(#REF!)/1000</f>
        <v>#REF!</v>
      </c>
      <c r="O199" s="432" t="s">
        <v>142</v>
      </c>
    </row>
    <row r="200" spans="1:15">
      <c r="A200" s="39">
        <v>8</v>
      </c>
      <c r="B200" s="34" t="s">
        <v>1290</v>
      </c>
      <c r="C200" s="33" t="s">
        <v>2995</v>
      </c>
      <c r="E200" s="33" t="s">
        <v>2996</v>
      </c>
      <c r="I200" s="132">
        <f>-ROUND(SUM(I15:I198)*0.38575,0)</f>
        <v>35350</v>
      </c>
      <c r="J200" s="119"/>
      <c r="K200" s="132">
        <f>-ROUND(SUM(K15:K198)*0.38575,0)</f>
        <v>34918</v>
      </c>
      <c r="L200" s="48"/>
    </row>
    <row r="201" spans="1:15">
      <c r="A201" s="39">
        <v>9</v>
      </c>
      <c r="B201" s="39"/>
      <c r="E201" s="33" t="s">
        <v>2997</v>
      </c>
      <c r="I201" s="132"/>
      <c r="J201" s="119"/>
      <c r="K201" s="132"/>
      <c r="L201" s="48"/>
    </row>
    <row r="202" spans="1:15">
      <c r="A202" s="39"/>
      <c r="J202" s="120"/>
      <c r="L202" s="48"/>
    </row>
    <row r="203" spans="1:15">
      <c r="A203" s="39">
        <v>10</v>
      </c>
      <c r="B203" s="34" t="s">
        <v>1297</v>
      </c>
      <c r="C203" s="33" t="s">
        <v>2999</v>
      </c>
      <c r="E203" s="33" t="s">
        <v>3000</v>
      </c>
      <c r="I203" s="66">
        <f>-ROUND(RRCOMB3!G1064/1000,0)</f>
        <v>-6495</v>
      </c>
      <c r="J203" s="119"/>
      <c r="K203" s="66">
        <f>-ROUND(RRCOMB3!I1064/1000,0)</f>
        <v>-6086</v>
      </c>
      <c r="L203" s="48"/>
    </row>
    <row r="204" spans="1:15">
      <c r="A204" s="39">
        <v>11</v>
      </c>
      <c r="E204" s="33" t="s">
        <v>3001</v>
      </c>
      <c r="L204" s="48"/>
    </row>
    <row r="205" spans="1:15">
      <c r="A205" s="39"/>
      <c r="L205" s="48"/>
    </row>
    <row r="206" spans="1:15">
      <c r="A206" s="39"/>
      <c r="I206" s="48"/>
      <c r="J206" s="121"/>
      <c r="K206" s="48"/>
      <c r="L206" s="48"/>
    </row>
    <row r="207" spans="1:15" ht="17.25" thickBot="1">
      <c r="A207" s="39">
        <v>12</v>
      </c>
      <c r="C207" s="33" t="s">
        <v>113</v>
      </c>
      <c r="I207" s="68">
        <f>SUM(I15:I206)</f>
        <v>-62784</v>
      </c>
      <c r="J207" s="47"/>
      <c r="K207" s="68">
        <f>SUM(K15:K206)</f>
        <v>-61686.589900999999</v>
      </c>
    </row>
    <row r="208" spans="1:15" ht="17.25" thickTop="1"/>
    <row r="209" spans="1:12">
      <c r="A209" s="39">
        <v>13</v>
      </c>
      <c r="B209" s="34"/>
      <c r="C209" s="11" t="s">
        <v>3002</v>
      </c>
      <c r="I209" s="48"/>
      <c r="J209" s="47"/>
      <c r="K209" s="132"/>
    </row>
    <row r="210" spans="1:12">
      <c r="A210" s="39">
        <v>14</v>
      </c>
      <c r="B210" s="34"/>
      <c r="C210" s="33" t="s">
        <v>3003</v>
      </c>
      <c r="J210" s="47"/>
      <c r="K210" s="132"/>
      <c r="L210" s="48"/>
    </row>
    <row r="211" spans="1:12">
      <c r="A211" s="39"/>
      <c r="B211" s="39"/>
      <c r="I211" s="48"/>
      <c r="J211" s="433"/>
      <c r="K211" s="132"/>
      <c r="L211" s="48"/>
    </row>
    <row r="212" spans="1:12">
      <c r="A212" s="39"/>
      <c r="B212" s="39"/>
      <c r="I212" s="48"/>
      <c r="J212" s="433"/>
      <c r="K212" s="132"/>
      <c r="L212" s="48"/>
    </row>
    <row r="213" spans="1:12">
      <c r="A213" s="39">
        <v>15</v>
      </c>
      <c r="B213" s="39"/>
      <c r="C213" s="51" t="s">
        <v>502</v>
      </c>
      <c r="I213" s="48"/>
      <c r="J213" s="433"/>
      <c r="K213" s="132"/>
      <c r="L213" s="48"/>
    </row>
    <row r="214" spans="1:12">
      <c r="A214" s="39">
        <v>16</v>
      </c>
      <c r="B214" s="39"/>
      <c r="C214" s="33" t="s">
        <v>503</v>
      </c>
      <c r="D214" s="33" t="s">
        <v>504</v>
      </c>
      <c r="I214" s="48"/>
      <c r="J214" s="433"/>
      <c r="K214" s="132"/>
      <c r="L214" s="48"/>
    </row>
    <row r="215" spans="1:12">
      <c r="A215" s="39">
        <v>17</v>
      </c>
      <c r="B215" s="39"/>
      <c r="C215" s="33" t="s">
        <v>179</v>
      </c>
      <c r="D215" s="33" t="s">
        <v>506</v>
      </c>
      <c r="I215" s="48"/>
      <c r="J215" s="433"/>
      <c r="K215" s="132"/>
      <c r="L215" s="48"/>
    </row>
    <row r="216" spans="1:12">
      <c r="A216" s="39">
        <v>18</v>
      </c>
      <c r="B216" s="39"/>
      <c r="C216" s="33" t="s">
        <v>180</v>
      </c>
      <c r="D216" s="33" t="s">
        <v>508</v>
      </c>
      <c r="I216" s="48"/>
      <c r="J216" s="433"/>
      <c r="K216" s="132"/>
      <c r="L216" s="48"/>
    </row>
    <row r="217" spans="1:12">
      <c r="A217" s="36"/>
      <c r="B217" s="39"/>
      <c r="I217" s="48"/>
      <c r="J217" s="433"/>
      <c r="K217" s="132"/>
      <c r="L217" s="48"/>
    </row>
    <row r="218" spans="1:12">
      <c r="A218" s="45"/>
      <c r="B218" s="45"/>
      <c r="C218" s="43"/>
      <c r="D218" s="43"/>
      <c r="E218" s="43"/>
      <c r="F218" s="43"/>
      <c r="G218" s="43"/>
      <c r="H218" s="43"/>
      <c r="I218" s="66"/>
      <c r="J218" s="434"/>
      <c r="K218" s="66"/>
      <c r="L218" s="66"/>
    </row>
    <row r="219" spans="1:12">
      <c r="A219" s="35" t="s">
        <v>512</v>
      </c>
      <c r="B219" s="35"/>
      <c r="C219" s="35"/>
      <c r="D219" s="35"/>
      <c r="E219" s="35"/>
      <c r="F219" s="35"/>
      <c r="G219" s="35"/>
      <c r="H219" s="35"/>
      <c r="I219" s="35"/>
      <c r="J219" s="35" t="s">
        <v>2962</v>
      </c>
      <c r="K219" s="35"/>
    </row>
    <row r="220" spans="1:12">
      <c r="A220" s="35"/>
      <c r="B220" s="35"/>
      <c r="C220" s="52"/>
      <c r="D220" s="35"/>
      <c r="E220" s="35"/>
      <c r="F220" s="35"/>
      <c r="G220" s="35"/>
      <c r="H220" s="35"/>
      <c r="I220" s="35"/>
      <c r="J220" s="35"/>
      <c r="K220" s="35"/>
      <c r="L220" s="32"/>
    </row>
    <row r="221" spans="1:12" ht="18">
      <c r="A221" s="20" t="s">
        <v>204</v>
      </c>
      <c r="B221" s="20"/>
      <c r="C221" s="20"/>
      <c r="D221" s="21" t="s">
        <v>205</v>
      </c>
      <c r="E221" s="21"/>
      <c r="F221" s="22"/>
      <c r="G221" s="20"/>
      <c r="H221" s="20"/>
      <c r="I221" s="20"/>
      <c r="J221" s="20"/>
      <c r="K221" s="20" t="s">
        <v>1241</v>
      </c>
      <c r="L221" s="22"/>
    </row>
    <row r="222" spans="1:12" ht="18">
      <c r="A222" s="25" t="s">
        <v>73</v>
      </c>
      <c r="B222" s="25"/>
      <c r="C222" s="25"/>
      <c r="D222" s="25"/>
      <c r="E222" s="25" t="s">
        <v>206</v>
      </c>
      <c r="F222" s="24"/>
      <c r="G222" s="25"/>
      <c r="H222" s="25"/>
      <c r="I222" s="26" t="s">
        <v>74</v>
      </c>
      <c r="J222" s="26"/>
      <c r="K222" s="24"/>
      <c r="L222" s="27"/>
    </row>
    <row r="223" spans="1:12" ht="18">
      <c r="A223" s="25"/>
      <c r="B223" s="25"/>
      <c r="C223" s="25"/>
      <c r="D223" s="25"/>
      <c r="E223" s="25" t="s">
        <v>3743</v>
      </c>
      <c r="F223" s="24"/>
      <c r="G223" s="25"/>
      <c r="H223" s="25"/>
      <c r="I223" s="28" t="s">
        <v>2215</v>
      </c>
      <c r="J223" s="28"/>
      <c r="K223" s="24"/>
      <c r="L223" s="27"/>
    </row>
    <row r="224" spans="1:12" ht="18">
      <c r="A224" s="26" t="s">
        <v>75</v>
      </c>
      <c r="B224" s="26"/>
      <c r="C224" s="25"/>
      <c r="D224" s="25"/>
      <c r="E224" s="25" t="s">
        <v>207</v>
      </c>
      <c r="F224" s="25"/>
      <c r="G224" s="25"/>
      <c r="H224" s="25"/>
      <c r="I224" s="28" t="s">
        <v>2153</v>
      </c>
      <c r="J224" s="28"/>
      <c r="K224" s="24"/>
      <c r="L224" s="27"/>
    </row>
    <row r="225" spans="1:13" ht="18">
      <c r="A225" s="26"/>
      <c r="B225" s="26"/>
      <c r="C225" s="25"/>
      <c r="D225" s="25"/>
      <c r="E225" s="25" t="s">
        <v>208</v>
      </c>
      <c r="F225" s="25"/>
      <c r="G225" s="25"/>
      <c r="H225" s="25"/>
      <c r="I225" s="28" t="s">
        <v>2216</v>
      </c>
      <c r="J225" s="28"/>
      <c r="K225" s="24"/>
      <c r="L225" s="27"/>
    </row>
    <row r="226" spans="1:13" ht="18">
      <c r="A226" s="30" t="s">
        <v>76</v>
      </c>
      <c r="B226" s="30"/>
      <c r="C226" s="25"/>
      <c r="D226" s="25"/>
      <c r="E226" s="29"/>
      <c r="F226" s="25"/>
      <c r="G226" s="25"/>
      <c r="H226" s="25"/>
      <c r="I226" s="30" t="s">
        <v>109</v>
      </c>
      <c r="J226" s="30"/>
      <c r="K226" s="24"/>
      <c r="L226" s="21"/>
    </row>
    <row r="227" spans="1:1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2"/>
      <c r="M227" s="32"/>
    </row>
    <row r="228" spans="1:13">
      <c r="A228" s="34" t="s">
        <v>2158</v>
      </c>
      <c r="B228" s="34" t="s">
        <v>2159</v>
      </c>
      <c r="C228" s="34" t="s">
        <v>2160</v>
      </c>
      <c r="D228" s="35"/>
      <c r="E228" s="34" t="s">
        <v>2161</v>
      </c>
      <c r="G228" s="35"/>
      <c r="H228" s="35"/>
      <c r="I228" s="34"/>
      <c r="J228" s="34"/>
      <c r="K228" s="34"/>
      <c r="L228" s="36"/>
      <c r="M228" s="32"/>
    </row>
    <row r="229" spans="1:13" s="24" customFormat="1" ht="18">
      <c r="A229" s="35"/>
      <c r="B229" s="35"/>
      <c r="C229" s="35"/>
      <c r="D229" s="35"/>
      <c r="E229" s="35"/>
      <c r="F229" s="33"/>
      <c r="G229" s="35"/>
      <c r="H229" s="35"/>
      <c r="I229" s="35"/>
      <c r="J229" s="35"/>
      <c r="K229" s="35"/>
      <c r="L229" s="36"/>
      <c r="M229" s="23"/>
    </row>
    <row r="230" spans="1:13" s="24" customFormat="1" ht="18">
      <c r="A230" s="35"/>
      <c r="B230" s="35"/>
      <c r="C230" s="35"/>
      <c r="D230" s="35"/>
      <c r="E230" s="37"/>
      <c r="F230" s="33"/>
      <c r="G230" s="38"/>
      <c r="H230" s="35"/>
      <c r="I230" s="35"/>
      <c r="J230" s="35"/>
      <c r="K230" s="35"/>
      <c r="L230" s="36"/>
      <c r="M230" s="27"/>
    </row>
    <row r="231" spans="1:13" s="24" customFormat="1" ht="18">
      <c r="A231" s="39" t="s">
        <v>93</v>
      </c>
      <c r="B231" s="39" t="s">
        <v>1242</v>
      </c>
      <c r="C231" s="35"/>
      <c r="D231" s="35"/>
      <c r="E231" s="37"/>
      <c r="F231" s="33"/>
      <c r="G231" s="38"/>
      <c r="H231" s="35"/>
      <c r="I231" s="39"/>
      <c r="J231" s="39"/>
      <c r="K231" s="39"/>
      <c r="L231" s="36"/>
      <c r="M231" s="27"/>
    </row>
    <row r="232" spans="1:13" s="24" customFormat="1" ht="18">
      <c r="A232" s="40" t="s">
        <v>97</v>
      </c>
      <c r="B232" s="40" t="s">
        <v>97</v>
      </c>
      <c r="C232" s="41" t="s">
        <v>1243</v>
      </c>
      <c r="D232" s="22"/>
      <c r="E232" s="43" t="s">
        <v>1244</v>
      </c>
      <c r="F232" s="22"/>
      <c r="G232" s="44"/>
      <c r="H232" s="41"/>
      <c r="I232" s="40"/>
      <c r="J232" s="40"/>
      <c r="K232" s="40"/>
      <c r="L232" s="45"/>
      <c r="M232" s="27"/>
    </row>
    <row r="233" spans="1:13" s="24" customFormat="1" ht="18">
      <c r="A233" s="35"/>
      <c r="B233" s="32"/>
      <c r="C233" s="32"/>
      <c r="D233" s="32"/>
      <c r="E233" s="32"/>
      <c r="F233" s="62"/>
      <c r="G233" s="62"/>
      <c r="H233" s="32"/>
      <c r="I233" s="36"/>
      <c r="J233" s="36"/>
      <c r="K233" s="36"/>
      <c r="L233" s="36"/>
      <c r="M233" s="27"/>
    </row>
    <row r="234" spans="1:13" s="24" customFormat="1" ht="18">
      <c r="A234" s="39">
        <v>1</v>
      </c>
      <c r="B234" s="33"/>
      <c r="C234" s="46" t="s">
        <v>1245</v>
      </c>
      <c r="D234" s="33"/>
      <c r="E234" s="33"/>
      <c r="F234" s="33"/>
      <c r="G234" s="33"/>
      <c r="H234" s="33"/>
      <c r="I234" s="33"/>
      <c r="J234" s="33"/>
      <c r="K234" s="33"/>
      <c r="L234" s="36"/>
      <c r="M234" s="27"/>
    </row>
    <row r="235" spans="1:13">
      <c r="A235" s="39"/>
      <c r="I235" s="132"/>
      <c r="J235" s="47"/>
      <c r="K235" s="132"/>
      <c r="L235" s="48"/>
      <c r="M235" s="32"/>
    </row>
    <row r="236" spans="1:13">
      <c r="A236" s="39">
        <v>2</v>
      </c>
      <c r="B236" s="34">
        <v>1</v>
      </c>
      <c r="C236" s="33" t="s">
        <v>1274</v>
      </c>
      <c r="E236" s="33" t="s">
        <v>1273</v>
      </c>
      <c r="I236" s="132"/>
      <c r="J236" s="47"/>
      <c r="K236" s="132"/>
      <c r="L236" s="48"/>
      <c r="M236" s="32"/>
    </row>
    <row r="237" spans="1:13">
      <c r="A237" s="39"/>
      <c r="J237" s="47"/>
      <c r="K237" s="132"/>
      <c r="L237" s="48"/>
      <c r="M237" s="32"/>
    </row>
    <row r="238" spans="1:13">
      <c r="A238" s="39">
        <v>3</v>
      </c>
      <c r="B238" s="34">
        <v>2</v>
      </c>
      <c r="C238" s="33" t="s">
        <v>1272</v>
      </c>
      <c r="E238" s="33" t="s">
        <v>1273</v>
      </c>
      <c r="I238" s="132"/>
      <c r="L238" s="48"/>
      <c r="M238" s="32"/>
    </row>
    <row r="239" spans="1:13">
      <c r="A239" s="39"/>
      <c r="B239" s="34"/>
      <c r="L239" s="48"/>
      <c r="M239" s="32"/>
    </row>
    <row r="240" spans="1:13">
      <c r="A240" s="39">
        <v>4</v>
      </c>
      <c r="B240" s="34">
        <v>3</v>
      </c>
      <c r="C240" s="33" t="s">
        <v>1271</v>
      </c>
      <c r="E240" s="33" t="s">
        <v>1273</v>
      </c>
      <c r="L240" s="48"/>
      <c r="M240" s="32"/>
    </row>
    <row r="241" spans="1:15">
      <c r="A241" s="39"/>
      <c r="B241" s="34"/>
      <c r="I241" s="132"/>
      <c r="J241" s="119"/>
      <c r="K241" s="132"/>
      <c r="L241" s="48"/>
      <c r="M241" s="32"/>
      <c r="N241" s="118"/>
    </row>
    <row r="242" spans="1:15">
      <c r="A242" s="39">
        <v>5</v>
      </c>
      <c r="B242" s="34">
        <v>4</v>
      </c>
      <c r="C242" s="33" t="s">
        <v>1275</v>
      </c>
      <c r="E242" s="33" t="s">
        <v>1273</v>
      </c>
      <c r="I242" s="132"/>
      <c r="J242" s="119"/>
      <c r="K242" s="132"/>
      <c r="L242" s="48"/>
      <c r="M242" s="32"/>
    </row>
    <row r="243" spans="1:15">
      <c r="A243" s="39"/>
      <c r="B243" s="34"/>
      <c r="J243" s="120"/>
      <c r="L243" s="48"/>
      <c r="M243" s="32"/>
    </row>
    <row r="244" spans="1:15">
      <c r="A244" s="39">
        <v>6</v>
      </c>
      <c r="B244" s="34">
        <v>5</v>
      </c>
      <c r="C244" s="33" t="s">
        <v>1270</v>
      </c>
      <c r="E244" s="33" t="s">
        <v>1273</v>
      </c>
      <c r="I244" s="132"/>
      <c r="J244" s="119"/>
      <c r="K244" s="132"/>
      <c r="L244" s="48"/>
      <c r="M244" s="32"/>
      <c r="N244" s="118"/>
    </row>
    <row r="245" spans="1:15">
      <c r="A245" s="39"/>
      <c r="B245" s="34"/>
      <c r="L245" s="48"/>
    </row>
    <row r="246" spans="1:15">
      <c r="A246" s="39">
        <v>7</v>
      </c>
      <c r="B246" s="34">
        <v>6</v>
      </c>
      <c r="C246" s="33" t="s">
        <v>3745</v>
      </c>
      <c r="E246" s="33" t="s">
        <v>1273</v>
      </c>
      <c r="I246" s="49"/>
      <c r="J246" s="49"/>
      <c r="K246" s="49"/>
      <c r="L246" s="48"/>
      <c r="N246" s="431"/>
      <c r="O246" s="432"/>
    </row>
    <row r="247" spans="1:15">
      <c r="A247" s="39"/>
      <c r="B247" s="34"/>
      <c r="I247" s="48"/>
      <c r="J247" s="121"/>
      <c r="K247" s="48"/>
      <c r="L247" s="48"/>
    </row>
    <row r="248" spans="1:15">
      <c r="A248" s="39">
        <v>8</v>
      </c>
      <c r="B248" s="34">
        <v>7</v>
      </c>
      <c r="C248" s="49" t="s">
        <v>1276</v>
      </c>
      <c r="D248" s="49"/>
      <c r="E248" s="33" t="s">
        <v>1273</v>
      </c>
      <c r="G248" s="49"/>
      <c r="H248" s="49"/>
      <c r="I248" s="48"/>
      <c r="J248" s="121"/>
      <c r="K248" s="48"/>
      <c r="L248" s="48"/>
    </row>
    <row r="249" spans="1:15">
      <c r="A249" s="39"/>
      <c r="B249" s="34"/>
      <c r="I249" s="48"/>
      <c r="J249" s="121"/>
      <c r="K249" s="48"/>
      <c r="L249" s="48"/>
    </row>
    <row r="250" spans="1:15">
      <c r="A250" s="39">
        <v>9</v>
      </c>
      <c r="B250" s="34">
        <v>8</v>
      </c>
      <c r="C250" s="33" t="s">
        <v>1277</v>
      </c>
      <c r="E250" s="33" t="s">
        <v>1273</v>
      </c>
      <c r="I250" s="48"/>
      <c r="J250" s="121"/>
      <c r="K250" s="48"/>
      <c r="L250" s="48"/>
    </row>
    <row r="251" spans="1:15">
      <c r="A251" s="39"/>
      <c r="B251" s="34"/>
      <c r="J251" s="47"/>
      <c r="K251" s="132"/>
    </row>
    <row r="252" spans="1:15">
      <c r="A252" s="39">
        <v>10</v>
      </c>
      <c r="B252" s="34">
        <v>9</v>
      </c>
      <c r="C252" s="33" t="s">
        <v>1278</v>
      </c>
      <c r="E252" s="33" t="s">
        <v>1273</v>
      </c>
    </row>
    <row r="253" spans="1:15">
      <c r="A253" s="39"/>
      <c r="B253" s="34"/>
    </row>
    <row r="254" spans="1:15">
      <c r="A254" s="39">
        <v>11</v>
      </c>
      <c r="B254" s="34">
        <v>10</v>
      </c>
      <c r="C254" s="33" t="s">
        <v>1279</v>
      </c>
      <c r="E254" s="33" t="s">
        <v>1273</v>
      </c>
      <c r="I254" s="48"/>
      <c r="J254" s="433"/>
      <c r="K254" s="132"/>
      <c r="L254" s="48"/>
    </row>
    <row r="255" spans="1:15">
      <c r="A255" s="39"/>
      <c r="B255" s="34"/>
      <c r="C255" s="51"/>
      <c r="I255" s="48"/>
      <c r="J255" s="433"/>
      <c r="K255" s="132"/>
      <c r="L255" s="48"/>
    </row>
    <row r="256" spans="1:15">
      <c r="A256" s="39">
        <v>13</v>
      </c>
      <c r="B256" s="34">
        <v>11</v>
      </c>
      <c r="C256" s="33" t="s">
        <v>1280</v>
      </c>
      <c r="E256" s="33" t="s">
        <v>1273</v>
      </c>
      <c r="I256" s="48"/>
      <c r="J256" s="433"/>
      <c r="K256" s="132"/>
      <c r="L256" s="48"/>
    </row>
    <row r="257" spans="1:12">
      <c r="A257" s="39"/>
      <c r="B257" s="39"/>
      <c r="I257" s="48"/>
      <c r="J257" s="433"/>
      <c r="K257" s="132"/>
      <c r="L257" s="48"/>
    </row>
    <row r="258" spans="1:12">
      <c r="A258" s="39">
        <v>14</v>
      </c>
      <c r="B258" s="39">
        <v>12</v>
      </c>
      <c r="C258" s="33" t="s">
        <v>1281</v>
      </c>
      <c r="E258" s="33" t="s">
        <v>1273</v>
      </c>
      <c r="I258" s="48"/>
      <c r="J258" s="433"/>
      <c r="K258" s="132"/>
      <c r="L258" s="48"/>
    </row>
    <row r="259" spans="1:12">
      <c r="A259" s="39"/>
      <c r="B259" s="39"/>
      <c r="I259" s="48"/>
      <c r="J259" s="433"/>
      <c r="K259" s="132"/>
      <c r="L259" s="48"/>
    </row>
    <row r="260" spans="1:12">
      <c r="A260" s="39">
        <v>15</v>
      </c>
      <c r="B260" s="39">
        <v>13</v>
      </c>
      <c r="C260" s="33" t="s">
        <v>1282</v>
      </c>
      <c r="E260" s="33" t="s">
        <v>1273</v>
      </c>
      <c r="I260" s="48"/>
      <c r="J260" s="433"/>
      <c r="K260" s="132"/>
      <c r="L260" s="48"/>
    </row>
    <row r="261" spans="1:12">
      <c r="A261" s="36"/>
      <c r="B261" s="39"/>
      <c r="I261" s="48"/>
      <c r="J261" s="433"/>
      <c r="K261" s="132"/>
      <c r="L261" s="48"/>
    </row>
    <row r="262" spans="1:12">
      <c r="A262" s="45"/>
      <c r="B262" s="45"/>
      <c r="C262" s="43"/>
      <c r="D262" s="43"/>
      <c r="E262" s="43"/>
      <c r="F262" s="43"/>
      <c r="G262" s="43"/>
      <c r="H262" s="43"/>
      <c r="I262" s="66"/>
      <c r="J262" s="434"/>
      <c r="K262" s="66"/>
      <c r="L262" s="66"/>
    </row>
    <row r="263" spans="1:12">
      <c r="A263" s="35" t="s">
        <v>512</v>
      </c>
      <c r="B263" s="35"/>
      <c r="C263" s="35"/>
      <c r="D263" s="35"/>
      <c r="E263" s="35"/>
      <c r="F263" s="35"/>
      <c r="G263" s="35"/>
      <c r="H263" s="35"/>
      <c r="I263" s="35"/>
      <c r="J263" s="35" t="s">
        <v>1246</v>
      </c>
      <c r="K263" s="35"/>
    </row>
    <row r="264" spans="1:12">
      <c r="A264" s="35"/>
      <c r="B264" s="35"/>
      <c r="C264" s="52"/>
      <c r="D264" s="35"/>
      <c r="E264" s="35"/>
      <c r="F264" s="35"/>
      <c r="G264" s="35"/>
      <c r="H264" s="35"/>
      <c r="I264" s="35"/>
      <c r="J264" s="35"/>
      <c r="K264" s="35"/>
      <c r="L264" s="32"/>
    </row>
  </sheetData>
  <phoneticPr fontId="2" type="noConversion"/>
  <pageMargins left="0.75" right="0.5" top="1" bottom="0.5" header="0.5" footer="0.5"/>
  <pageSetup scale="66" orientation="landscape" r:id="rId1"/>
  <headerFooter alignWithMargins="0"/>
  <rowBreaks count="5" manualBreakCount="5">
    <brk id="44" max="11" man="1"/>
    <brk id="88" max="11" man="1"/>
    <brk id="132" max="11" man="1"/>
    <brk id="176" max="11" man="1"/>
    <brk id="220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 enableFormatConditionsCalculation="0"/>
  <dimension ref="A1:AG70"/>
  <sheetViews>
    <sheetView tabSelected="1" view="pageBreakPreview" zoomScaleNormal="100" zoomScaleSheetLayoutView="100" workbookViewId="0">
      <selection activeCell="Q29" sqref="Q29"/>
    </sheetView>
  </sheetViews>
  <sheetFormatPr defaultColWidth="9" defaultRowHeight="12.75"/>
  <cols>
    <col min="1" max="1" width="5" style="214" customWidth="1"/>
    <col min="2" max="2" width="6.28515625" style="214" customWidth="1"/>
    <col min="3" max="3" width="13.7109375" style="214" customWidth="1"/>
    <col min="4" max="4" width="9" style="214"/>
    <col min="5" max="5" width="11.85546875" style="214" customWidth="1"/>
    <col min="6" max="6" width="8.85546875" style="214" customWidth="1"/>
    <col min="7" max="7" width="10.140625" style="214" customWidth="1"/>
    <col min="8" max="8" width="0.7109375" style="214" customWidth="1"/>
    <col min="9" max="9" width="7.7109375" style="214" customWidth="1"/>
    <col min="10" max="10" width="0.42578125" style="214" customWidth="1"/>
    <col min="11" max="11" width="10.42578125" style="214" customWidth="1"/>
    <col min="12" max="12" width="0.7109375" style="214" customWidth="1"/>
    <col min="13" max="13" width="9.28515625" style="214" bestFit="1" customWidth="1"/>
    <col min="14" max="14" width="0.85546875" style="214" customWidth="1"/>
    <col min="15" max="15" width="8.28515625" style="214" customWidth="1"/>
    <col min="16" max="16" width="0.7109375" style="214" customWidth="1"/>
    <col min="17" max="17" width="8.28515625" style="214" customWidth="1"/>
    <col min="18" max="18" width="1" style="214" customWidth="1"/>
    <col min="19" max="19" width="9" style="214" customWidth="1"/>
    <col min="20" max="20" width="0.42578125" style="214" customWidth="1"/>
    <col min="21" max="21" width="9.140625" style="214" customWidth="1"/>
    <col min="22" max="22" width="0.42578125" style="214" customWidth="1"/>
    <col min="23" max="23" width="9.5703125" style="214" customWidth="1"/>
    <col min="24" max="24" width="0.7109375" style="214" customWidth="1"/>
    <col min="25" max="25" width="9.140625" style="214" customWidth="1"/>
    <col min="26" max="26" width="0.7109375" style="214" customWidth="1"/>
    <col min="27" max="27" width="10.7109375" style="214" customWidth="1"/>
    <col min="28" max="28" width="0.42578125" style="214" customWidth="1"/>
    <col min="29" max="29" width="8.7109375" style="214" customWidth="1"/>
    <col min="30" max="30" width="9" style="214"/>
    <col min="31" max="31" width="16.7109375" style="214" customWidth="1"/>
    <col min="32" max="16384" width="9" style="214"/>
  </cols>
  <sheetData>
    <row r="1" spans="1:33" s="102" customFormat="1" ht="15">
      <c r="A1" s="98" t="s">
        <v>249</v>
      </c>
      <c r="B1" s="98"/>
      <c r="C1" s="99"/>
      <c r="D1" s="100"/>
      <c r="E1" s="100"/>
      <c r="F1" s="101"/>
      <c r="G1" s="99" t="s">
        <v>265</v>
      </c>
      <c r="H1" s="101"/>
      <c r="I1" s="100"/>
      <c r="J1" s="101"/>
      <c r="K1" s="101"/>
      <c r="L1" s="101"/>
      <c r="M1" s="101"/>
      <c r="N1" s="101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98" t="s">
        <v>72</v>
      </c>
      <c r="AB1" s="98"/>
      <c r="AC1" s="100"/>
    </row>
    <row r="2" spans="1:33" s="102" customFormat="1" ht="15">
      <c r="A2" s="103" t="s">
        <v>73</v>
      </c>
      <c r="B2" s="103"/>
      <c r="F2" s="103" t="s">
        <v>3004</v>
      </c>
      <c r="H2" s="104"/>
      <c r="I2" s="105"/>
      <c r="J2" s="105"/>
      <c r="K2" s="105"/>
      <c r="L2" s="105"/>
      <c r="M2" s="105"/>
      <c r="N2" s="105"/>
      <c r="T2" s="103"/>
      <c r="U2" s="106" t="s">
        <v>74</v>
      </c>
    </row>
    <row r="3" spans="1:33" s="102" customFormat="1" ht="15">
      <c r="F3" s="104" t="s">
        <v>255</v>
      </c>
      <c r="G3" s="105"/>
      <c r="H3" s="105"/>
      <c r="I3" s="105"/>
      <c r="J3" s="105"/>
      <c r="K3" s="105"/>
      <c r="L3" s="105"/>
      <c r="M3" s="105"/>
      <c r="N3" s="105"/>
      <c r="T3" s="103"/>
      <c r="U3" s="107" t="s">
        <v>262</v>
      </c>
    </row>
    <row r="4" spans="1:33" s="102" customFormat="1" ht="15">
      <c r="A4" s="103" t="s">
        <v>75</v>
      </c>
      <c r="B4" s="103"/>
      <c r="F4" s="104" t="s">
        <v>256</v>
      </c>
      <c r="G4" s="105"/>
      <c r="H4" s="105"/>
      <c r="I4" s="105"/>
      <c r="J4" s="105"/>
      <c r="K4" s="105"/>
      <c r="L4" s="105"/>
      <c r="M4" s="105"/>
      <c r="N4" s="105"/>
      <c r="T4" s="103"/>
      <c r="U4" s="107" t="s">
        <v>263</v>
      </c>
    </row>
    <row r="5" spans="1:33" s="102" customFormat="1" ht="15">
      <c r="F5" s="104" t="s">
        <v>257</v>
      </c>
      <c r="G5" s="105"/>
      <c r="H5" s="105"/>
      <c r="I5" s="105"/>
      <c r="J5" s="105"/>
      <c r="K5" s="105"/>
      <c r="L5" s="105"/>
      <c r="M5" s="105"/>
      <c r="N5" s="105"/>
      <c r="T5" s="103"/>
      <c r="U5" s="107" t="s">
        <v>264</v>
      </c>
    </row>
    <row r="6" spans="1:33" s="102" customFormat="1" ht="15">
      <c r="F6" s="105"/>
      <c r="G6" s="105"/>
      <c r="H6" s="105"/>
      <c r="J6" s="105"/>
      <c r="K6" s="105"/>
      <c r="L6" s="105"/>
      <c r="M6" s="105"/>
      <c r="N6" s="105"/>
      <c r="T6" s="103"/>
      <c r="U6" s="108" t="s">
        <v>109</v>
      </c>
    </row>
    <row r="7" spans="1:33" s="102" customFormat="1" ht="15">
      <c r="A7" s="98" t="s">
        <v>114</v>
      </c>
      <c r="B7" s="98"/>
      <c r="C7" s="100"/>
      <c r="D7" s="100"/>
      <c r="E7" s="100"/>
      <c r="F7" s="101"/>
      <c r="G7" s="101"/>
      <c r="H7" s="101"/>
      <c r="I7" s="109" t="s">
        <v>77</v>
      </c>
      <c r="J7" s="101"/>
      <c r="K7" s="101"/>
      <c r="L7" s="101"/>
      <c r="M7" s="101"/>
      <c r="N7" s="101"/>
      <c r="O7" s="100"/>
      <c r="P7" s="100"/>
      <c r="Q7" s="100"/>
      <c r="R7" s="100"/>
      <c r="S7" s="100"/>
      <c r="T7" s="100"/>
      <c r="U7" s="98"/>
      <c r="V7" s="100"/>
      <c r="W7" s="100"/>
      <c r="X7" s="100"/>
      <c r="Y7" s="100"/>
      <c r="Z7" s="100"/>
      <c r="AA7" s="100"/>
      <c r="AB7" s="100"/>
      <c r="AC7" s="100"/>
    </row>
    <row r="8" spans="1:33">
      <c r="M8" s="393" t="s">
        <v>2167</v>
      </c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4"/>
    </row>
    <row r="9" spans="1:33">
      <c r="A9" s="395" t="s">
        <v>2158</v>
      </c>
      <c r="B9" s="395" t="s">
        <v>2159</v>
      </c>
      <c r="C9" s="395" t="s">
        <v>2160</v>
      </c>
      <c r="G9" s="395" t="s">
        <v>2161</v>
      </c>
      <c r="I9" s="395" t="s">
        <v>2162</v>
      </c>
      <c r="K9" s="395" t="s">
        <v>78</v>
      </c>
      <c r="L9" s="396"/>
      <c r="M9" s="397" t="s">
        <v>79</v>
      </c>
      <c r="N9" s="398"/>
      <c r="O9" s="397" t="s">
        <v>80</v>
      </c>
      <c r="P9" s="398"/>
      <c r="Q9" s="397" t="s">
        <v>81</v>
      </c>
      <c r="R9" s="398"/>
      <c r="S9" s="397" t="s">
        <v>82</v>
      </c>
      <c r="T9" s="398"/>
      <c r="U9" s="397" t="s">
        <v>83</v>
      </c>
      <c r="V9" s="398"/>
      <c r="W9" s="397" t="s">
        <v>84</v>
      </c>
      <c r="X9" s="398"/>
      <c r="Y9" s="397" t="s">
        <v>85</v>
      </c>
      <c r="Z9" s="398"/>
      <c r="AA9" s="397" t="s">
        <v>543</v>
      </c>
      <c r="AB9" s="394"/>
      <c r="AC9" s="395" t="s">
        <v>553</v>
      </c>
    </row>
    <row r="10" spans="1:33">
      <c r="A10" s="214" t="s">
        <v>93</v>
      </c>
      <c r="B10" s="399" t="s">
        <v>3005</v>
      </c>
      <c r="C10" s="400"/>
      <c r="D10" s="400"/>
      <c r="E10" s="400"/>
      <c r="G10" s="399" t="s">
        <v>3006</v>
      </c>
      <c r="H10" s="400"/>
      <c r="I10" s="399" t="s">
        <v>89</v>
      </c>
      <c r="K10" s="366" t="s">
        <v>90</v>
      </c>
      <c r="L10" s="399"/>
      <c r="M10" s="400"/>
      <c r="N10" s="400"/>
      <c r="O10" s="400"/>
      <c r="P10" s="400"/>
      <c r="Q10" s="400"/>
      <c r="R10" s="400"/>
      <c r="S10" s="399"/>
      <c r="T10" s="399"/>
      <c r="U10" s="399" t="s">
        <v>230</v>
      </c>
      <c r="V10" s="399"/>
      <c r="W10" s="399"/>
      <c r="X10" s="399"/>
      <c r="Y10" s="399"/>
      <c r="Z10" s="399"/>
      <c r="AB10" s="396"/>
      <c r="AC10" s="394" t="s">
        <v>2168</v>
      </c>
    </row>
    <row r="11" spans="1:33">
      <c r="A11" s="214" t="s">
        <v>97</v>
      </c>
      <c r="B11" s="399" t="s">
        <v>97</v>
      </c>
      <c r="C11" s="391" t="s">
        <v>3007</v>
      </c>
      <c r="D11" s="400"/>
      <c r="E11" s="400"/>
      <c r="G11" s="399" t="s">
        <v>3008</v>
      </c>
      <c r="I11" s="399" t="s">
        <v>94</v>
      </c>
      <c r="K11" s="399" t="s">
        <v>94</v>
      </c>
      <c r="L11" s="401"/>
      <c r="M11" s="399" t="s">
        <v>176</v>
      </c>
      <c r="N11" s="399"/>
      <c r="O11" s="396" t="s">
        <v>179</v>
      </c>
      <c r="P11" s="396"/>
      <c r="Q11" s="399" t="s">
        <v>503</v>
      </c>
      <c r="R11" s="399"/>
      <c r="S11" s="399" t="s">
        <v>180</v>
      </c>
      <c r="T11" s="399"/>
      <c r="U11" s="399" t="s">
        <v>3009</v>
      </c>
      <c r="V11" s="399"/>
      <c r="W11" s="399" t="s">
        <v>116</v>
      </c>
      <c r="X11" s="399"/>
      <c r="Y11" s="399" t="s">
        <v>115</v>
      </c>
      <c r="Z11" s="399"/>
      <c r="AA11" s="396" t="s">
        <v>87</v>
      </c>
      <c r="AB11" s="396"/>
      <c r="AC11" s="399" t="s">
        <v>87</v>
      </c>
    </row>
    <row r="12" spans="1:33">
      <c r="A12" s="402"/>
      <c r="B12" s="403"/>
      <c r="C12" s="404"/>
      <c r="D12" s="404"/>
      <c r="E12" s="404"/>
      <c r="F12" s="404"/>
      <c r="G12" s="404"/>
      <c r="H12" s="404"/>
      <c r="I12" s="404"/>
      <c r="J12" s="404"/>
      <c r="K12" s="401" t="s">
        <v>3010</v>
      </c>
      <c r="L12" s="404"/>
      <c r="M12" s="404"/>
      <c r="N12" s="404"/>
      <c r="O12" s="404"/>
      <c r="P12" s="404"/>
      <c r="Q12" s="404"/>
      <c r="R12" s="404"/>
      <c r="S12" s="404"/>
      <c r="T12" s="404"/>
      <c r="U12" s="405" t="s">
        <v>3011</v>
      </c>
      <c r="V12" s="404"/>
      <c r="W12" s="404"/>
      <c r="X12" s="404"/>
      <c r="Y12" s="405"/>
      <c r="Z12" s="404"/>
      <c r="AA12" s="398" t="s">
        <v>3012</v>
      </c>
      <c r="AB12" s="402"/>
      <c r="AC12" s="401" t="s">
        <v>3013</v>
      </c>
    </row>
    <row r="13" spans="1:33">
      <c r="C13" s="391"/>
      <c r="D13" s="400"/>
      <c r="E13" s="400"/>
      <c r="F13" s="400"/>
      <c r="G13" s="400"/>
      <c r="H13" s="400"/>
      <c r="I13" s="400"/>
      <c r="J13" s="400"/>
      <c r="K13" s="406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377"/>
      <c r="AC13" s="407"/>
    </row>
    <row r="15" spans="1:33">
      <c r="A15" s="408">
        <v>1</v>
      </c>
      <c r="C15" s="95" t="s">
        <v>3014</v>
      </c>
      <c r="AG15" s="409"/>
    </row>
    <row r="16" spans="1:33">
      <c r="A16" s="408"/>
    </row>
    <row r="17" spans="1:33">
      <c r="A17" s="408">
        <v>2</v>
      </c>
      <c r="B17" s="399" t="s">
        <v>3015</v>
      </c>
      <c r="C17" s="391" t="s">
        <v>3016</v>
      </c>
      <c r="D17" s="400"/>
      <c r="E17" s="400"/>
      <c r="F17" s="400"/>
      <c r="G17" s="410">
        <v>674895</v>
      </c>
      <c r="H17" s="410"/>
      <c r="I17" s="409">
        <v>0</v>
      </c>
      <c r="J17" s="410"/>
      <c r="K17" s="410">
        <f t="shared" ref="K17:K23" si="0">ROUND( G17-I17, RoundDigits )</f>
        <v>674895</v>
      </c>
      <c r="L17" s="410"/>
      <c r="M17" s="410">
        <f>ROUND(289617, RoundDigits)</f>
        <v>289617</v>
      </c>
      <c r="N17" s="410">
        <v>0</v>
      </c>
      <c r="O17" s="410">
        <f>ROUND(26942, RoundDigits)</f>
        <v>26942</v>
      </c>
      <c r="P17" s="410">
        <v>0</v>
      </c>
      <c r="Q17" s="410">
        <f>ROUND(6230, RoundDigits)</f>
        <v>6230</v>
      </c>
      <c r="R17" s="410">
        <v>0</v>
      </c>
      <c r="S17" s="410">
        <f>ROUND(75209, RoundDigits)</f>
        <v>75209</v>
      </c>
      <c r="T17" s="410"/>
      <c r="U17" s="410">
        <f>ROUND( ((0.5542817)*-_88TAXREFADJ/1000), RoundDigits )</f>
        <v>17574</v>
      </c>
      <c r="V17" s="410"/>
      <c r="W17" s="409">
        <v>0</v>
      </c>
      <c r="X17" s="410"/>
      <c r="Y17" s="409">
        <v>0</v>
      </c>
      <c r="Z17" s="410"/>
      <c r="AA17" s="386">
        <f t="shared" ref="AA17:AA23" si="1">SUM(M17:Y17)</f>
        <v>415572</v>
      </c>
      <c r="AB17" s="386"/>
      <c r="AC17" s="386">
        <f t="shared" ref="AC17:AC23" si="2">K17-AA17</f>
        <v>259323</v>
      </c>
      <c r="AE17" s="411"/>
    </row>
    <row r="18" spans="1:33">
      <c r="A18" s="408">
        <v>3</v>
      </c>
      <c r="B18" s="399" t="s">
        <v>3017</v>
      </c>
      <c r="C18" s="391" t="s">
        <v>3018</v>
      </c>
      <c r="D18" s="400"/>
      <c r="E18" s="400"/>
      <c r="F18" s="400"/>
      <c r="G18" s="410">
        <v>430509</v>
      </c>
      <c r="H18" s="410"/>
      <c r="I18" s="409">
        <v>0</v>
      </c>
      <c r="J18" s="410"/>
      <c r="K18" s="410">
        <f t="shared" si="0"/>
        <v>430509</v>
      </c>
      <c r="L18" s="410"/>
      <c r="M18" s="410">
        <f>ROUND(210112, RoundDigits)</f>
        <v>210112</v>
      </c>
      <c r="N18" s="410">
        <v>0</v>
      </c>
      <c r="O18" s="410">
        <f>ROUND(14898, RoundDigits)</f>
        <v>14898</v>
      </c>
      <c r="P18" s="410">
        <v>0</v>
      </c>
      <c r="Q18" s="410">
        <f>ROUND(3675, RoundDigits)</f>
        <v>3675</v>
      </c>
      <c r="R18" s="410">
        <v>0</v>
      </c>
      <c r="S18" s="410">
        <f>ROUND(53890, RoundDigits)</f>
        <v>53890</v>
      </c>
      <c r="T18" s="410"/>
      <c r="U18" s="410">
        <f>ROUND( ((0.3277982)*-_88TAXREFADJ/1000), RoundDigits )</f>
        <v>10393</v>
      </c>
      <c r="V18" s="410"/>
      <c r="W18" s="409">
        <v>0</v>
      </c>
      <c r="X18" s="410"/>
      <c r="Y18" s="409">
        <v>0</v>
      </c>
      <c r="Z18" s="410"/>
      <c r="AA18" s="386">
        <f t="shared" si="1"/>
        <v>292968</v>
      </c>
      <c r="AB18" s="386"/>
      <c r="AC18" s="386">
        <f t="shared" si="2"/>
        <v>137541</v>
      </c>
      <c r="AE18" s="411"/>
    </row>
    <row r="19" spans="1:33">
      <c r="A19" s="408">
        <v>4</v>
      </c>
      <c r="B19" s="399" t="s">
        <v>3017</v>
      </c>
      <c r="C19" s="391" t="s">
        <v>3019</v>
      </c>
      <c r="D19" s="400"/>
      <c r="E19" s="400"/>
      <c r="F19" s="400"/>
      <c r="G19" s="410">
        <v>156275</v>
      </c>
      <c r="H19" s="410"/>
      <c r="I19" s="409">
        <v>0</v>
      </c>
      <c r="J19" s="410"/>
      <c r="K19" s="410">
        <f t="shared" si="0"/>
        <v>156275</v>
      </c>
      <c r="L19" s="410"/>
      <c r="M19" s="410">
        <f>ROUND(88504, RoundDigits)</f>
        <v>88504</v>
      </c>
      <c r="N19" s="410">
        <v>0</v>
      </c>
      <c r="O19" s="410">
        <f>ROUND(5402, RoundDigits)</f>
        <v>5402</v>
      </c>
      <c r="P19" s="410">
        <v>0</v>
      </c>
      <c r="Q19" s="410">
        <f>ROUND(1502, RoundDigits)</f>
        <v>1502</v>
      </c>
      <c r="R19" s="410">
        <v>0</v>
      </c>
      <c r="S19" s="410">
        <v>22692</v>
      </c>
      <c r="T19" s="410"/>
      <c r="U19" s="410">
        <f>ROUND( ((0.1141408)*-_88TAXREFADJ/1000), RoundDigits )</f>
        <v>3619</v>
      </c>
      <c r="V19" s="410"/>
      <c r="W19" s="409">
        <v>0</v>
      </c>
      <c r="X19" s="410"/>
      <c r="Y19" s="409">
        <v>0</v>
      </c>
      <c r="Z19" s="410"/>
      <c r="AA19" s="386">
        <f t="shared" si="1"/>
        <v>121719</v>
      </c>
      <c r="AB19" s="386"/>
      <c r="AC19" s="386">
        <f t="shared" si="2"/>
        <v>34556</v>
      </c>
      <c r="AE19" s="411"/>
    </row>
    <row r="20" spans="1:33">
      <c r="A20" s="408">
        <v>5</v>
      </c>
      <c r="B20" s="399" t="s">
        <v>3020</v>
      </c>
      <c r="C20" s="391" t="s">
        <v>3021</v>
      </c>
      <c r="D20" s="400"/>
      <c r="E20" s="400"/>
      <c r="F20" s="400"/>
      <c r="G20" s="410">
        <v>4434</v>
      </c>
      <c r="H20" s="410"/>
      <c r="I20" s="409">
        <v>0</v>
      </c>
      <c r="J20" s="410"/>
      <c r="K20" s="410">
        <f t="shared" si="0"/>
        <v>4434</v>
      </c>
      <c r="L20" s="410"/>
      <c r="M20" s="410">
        <f>ROUND(1329, RoundDigits)</f>
        <v>1329</v>
      </c>
      <c r="N20" s="410">
        <v>0</v>
      </c>
      <c r="O20" s="410">
        <f>ROUND(34, RoundDigits)</f>
        <v>34</v>
      </c>
      <c r="P20" s="410">
        <v>0</v>
      </c>
      <c r="Q20" s="410">
        <f>ROUND(19, RoundDigits)</f>
        <v>19</v>
      </c>
      <c r="R20" s="410">
        <v>0</v>
      </c>
      <c r="S20" s="410">
        <f>ROUND(338, RoundDigits)</f>
        <v>338</v>
      </c>
      <c r="T20" s="410"/>
      <c r="U20" s="410">
        <f>ROUND( ((0.0037793)*-_88TAXREFADJ/1000), RoundDigits )</f>
        <v>120</v>
      </c>
      <c r="V20" s="410"/>
      <c r="W20" s="409">
        <v>0</v>
      </c>
      <c r="X20" s="410"/>
      <c r="Y20" s="409">
        <v>0</v>
      </c>
      <c r="Z20" s="410"/>
      <c r="AA20" s="386">
        <f t="shared" si="1"/>
        <v>1840</v>
      </c>
      <c r="AB20" s="386"/>
      <c r="AC20" s="386">
        <f t="shared" si="2"/>
        <v>2594</v>
      </c>
      <c r="AE20" s="411"/>
    </row>
    <row r="21" spans="1:33">
      <c r="A21" s="408">
        <v>6</v>
      </c>
      <c r="B21" s="399" t="s">
        <v>3022</v>
      </c>
      <c r="C21" s="391" t="s">
        <v>3023</v>
      </c>
      <c r="D21" s="400"/>
      <c r="E21" s="400"/>
      <c r="F21" s="400"/>
      <c r="G21" s="410">
        <v>0</v>
      </c>
      <c r="H21" s="410"/>
      <c r="I21" s="409">
        <v>0</v>
      </c>
      <c r="J21" s="410"/>
      <c r="K21" s="410">
        <f t="shared" si="0"/>
        <v>0</v>
      </c>
      <c r="L21" s="410"/>
      <c r="M21" s="409">
        <v>0</v>
      </c>
      <c r="N21" s="410"/>
      <c r="O21" s="409">
        <v>0</v>
      </c>
      <c r="P21" s="410"/>
      <c r="Q21" s="409">
        <v>0</v>
      </c>
      <c r="R21" s="410"/>
      <c r="S21" s="409">
        <v>0</v>
      </c>
      <c r="T21" s="410"/>
      <c r="U21" s="409">
        <v>0</v>
      </c>
      <c r="V21" s="410"/>
      <c r="W21" s="409">
        <v>0</v>
      </c>
      <c r="X21" s="410"/>
      <c r="Y21" s="409">
        <v>0</v>
      </c>
      <c r="Z21" s="410"/>
      <c r="AA21" s="386">
        <f t="shared" si="1"/>
        <v>0</v>
      </c>
      <c r="AB21" s="386"/>
      <c r="AC21" s="386">
        <f t="shared" si="2"/>
        <v>0</v>
      </c>
    </row>
    <row r="22" spans="1:33">
      <c r="A22" s="408">
        <v>7</v>
      </c>
      <c r="B22" s="399" t="s">
        <v>3024</v>
      </c>
      <c r="C22" s="412" t="s">
        <v>3025</v>
      </c>
      <c r="D22" s="400"/>
      <c r="E22" s="400"/>
      <c r="F22" s="400"/>
      <c r="G22" s="410">
        <v>0</v>
      </c>
      <c r="H22" s="410"/>
      <c r="I22" s="409">
        <v>0</v>
      </c>
      <c r="J22" s="410"/>
      <c r="K22" s="410">
        <f t="shared" si="0"/>
        <v>0</v>
      </c>
      <c r="L22" s="410"/>
      <c r="M22" s="409">
        <v>0</v>
      </c>
      <c r="N22" s="410"/>
      <c r="O22" s="409">
        <v>0</v>
      </c>
      <c r="P22" s="410"/>
      <c r="Q22" s="409">
        <v>0</v>
      </c>
      <c r="R22" s="410"/>
      <c r="S22" s="409">
        <v>0</v>
      </c>
      <c r="T22" s="410"/>
      <c r="U22" s="409">
        <v>0</v>
      </c>
      <c r="V22" s="410"/>
      <c r="W22" s="409">
        <v>0</v>
      </c>
      <c r="X22" s="410"/>
      <c r="Y22" s="409">
        <v>0</v>
      </c>
      <c r="Z22" s="410"/>
      <c r="AA22" s="386">
        <f t="shared" si="1"/>
        <v>0</v>
      </c>
      <c r="AB22" s="386"/>
      <c r="AC22" s="386">
        <f t="shared" si="2"/>
        <v>0</v>
      </c>
    </row>
    <row r="23" spans="1:33">
      <c r="A23" s="408">
        <v>8</v>
      </c>
      <c r="B23" s="399" t="s">
        <v>3026</v>
      </c>
      <c r="C23" s="412" t="s">
        <v>3027</v>
      </c>
      <c r="G23" s="386">
        <v>0</v>
      </c>
      <c r="H23" s="386"/>
      <c r="I23" s="409">
        <v>0</v>
      </c>
      <c r="J23" s="386"/>
      <c r="K23" s="410">
        <f t="shared" si="0"/>
        <v>0</v>
      </c>
      <c r="L23" s="410"/>
      <c r="M23" s="409">
        <v>0</v>
      </c>
      <c r="N23" s="386"/>
      <c r="O23" s="409">
        <v>0</v>
      </c>
      <c r="P23" s="386"/>
      <c r="Q23" s="409">
        <v>0</v>
      </c>
      <c r="R23" s="386"/>
      <c r="S23" s="409">
        <v>0</v>
      </c>
      <c r="T23" s="386"/>
      <c r="U23" s="409">
        <v>0</v>
      </c>
      <c r="V23" s="386"/>
      <c r="W23" s="409">
        <v>0</v>
      </c>
      <c r="X23" s="386"/>
      <c r="Y23" s="409">
        <v>0</v>
      </c>
      <c r="Z23" s="386"/>
      <c r="AA23" s="386">
        <f t="shared" si="1"/>
        <v>0</v>
      </c>
      <c r="AB23" s="386"/>
      <c r="AC23" s="386">
        <f t="shared" si="2"/>
        <v>0</v>
      </c>
    </row>
    <row r="24" spans="1:33">
      <c r="A24" s="408">
        <v>9</v>
      </c>
      <c r="C24" s="391" t="s">
        <v>3028</v>
      </c>
      <c r="D24" s="400"/>
      <c r="E24" s="400"/>
      <c r="F24" s="400"/>
      <c r="G24" s="413">
        <f>SUM(G17:G23)</f>
        <v>1266113</v>
      </c>
      <c r="H24" s="413"/>
      <c r="I24" s="413">
        <f>SUM(I17:I23)</f>
        <v>0</v>
      </c>
      <c r="J24" s="413"/>
      <c r="K24" s="413">
        <f>SUM(K17:K23)</f>
        <v>1266113</v>
      </c>
      <c r="L24" s="413"/>
      <c r="M24" s="413">
        <f>SUM(M17:M23)</f>
        <v>589562</v>
      </c>
      <c r="N24" s="413"/>
      <c r="O24" s="413">
        <f>SUM(O17:O23)</f>
        <v>47276</v>
      </c>
      <c r="P24" s="413"/>
      <c r="Q24" s="413">
        <f>SUM(Q17:Q23)</f>
        <v>11426</v>
      </c>
      <c r="R24" s="413"/>
      <c r="S24" s="413">
        <f>SUM(S17:S23)</f>
        <v>152129</v>
      </c>
      <c r="T24" s="413"/>
      <c r="U24" s="413">
        <f>SUM(U17:U23)</f>
        <v>31706</v>
      </c>
      <c r="V24" s="413"/>
      <c r="W24" s="413">
        <f>SUM(W17:W23)</f>
        <v>0</v>
      </c>
      <c r="X24" s="413"/>
      <c r="Y24" s="413">
        <f>SUM(Y17:Y23)</f>
        <v>0</v>
      </c>
      <c r="Z24" s="413"/>
      <c r="AA24" s="413">
        <f>SUM(AA17:AA23)</f>
        <v>832099</v>
      </c>
      <c r="AB24" s="414"/>
      <c r="AC24" s="413">
        <f>SUM(AC17:AC23)</f>
        <v>434014</v>
      </c>
      <c r="AF24" s="415"/>
      <c r="AG24" s="211"/>
    </row>
    <row r="25" spans="1:33">
      <c r="A25" s="408">
        <v>10</v>
      </c>
      <c r="B25" s="399" t="s">
        <v>3029</v>
      </c>
      <c r="C25" s="412" t="s">
        <v>3030</v>
      </c>
      <c r="D25" s="400"/>
      <c r="E25" s="400"/>
      <c r="F25" s="400"/>
      <c r="G25" s="410">
        <v>217072</v>
      </c>
      <c r="H25" s="410"/>
      <c r="I25" s="410">
        <v>0</v>
      </c>
      <c r="J25" s="410"/>
      <c r="K25" s="410">
        <f>ROUND( G25-I25, RoundDigits )</f>
        <v>217072</v>
      </c>
      <c r="L25" s="410"/>
      <c r="M25" s="416">
        <f>ROUND(-(RRCOMB3!M1023-RRCOMB2!D51-RRCOMB2!F51-RRCOMB2!C28-RRCOMB2!N51-RRCOMB3!ECONPROF)/1000-484,0)</f>
        <v>152487</v>
      </c>
      <c r="N25" s="410"/>
      <c r="O25" s="410">
        <f>ROUND(-(RRCOMB3!U1059+RRCOMB3!V1059)/1000,0)</f>
        <v>215</v>
      </c>
      <c r="P25" s="410"/>
      <c r="Q25" s="410"/>
      <c r="R25" s="410"/>
      <c r="S25" s="410">
        <f>ROUND((RRCOMB3!X1724+RRCOMB3!AA1724)/1000,0)</f>
        <v>5127</v>
      </c>
      <c r="T25" s="410"/>
      <c r="U25" s="410"/>
      <c r="V25" s="410"/>
      <c r="W25" s="410">
        <f>ROUND(-RRCOMB3!D1040/1000,0)</f>
        <v>40701</v>
      </c>
      <c r="X25" s="410"/>
      <c r="Y25" s="410"/>
      <c r="Z25" s="410"/>
      <c r="AA25" s="386">
        <f>SUM(M25:Y25)</f>
        <v>198530</v>
      </c>
      <c r="AB25" s="386"/>
      <c r="AC25" s="386">
        <f>K25-AA25</f>
        <v>18542</v>
      </c>
    </row>
    <row r="26" spans="1:33">
      <c r="A26" s="408">
        <v>11</v>
      </c>
      <c r="B26" s="400"/>
      <c r="C26" s="391" t="s">
        <v>3031</v>
      </c>
      <c r="D26" s="400"/>
      <c r="E26" s="400"/>
      <c r="F26" s="400"/>
      <c r="G26" s="413">
        <f>G24+G25</f>
        <v>1483185</v>
      </c>
      <c r="H26" s="413"/>
      <c r="I26" s="413">
        <f>I24+I25</f>
        <v>0</v>
      </c>
      <c r="J26" s="413"/>
      <c r="K26" s="413">
        <f>K24+K25</f>
        <v>1483185</v>
      </c>
      <c r="L26" s="413"/>
      <c r="M26" s="413">
        <f>M24+M25</f>
        <v>742049</v>
      </c>
      <c r="N26" s="413"/>
      <c r="O26" s="413">
        <f>O24+O25</f>
        <v>47491</v>
      </c>
      <c r="P26" s="413"/>
      <c r="Q26" s="413">
        <f>Q24+Q25</f>
        <v>11426</v>
      </c>
      <c r="R26" s="413"/>
      <c r="S26" s="413">
        <f>S24+S25</f>
        <v>157256</v>
      </c>
      <c r="T26" s="413"/>
      <c r="U26" s="413">
        <f>U24+U25</f>
        <v>31706</v>
      </c>
      <c r="V26" s="413"/>
      <c r="W26" s="413">
        <f>W24+W25</f>
        <v>40701</v>
      </c>
      <c r="X26" s="413"/>
      <c r="Y26" s="413">
        <f>Y24+Y25</f>
        <v>0</v>
      </c>
      <c r="Z26" s="413"/>
      <c r="AA26" s="413">
        <f>AA24+AA25</f>
        <v>1030629</v>
      </c>
      <c r="AB26" s="414"/>
      <c r="AC26" s="413">
        <f>AC24+AC25</f>
        <v>452556</v>
      </c>
    </row>
    <row r="27" spans="1:33">
      <c r="A27" s="408">
        <v>12</v>
      </c>
      <c r="B27" s="399" t="s">
        <v>3032</v>
      </c>
      <c r="C27" s="391" t="s">
        <v>3033</v>
      </c>
      <c r="D27" s="400"/>
      <c r="E27" s="400"/>
      <c r="F27" s="400"/>
      <c r="G27" s="410">
        <v>-69</v>
      </c>
      <c r="H27" s="410"/>
      <c r="I27" s="410"/>
      <c r="J27" s="410"/>
      <c r="K27" s="410">
        <f>ROUND( G27-I27, RoundDigits )</f>
        <v>-69</v>
      </c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>
        <f>-69+69</f>
        <v>0</v>
      </c>
      <c r="Z27" s="410"/>
      <c r="AA27" s="386">
        <f>SUM(M27:Y27)</f>
        <v>0</v>
      </c>
      <c r="AB27" s="386"/>
      <c r="AC27" s="386">
        <f>K27-AA27</f>
        <v>-69</v>
      </c>
    </row>
    <row r="28" spans="1:33">
      <c r="A28" s="408">
        <v>13</v>
      </c>
      <c r="B28" s="400"/>
      <c r="C28" s="412" t="s">
        <v>3034</v>
      </c>
      <c r="D28" s="400"/>
      <c r="E28" s="400"/>
      <c r="F28" s="400"/>
      <c r="G28" s="417">
        <f>+G26+G27</f>
        <v>1483116</v>
      </c>
      <c r="H28" s="417"/>
      <c r="I28" s="417">
        <f>+I26-I27</f>
        <v>0</v>
      </c>
      <c r="J28" s="417"/>
      <c r="K28" s="417">
        <f>+K26+K27</f>
        <v>1483116</v>
      </c>
      <c r="L28" s="417"/>
      <c r="M28" s="417">
        <f>+M26+M27</f>
        <v>742049</v>
      </c>
      <c r="N28" s="417"/>
      <c r="O28" s="417">
        <f>+O26+O27</f>
        <v>47491</v>
      </c>
      <c r="P28" s="417"/>
      <c r="Q28" s="417">
        <f>+Q26+Q27</f>
        <v>11426</v>
      </c>
      <c r="R28" s="417"/>
      <c r="S28" s="417">
        <f>+S26+S27</f>
        <v>157256</v>
      </c>
      <c r="T28" s="417"/>
      <c r="U28" s="417">
        <f>+U26+U27</f>
        <v>31706</v>
      </c>
      <c r="V28" s="417"/>
      <c r="W28" s="417">
        <f>+W26+W27</f>
        <v>40701</v>
      </c>
      <c r="X28" s="417"/>
      <c r="Y28" s="417">
        <f>+Y26+Y27</f>
        <v>0</v>
      </c>
      <c r="Z28" s="417"/>
      <c r="AA28" s="417">
        <f>+AA26+AA27</f>
        <v>1030629</v>
      </c>
      <c r="AB28" s="418"/>
      <c r="AC28" s="417">
        <f>+AC26+AC27</f>
        <v>452487</v>
      </c>
    </row>
    <row r="29" spans="1:33">
      <c r="A29" s="408"/>
      <c r="B29" s="400"/>
      <c r="D29" s="400"/>
      <c r="E29" s="400"/>
      <c r="F29" s="400"/>
      <c r="G29" s="419"/>
      <c r="H29" s="410"/>
      <c r="I29" s="419"/>
      <c r="J29" s="410"/>
      <c r="K29" s="419"/>
      <c r="L29" s="419"/>
      <c r="M29" s="419"/>
      <c r="N29" s="419"/>
      <c r="O29" s="419"/>
      <c r="P29" s="410"/>
      <c r="Q29" s="419"/>
      <c r="R29" s="410"/>
      <c r="S29" s="419"/>
      <c r="T29" s="410"/>
      <c r="U29" s="410"/>
      <c r="V29" s="410"/>
      <c r="W29" s="419"/>
      <c r="X29" s="410"/>
      <c r="Y29" s="410"/>
      <c r="Z29" s="410"/>
      <c r="AA29" s="419"/>
      <c r="AB29" s="386"/>
      <c r="AC29" s="419"/>
    </row>
    <row r="30" spans="1:33">
      <c r="A30" s="408">
        <v>14</v>
      </c>
      <c r="B30" s="400"/>
      <c r="C30" s="391" t="s">
        <v>3035</v>
      </c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</row>
    <row r="31" spans="1:33">
      <c r="A31" s="408">
        <v>15</v>
      </c>
      <c r="B31" s="399" t="s">
        <v>3036</v>
      </c>
      <c r="C31" s="391" t="s">
        <v>1501</v>
      </c>
      <c r="D31" s="400"/>
      <c r="E31" s="400"/>
      <c r="F31" s="400"/>
      <c r="G31" s="410">
        <v>0</v>
      </c>
      <c r="H31" s="410"/>
      <c r="I31" s="409">
        <v>0</v>
      </c>
      <c r="J31" s="410"/>
      <c r="K31" s="410">
        <f t="shared" ref="K31:K38" si="3">ROUND( G31-I31, RoundDigits )</f>
        <v>0</v>
      </c>
      <c r="L31" s="410"/>
      <c r="M31" s="409">
        <v>0</v>
      </c>
      <c r="N31" s="410"/>
      <c r="O31" s="409">
        <v>0</v>
      </c>
      <c r="P31" s="410"/>
      <c r="Q31" s="409">
        <v>0</v>
      </c>
      <c r="R31" s="410"/>
      <c r="S31" s="409">
        <v>0</v>
      </c>
      <c r="T31" s="410"/>
      <c r="U31" s="409">
        <v>0</v>
      </c>
      <c r="V31" s="410"/>
      <c r="W31" s="409">
        <v>0</v>
      </c>
      <c r="X31" s="410"/>
      <c r="Y31" s="409">
        <v>0</v>
      </c>
      <c r="Z31" s="410"/>
      <c r="AA31" s="386">
        <f t="shared" ref="AA31:AA38" si="4">SUM(M31:Y31)</f>
        <v>0</v>
      </c>
      <c r="AB31" s="386"/>
      <c r="AC31" s="386">
        <f t="shared" ref="AC31:AC38" si="5">K31-AA31</f>
        <v>0</v>
      </c>
    </row>
    <row r="32" spans="1:33">
      <c r="A32" s="408">
        <v>16</v>
      </c>
      <c r="B32" s="399" t="s">
        <v>1502</v>
      </c>
      <c r="C32" s="391" t="s">
        <v>1503</v>
      </c>
      <c r="G32" s="386">
        <v>44511</v>
      </c>
      <c r="H32" s="386"/>
      <c r="I32" s="409">
        <v>0</v>
      </c>
      <c r="J32" s="386"/>
      <c r="K32" s="410">
        <f t="shared" si="3"/>
        <v>44511</v>
      </c>
      <c r="L32" s="410"/>
      <c r="M32" s="409">
        <v>0</v>
      </c>
      <c r="N32" s="386"/>
      <c r="O32" s="409">
        <v>0</v>
      </c>
      <c r="P32" s="386"/>
      <c r="Q32" s="409">
        <v>0</v>
      </c>
      <c r="R32" s="386"/>
      <c r="S32" s="409">
        <v>0</v>
      </c>
      <c r="T32" s="386"/>
      <c r="U32" s="386">
        <f>ROUND(-RRCOMB3!E1038/1000,0)</f>
        <v>40355</v>
      </c>
      <c r="V32" s="386"/>
      <c r="W32" s="409">
        <v>0</v>
      </c>
      <c r="X32" s="386"/>
      <c r="Y32" s="386">
        <v>0</v>
      </c>
      <c r="Z32" s="386"/>
      <c r="AA32" s="386">
        <f t="shared" si="4"/>
        <v>40355</v>
      </c>
      <c r="AB32" s="386"/>
      <c r="AC32" s="386">
        <f t="shared" si="5"/>
        <v>4156</v>
      </c>
    </row>
    <row r="33" spans="1:33">
      <c r="A33" s="408">
        <v>17</v>
      </c>
      <c r="B33" s="396" t="s">
        <v>1504</v>
      </c>
      <c r="C33" s="391" t="s">
        <v>1505</v>
      </c>
      <c r="D33" s="400"/>
      <c r="E33" s="400"/>
      <c r="F33" s="400"/>
      <c r="G33" s="410">
        <v>0</v>
      </c>
      <c r="H33" s="410"/>
      <c r="I33" s="409">
        <v>0</v>
      </c>
      <c r="J33" s="410"/>
      <c r="K33" s="410">
        <f t="shared" si="3"/>
        <v>0</v>
      </c>
      <c r="L33" s="410"/>
      <c r="M33" s="409">
        <v>0</v>
      </c>
      <c r="N33" s="410"/>
      <c r="O33" s="409">
        <v>0</v>
      </c>
      <c r="P33" s="410"/>
      <c r="Q33" s="409">
        <v>0</v>
      </c>
      <c r="R33" s="410"/>
      <c r="S33" s="409">
        <v>0</v>
      </c>
      <c r="T33" s="410"/>
      <c r="U33" s="409">
        <v>0</v>
      </c>
      <c r="V33" s="410"/>
      <c r="W33" s="409">
        <v>0</v>
      </c>
      <c r="X33" s="410"/>
      <c r="Y33" s="409">
        <v>0</v>
      </c>
      <c r="Z33" s="410"/>
      <c r="AA33" s="386">
        <f t="shared" si="4"/>
        <v>0</v>
      </c>
      <c r="AB33" s="386"/>
      <c r="AC33" s="386">
        <f t="shared" si="5"/>
        <v>0</v>
      </c>
    </row>
    <row r="34" spans="1:33">
      <c r="A34" s="408">
        <v>18</v>
      </c>
      <c r="B34" s="399" t="s">
        <v>1506</v>
      </c>
      <c r="C34" s="391" t="s">
        <v>1507</v>
      </c>
      <c r="G34" s="386">
        <v>5554</v>
      </c>
      <c r="H34" s="386"/>
      <c r="I34" s="409">
        <v>0</v>
      </c>
      <c r="J34" s="386"/>
      <c r="K34" s="410">
        <f t="shared" si="3"/>
        <v>5554</v>
      </c>
      <c r="L34" s="410"/>
      <c r="M34" s="409">
        <v>0</v>
      </c>
      <c r="N34" s="386"/>
      <c r="O34" s="409">
        <v>0</v>
      </c>
      <c r="P34" s="386"/>
      <c r="Q34" s="409">
        <v>0</v>
      </c>
      <c r="R34" s="386"/>
      <c r="S34" s="409">
        <v>0</v>
      </c>
      <c r="T34" s="386"/>
      <c r="U34" s="409">
        <v>0</v>
      </c>
      <c r="V34" s="386"/>
      <c r="W34" s="409">
        <v>0</v>
      </c>
      <c r="X34" s="386"/>
      <c r="Y34" s="409">
        <v>0</v>
      </c>
      <c r="Z34" s="386"/>
      <c r="AA34" s="386">
        <f t="shared" si="4"/>
        <v>0</v>
      </c>
      <c r="AB34" s="386"/>
      <c r="AC34" s="386">
        <f t="shared" si="5"/>
        <v>5554</v>
      </c>
    </row>
    <row r="35" spans="1:33">
      <c r="A35" s="408">
        <v>19</v>
      </c>
      <c r="B35" s="396" t="s">
        <v>1508</v>
      </c>
      <c r="C35" s="391" t="s">
        <v>1509</v>
      </c>
      <c r="D35" s="400"/>
      <c r="E35" s="400"/>
      <c r="F35" s="400"/>
      <c r="G35" s="410">
        <v>0</v>
      </c>
      <c r="H35" s="410"/>
      <c r="I35" s="409">
        <v>0</v>
      </c>
      <c r="J35" s="410"/>
      <c r="K35" s="410">
        <f t="shared" si="3"/>
        <v>0</v>
      </c>
      <c r="L35" s="410"/>
      <c r="M35" s="409">
        <v>0</v>
      </c>
      <c r="N35" s="410"/>
      <c r="O35" s="409">
        <v>0</v>
      </c>
      <c r="P35" s="410"/>
      <c r="Q35" s="409">
        <v>0</v>
      </c>
      <c r="R35" s="410"/>
      <c r="S35" s="409">
        <v>0</v>
      </c>
      <c r="T35" s="410"/>
      <c r="U35" s="409">
        <v>0</v>
      </c>
      <c r="V35" s="410"/>
      <c r="W35" s="409">
        <v>0</v>
      </c>
      <c r="X35" s="410"/>
      <c r="Y35" s="409">
        <v>0</v>
      </c>
      <c r="Z35" s="410"/>
      <c r="AA35" s="386">
        <f t="shared" si="4"/>
        <v>0</v>
      </c>
      <c r="AB35" s="386"/>
      <c r="AC35" s="386">
        <f t="shared" si="5"/>
        <v>0</v>
      </c>
    </row>
    <row r="36" spans="1:33">
      <c r="A36" s="408">
        <v>20</v>
      </c>
      <c r="B36" s="399" t="s">
        <v>1510</v>
      </c>
      <c r="C36" s="391" t="s">
        <v>1511</v>
      </c>
      <c r="G36" s="386">
        <v>10220</v>
      </c>
      <c r="H36" s="386"/>
      <c r="I36" s="409">
        <v>0</v>
      </c>
      <c r="J36" s="386"/>
      <c r="K36" s="410">
        <f t="shared" si="3"/>
        <v>10220</v>
      </c>
      <c r="L36" s="410"/>
      <c r="M36" s="386">
        <f>K36</f>
        <v>10220</v>
      </c>
      <c r="N36" s="386"/>
      <c r="O36" s="409">
        <v>0</v>
      </c>
      <c r="P36" s="386"/>
      <c r="Q36" s="409">
        <v>0</v>
      </c>
      <c r="R36" s="386"/>
      <c r="S36" s="409">
        <v>0</v>
      </c>
      <c r="T36" s="386"/>
      <c r="U36" s="409">
        <v>0</v>
      </c>
      <c r="V36" s="386"/>
      <c r="W36" s="409">
        <v>0</v>
      </c>
      <c r="X36" s="386"/>
      <c r="Y36" s="409">
        <v>0</v>
      </c>
      <c r="Z36" s="386"/>
      <c r="AA36" s="386">
        <f t="shared" si="4"/>
        <v>10220</v>
      </c>
      <c r="AB36" s="386"/>
      <c r="AC36" s="386">
        <f t="shared" si="5"/>
        <v>0</v>
      </c>
    </row>
    <row r="37" spans="1:33">
      <c r="A37" s="408">
        <v>21</v>
      </c>
      <c r="B37" s="396" t="s">
        <v>1510</v>
      </c>
      <c r="C37" s="391" t="s">
        <v>1512</v>
      </c>
      <c r="G37" s="386">
        <v>0</v>
      </c>
      <c r="H37" s="386"/>
      <c r="I37" s="409">
        <v>0</v>
      </c>
      <c r="J37" s="386"/>
      <c r="K37" s="410">
        <f t="shared" si="3"/>
        <v>0</v>
      </c>
      <c r="L37" s="410"/>
      <c r="M37" s="409">
        <v>0</v>
      </c>
      <c r="N37" s="386"/>
      <c r="O37" s="409">
        <v>0</v>
      </c>
      <c r="P37" s="386"/>
      <c r="Q37" s="409">
        <v>0</v>
      </c>
      <c r="R37" s="386"/>
      <c r="S37" s="409">
        <v>0</v>
      </c>
      <c r="T37" s="386"/>
      <c r="U37" s="409">
        <v>0</v>
      </c>
      <c r="V37" s="386"/>
      <c r="W37" s="409">
        <v>0</v>
      </c>
      <c r="X37" s="386"/>
      <c r="Y37" s="409">
        <v>0</v>
      </c>
      <c r="Z37" s="386"/>
      <c r="AA37" s="386">
        <f t="shared" si="4"/>
        <v>0</v>
      </c>
      <c r="AB37" s="386"/>
      <c r="AC37" s="386">
        <f t="shared" si="5"/>
        <v>0</v>
      </c>
    </row>
    <row r="38" spans="1:33">
      <c r="A38" s="408">
        <v>22</v>
      </c>
      <c r="B38" s="399" t="s">
        <v>1510</v>
      </c>
      <c r="C38" s="391" t="s">
        <v>266</v>
      </c>
      <c r="D38" s="400"/>
      <c r="E38" s="400"/>
      <c r="F38" s="400"/>
      <c r="G38" s="410">
        <v>14861</v>
      </c>
      <c r="H38" s="410"/>
      <c r="I38" s="409">
        <v>0</v>
      </c>
      <c r="J38" s="410"/>
      <c r="K38" s="410">
        <f t="shared" si="3"/>
        <v>14861</v>
      </c>
      <c r="L38" s="410"/>
      <c r="M38" s="410">
        <f>ROUND(RRCOMB4!M146/1000,0)</f>
        <v>-40</v>
      </c>
      <c r="N38" s="410"/>
      <c r="O38" s="410">
        <f>ROUND(_12MTDPPCCOUR/1000,0)</f>
        <v>924</v>
      </c>
      <c r="P38" s="410"/>
      <c r="Q38" s="410">
        <f>ROUND(RRCOMB3!T1853/1000,0)</f>
        <v>-802</v>
      </c>
      <c r="R38" s="410"/>
      <c r="S38" s="410">
        <f>ROUND((RRCOMB3!R1697+RRCOMB3!Y1724+RRCOMB3!AB1724)/1000,0)</f>
        <v>2255</v>
      </c>
      <c r="T38" s="410"/>
      <c r="U38" s="409">
        <v>0</v>
      </c>
      <c r="V38" s="410"/>
      <c r="W38" s="409">
        <v>0</v>
      </c>
      <c r="X38" s="410"/>
      <c r="Y38" s="410"/>
      <c r="Z38" s="410"/>
      <c r="AA38" s="386">
        <f t="shared" si="4"/>
        <v>2337</v>
      </c>
      <c r="AB38" s="386"/>
      <c r="AC38" s="386">
        <f t="shared" si="5"/>
        <v>12524</v>
      </c>
    </row>
    <row r="39" spans="1:33">
      <c r="A39" s="408">
        <v>23</v>
      </c>
      <c r="B39" s="400"/>
      <c r="C39" s="391" t="s">
        <v>1513</v>
      </c>
      <c r="D39" s="400"/>
      <c r="E39" s="400"/>
      <c r="F39" s="400"/>
      <c r="G39" s="417">
        <f>SUM(G31:G38)</f>
        <v>75146</v>
      </c>
      <c r="H39" s="417"/>
      <c r="I39" s="417">
        <f>SUM(I31:I38)</f>
        <v>0</v>
      </c>
      <c r="J39" s="417"/>
      <c r="K39" s="417">
        <f>SUM(K31:K38)</f>
        <v>75146</v>
      </c>
      <c r="L39" s="417"/>
      <c r="M39" s="417">
        <f>SUM(M31:M38)</f>
        <v>10180</v>
      </c>
      <c r="N39" s="417"/>
      <c r="O39" s="417">
        <f>SUM(O31:O38)</f>
        <v>924</v>
      </c>
      <c r="P39" s="417"/>
      <c r="Q39" s="417">
        <f>SUM(Q31:Q38)</f>
        <v>-802</v>
      </c>
      <c r="R39" s="417"/>
      <c r="S39" s="417">
        <f>SUM(S31:S38)</f>
        <v>2255</v>
      </c>
      <c r="T39" s="417"/>
      <c r="U39" s="417">
        <f>SUM(U31:U38)</f>
        <v>40355</v>
      </c>
      <c r="V39" s="417"/>
      <c r="W39" s="417">
        <f>SUM(W31:W38)</f>
        <v>0</v>
      </c>
      <c r="X39" s="417"/>
      <c r="Y39" s="417">
        <f>SUM(Y31:Y38)</f>
        <v>0</v>
      </c>
      <c r="Z39" s="417"/>
      <c r="AA39" s="417">
        <f>SUM(AA31:AA38)</f>
        <v>52912</v>
      </c>
      <c r="AB39" s="418"/>
      <c r="AC39" s="417">
        <f>SUM(AC31:AC38)</f>
        <v>22234</v>
      </c>
    </row>
    <row r="40" spans="1:33">
      <c r="A40" s="408"/>
      <c r="B40" s="400"/>
      <c r="C40" s="400"/>
      <c r="D40" s="400"/>
      <c r="E40" s="400"/>
      <c r="F40" s="400"/>
      <c r="G40" s="419"/>
      <c r="H40" s="410"/>
      <c r="I40" s="419"/>
      <c r="J40" s="410"/>
      <c r="K40" s="419"/>
      <c r="L40" s="419"/>
      <c r="M40" s="419"/>
      <c r="N40" s="410"/>
      <c r="O40" s="419"/>
      <c r="P40" s="410"/>
      <c r="Q40" s="419"/>
      <c r="R40" s="410"/>
      <c r="S40" s="419"/>
      <c r="T40" s="410"/>
      <c r="U40" s="419"/>
      <c r="V40" s="419"/>
      <c r="W40" s="419"/>
      <c r="X40" s="419"/>
      <c r="Y40" s="419"/>
      <c r="Z40" s="419"/>
      <c r="AA40" s="419"/>
      <c r="AB40" s="386"/>
      <c r="AC40" s="419"/>
    </row>
    <row r="41" spans="1:33" ht="13.5" thickBot="1">
      <c r="A41" s="408">
        <v>24</v>
      </c>
      <c r="B41" s="400"/>
      <c r="C41" s="391" t="s">
        <v>1514</v>
      </c>
      <c r="D41" s="400"/>
      <c r="E41" s="400"/>
      <c r="G41" s="410">
        <f>+G39+G28</f>
        <v>1558262</v>
      </c>
      <c r="H41" s="410"/>
      <c r="I41" s="410">
        <f>+I39+I28</f>
        <v>0</v>
      </c>
      <c r="J41" s="410"/>
      <c r="K41" s="410">
        <f>+K39+K28</f>
        <v>1558262</v>
      </c>
      <c r="L41" s="410"/>
      <c r="M41" s="410">
        <f>+M39+M28</f>
        <v>752229</v>
      </c>
      <c r="N41" s="410"/>
      <c r="O41" s="410">
        <f>+O39+O28</f>
        <v>48415</v>
      </c>
      <c r="P41" s="410"/>
      <c r="Q41" s="410">
        <f>+Q39+Q28</f>
        <v>10624</v>
      </c>
      <c r="R41" s="410"/>
      <c r="S41" s="410">
        <f>+S39+S28</f>
        <v>159511</v>
      </c>
      <c r="T41" s="410"/>
      <c r="U41" s="410">
        <f>+U39+U28</f>
        <v>72061</v>
      </c>
      <c r="V41" s="410"/>
      <c r="W41" s="410">
        <f>+W39+W28</f>
        <v>40701</v>
      </c>
      <c r="X41" s="410"/>
      <c r="Y41" s="410">
        <f>+Y39+Y28</f>
        <v>0</v>
      </c>
      <c r="Z41" s="410"/>
      <c r="AA41" s="410">
        <f>+AA39+AA28</f>
        <v>1083541</v>
      </c>
      <c r="AB41" s="410"/>
      <c r="AC41" s="410">
        <f>+AC39+AC28</f>
        <v>474721</v>
      </c>
      <c r="AF41" s="415"/>
      <c r="AG41" s="211"/>
    </row>
    <row r="42" spans="1:33" ht="13.5" thickTop="1">
      <c r="B42" s="40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</row>
    <row r="43" spans="1:33">
      <c r="G43" s="386"/>
      <c r="H43" s="386"/>
      <c r="AB43" s="386"/>
      <c r="AC43" s="386"/>
    </row>
    <row r="44" spans="1:33">
      <c r="A44" s="400"/>
      <c r="B44" s="400"/>
      <c r="C44" s="400"/>
      <c r="D44" s="400"/>
      <c r="E44" s="400"/>
      <c r="F44" s="400"/>
      <c r="G44" s="410"/>
      <c r="H44" s="410"/>
      <c r="AB44" s="386"/>
      <c r="AC44" s="386"/>
    </row>
    <row r="45" spans="1:33"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</row>
    <row r="46" spans="1:33"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</row>
    <row r="47" spans="1:33"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</row>
    <row r="48" spans="1:33"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</row>
    <row r="52" spans="1:29">
      <c r="A52" s="403"/>
      <c r="B52" s="403"/>
      <c r="C52" s="404"/>
      <c r="D52" s="404"/>
      <c r="E52" s="402"/>
      <c r="F52" s="402"/>
      <c r="G52" s="55"/>
      <c r="H52" s="402"/>
      <c r="I52" s="402"/>
      <c r="J52" s="402"/>
      <c r="K52" s="402"/>
      <c r="L52" s="402"/>
      <c r="M52" s="402"/>
      <c r="N52" s="402"/>
      <c r="O52" s="402"/>
      <c r="P52" s="402"/>
      <c r="Q52" s="404"/>
      <c r="R52" s="404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</row>
    <row r="53" spans="1:29">
      <c r="A53" s="412" t="s">
        <v>203</v>
      </c>
      <c r="B53" s="412"/>
      <c r="C53" s="400"/>
      <c r="D53" s="400"/>
      <c r="E53" s="400"/>
      <c r="F53" s="400"/>
      <c r="G53" s="410"/>
      <c r="H53" s="400"/>
      <c r="I53" s="400"/>
      <c r="J53" s="400"/>
      <c r="K53" s="400"/>
      <c r="L53" s="400"/>
      <c r="M53" s="400"/>
      <c r="N53" s="400"/>
      <c r="P53" s="412"/>
      <c r="Q53" s="400"/>
      <c r="R53" s="400"/>
      <c r="S53" s="391" t="s">
        <v>2528</v>
      </c>
      <c r="T53" s="391"/>
      <c r="U53" s="400"/>
      <c r="V53" s="400"/>
      <c r="X53" s="400"/>
      <c r="Y53" s="412" t="s">
        <v>270</v>
      </c>
      <c r="Z53" s="400"/>
    </row>
    <row r="54" spans="1:29">
      <c r="B54" s="421"/>
      <c r="C54" s="421">
        <f ca="1">NOW()</f>
        <v>40809.620665740738</v>
      </c>
    </row>
    <row r="55" spans="1:29">
      <c r="K55" s="422"/>
      <c r="L55" s="377"/>
      <c r="M55" s="423"/>
      <c r="O55" s="54"/>
      <c r="Q55" s="54"/>
      <c r="S55" s="54"/>
      <c r="U55" s="54"/>
      <c r="Y55" s="54"/>
    </row>
    <row r="56" spans="1:29">
      <c r="K56" s="422"/>
      <c r="L56" s="377"/>
      <c r="M56" s="377"/>
    </row>
    <row r="57" spans="1:29">
      <c r="K57" s="422"/>
      <c r="L57" s="377"/>
      <c r="M57" s="377"/>
    </row>
    <row r="58" spans="1:29">
      <c r="K58" s="422"/>
      <c r="L58" s="377"/>
      <c r="M58" s="377"/>
      <c r="Q58" s="386">
        <f>795796.47/1000</f>
        <v>795.79647</v>
      </c>
    </row>
    <row r="59" spans="1:29">
      <c r="K59" s="117"/>
      <c r="L59" s="377"/>
      <c r="M59" s="377"/>
    </row>
    <row r="60" spans="1:29">
      <c r="K60" s="423"/>
      <c r="L60" s="377"/>
      <c r="M60" s="377"/>
    </row>
    <row r="69" spans="9:27">
      <c r="J69" s="386"/>
      <c r="K69" s="424" t="s">
        <v>2213</v>
      </c>
      <c r="L69" s="386"/>
      <c r="M69" s="386">
        <v>752276</v>
      </c>
      <c r="N69" s="386"/>
      <c r="O69" s="386">
        <v>48402</v>
      </c>
      <c r="P69" s="386"/>
      <c r="Q69" s="386">
        <v>10625</v>
      </c>
      <c r="R69" s="386"/>
      <c r="S69" s="386">
        <v>159511</v>
      </c>
      <c r="T69" s="386"/>
      <c r="U69" s="386"/>
      <c r="V69" s="386"/>
      <c r="W69" s="386"/>
      <c r="X69" s="386"/>
      <c r="Y69" s="386" t="s">
        <v>2214</v>
      </c>
      <c r="Z69" s="386"/>
      <c r="AA69" s="386">
        <f>-(RRCOMB3!D1043+RRCOMB3!E1043)/1000</f>
        <v>1083541.0084287336</v>
      </c>
    </row>
    <row r="70" spans="9:27">
      <c r="I70" s="410"/>
      <c r="J70" s="410"/>
      <c r="K70" s="410" t="s">
        <v>2273</v>
      </c>
      <c r="L70" s="410"/>
      <c r="M70" s="410">
        <f>M41-M69</f>
        <v>-47</v>
      </c>
      <c r="N70" s="410"/>
      <c r="O70" s="410">
        <f>O41-O69</f>
        <v>13</v>
      </c>
      <c r="P70" s="410"/>
      <c r="Q70" s="410">
        <f>Q41-Q69</f>
        <v>-1</v>
      </c>
      <c r="R70" s="410"/>
      <c r="S70" s="410">
        <f>S41-S69</f>
        <v>0</v>
      </c>
      <c r="T70" s="410"/>
      <c r="U70" s="410"/>
      <c r="V70" s="410"/>
      <c r="W70" s="410"/>
      <c r="X70" s="410"/>
      <c r="Y70" s="410"/>
      <c r="Z70" s="410"/>
      <c r="AA70" s="386">
        <f>AA41-AA69</f>
        <v>-8.4287335630506277E-3</v>
      </c>
    </row>
  </sheetData>
  <mergeCells count="1">
    <mergeCell ref="M8:AA8"/>
  </mergeCells>
  <phoneticPr fontId="2" type="noConversion"/>
  <pageMargins left="0.75" right="0.5" top="1" bottom="0.5" header="0.5" footer="0.5"/>
  <pageSetup scale="72" orientation="landscape" r:id="rId1"/>
  <headerFooter alignWithMargins="0"/>
  <rowBreaks count="1" manualBreakCount="1">
    <brk id="54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8" enableFormatConditionsCalculation="0"/>
  <dimension ref="A1:Q33"/>
  <sheetViews>
    <sheetView view="pageBreakPreview" zoomScaleNormal="100" zoomScaleSheetLayoutView="100" workbookViewId="0"/>
  </sheetViews>
  <sheetFormatPr defaultRowHeight="12.75"/>
  <cols>
    <col min="1" max="1" width="13.28515625" style="214" bestFit="1" customWidth="1"/>
    <col min="2" max="2" width="5.28515625" style="214" customWidth="1"/>
    <col min="3" max="3" width="33" style="214" customWidth="1"/>
    <col min="4" max="6" width="9.140625" style="214"/>
    <col min="7" max="7" width="13" style="386" bestFit="1" customWidth="1"/>
    <col min="8" max="9" width="9.140625" style="214"/>
    <col min="10" max="17" width="4" style="214" bestFit="1" customWidth="1"/>
    <col min="18" max="18" width="7.7109375" style="214" customWidth="1"/>
    <col min="19" max="16384" width="9.140625" style="214"/>
  </cols>
  <sheetData>
    <row r="1" spans="1:9">
      <c r="B1" s="211" t="s">
        <v>3599</v>
      </c>
    </row>
    <row r="2" spans="1:9" ht="13.5" thickBot="1">
      <c r="B2" s="212" t="s">
        <v>3592</v>
      </c>
      <c r="C2" s="387"/>
      <c r="D2" s="387"/>
      <c r="E2" s="387"/>
    </row>
    <row r="3" spans="1:9" ht="13.5" thickTop="1"/>
    <row r="4" spans="1:9">
      <c r="G4" s="388" t="s">
        <v>111</v>
      </c>
    </row>
    <row r="5" spans="1:9">
      <c r="G5" s="389" t="s">
        <v>77</v>
      </c>
    </row>
    <row r="8" spans="1:9">
      <c r="B8" s="214" t="s">
        <v>3600</v>
      </c>
      <c r="F8" s="214" t="s">
        <v>3608</v>
      </c>
      <c r="G8" s="386">
        <f>'MFR G-11 TY'!AC25</f>
        <v>18542</v>
      </c>
    </row>
    <row r="9" spans="1:9">
      <c r="B9" s="214" t="s">
        <v>3601</v>
      </c>
      <c r="G9" s="55">
        <f>ROUND(-RRCOMB3!G1041/1000,0)</f>
        <v>-10970</v>
      </c>
    </row>
    <row r="10" spans="1:9">
      <c r="B10" s="214" t="s">
        <v>3595</v>
      </c>
      <c r="G10" s="386">
        <f>SUM(G8:G9)</f>
        <v>7572</v>
      </c>
    </row>
    <row r="11" spans="1:9">
      <c r="B11" s="214" t="s">
        <v>3596</v>
      </c>
      <c r="F11" s="214" t="s">
        <v>3607</v>
      </c>
      <c r="G11" s="390">
        <v>0.96690940000000003</v>
      </c>
      <c r="I11" s="214" t="s">
        <v>3597</v>
      </c>
    </row>
    <row r="12" spans="1:9">
      <c r="B12" s="214" t="s">
        <v>3602</v>
      </c>
      <c r="G12" s="386">
        <f>ROUND(G10*G11,0)</f>
        <v>7321</v>
      </c>
    </row>
    <row r="14" spans="1:9">
      <c r="A14" s="214" t="s">
        <v>3603</v>
      </c>
      <c r="B14" s="391" t="s">
        <v>3604</v>
      </c>
      <c r="F14" s="214" t="s">
        <v>3608</v>
      </c>
      <c r="G14" s="55">
        <f>'MFR G-11 TY'!AC24</f>
        <v>434014</v>
      </c>
    </row>
    <row r="15" spans="1:9">
      <c r="B15" s="214" t="s">
        <v>3605</v>
      </c>
      <c r="G15" s="386">
        <f>G12+G14</f>
        <v>441335</v>
      </c>
      <c r="H15" s="214" t="s">
        <v>3606</v>
      </c>
    </row>
    <row r="22" spans="2:17">
      <c r="B22" s="211" t="s">
        <v>3591</v>
      </c>
    </row>
    <row r="23" spans="2:17" ht="13.5" thickBot="1">
      <c r="B23" s="212" t="s">
        <v>3592</v>
      </c>
      <c r="C23" s="387"/>
      <c r="D23" s="387"/>
      <c r="E23" s="387"/>
      <c r="F23" s="387"/>
    </row>
    <row r="24" spans="2:17" ht="13.5" thickTop="1">
      <c r="G24" s="388" t="s">
        <v>111</v>
      </c>
    </row>
    <row r="25" spans="2:17">
      <c r="G25" s="389" t="s">
        <v>77</v>
      </c>
    </row>
    <row r="28" spans="2:17">
      <c r="B28" s="214" t="s">
        <v>3593</v>
      </c>
      <c r="F28" s="214" t="s">
        <v>3608</v>
      </c>
      <c r="G28" s="386">
        <f>ROUND('MFR G-11 TY'!AC39,0)</f>
        <v>22234</v>
      </c>
      <c r="I28" s="214" t="s">
        <v>3609</v>
      </c>
      <c r="J28" s="214" t="s">
        <v>3036</v>
      </c>
      <c r="K28" s="214" t="s">
        <v>1502</v>
      </c>
      <c r="L28" s="214" t="s">
        <v>1504</v>
      </c>
      <c r="M28" s="214" t="s">
        <v>1506</v>
      </c>
      <c r="N28" s="214" t="s">
        <v>1508</v>
      </c>
      <c r="O28" s="214" t="s">
        <v>1510</v>
      </c>
      <c r="P28" s="214" t="s">
        <v>1510</v>
      </c>
      <c r="Q28" s="214" t="s">
        <v>1510</v>
      </c>
    </row>
    <row r="29" spans="2:17">
      <c r="B29" s="214" t="s">
        <v>3594</v>
      </c>
      <c r="G29" s="392">
        <f>ROUND(-RRCOMB3!G1037/1000,0)</f>
        <v>-2943</v>
      </c>
    </row>
    <row r="30" spans="2:17">
      <c r="B30" s="214" t="s">
        <v>1232</v>
      </c>
      <c r="F30" s="214" t="s">
        <v>3608</v>
      </c>
      <c r="G30" s="55">
        <v>-69</v>
      </c>
      <c r="I30" s="214" t="s">
        <v>1233</v>
      </c>
    </row>
    <row r="31" spans="2:17">
      <c r="B31" s="214" t="s">
        <v>3595</v>
      </c>
      <c r="G31" s="386">
        <f>SUM(G28:G30)</f>
        <v>19222</v>
      </c>
    </row>
    <row r="32" spans="2:17">
      <c r="B32" s="214" t="s">
        <v>3596</v>
      </c>
      <c r="F32" s="214" t="s">
        <v>3607</v>
      </c>
      <c r="G32" s="390">
        <v>0.98090169999999999</v>
      </c>
      <c r="I32" s="214" t="s">
        <v>3597</v>
      </c>
    </row>
    <row r="33" spans="2:8">
      <c r="B33" s="214" t="s">
        <v>3598</v>
      </c>
      <c r="G33" s="386">
        <f>ROUND(G31*G32,0)</f>
        <v>18855</v>
      </c>
      <c r="H33" s="214" t="s">
        <v>3606</v>
      </c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O95"/>
  <sheetViews>
    <sheetView zoomScale="85" workbookViewId="0"/>
  </sheetViews>
  <sheetFormatPr defaultRowHeight="12.75"/>
  <cols>
    <col min="1" max="1" width="18.5703125" style="214" customWidth="1"/>
    <col min="2" max="2" width="12.5703125" style="214" customWidth="1"/>
    <col min="3" max="4" width="17.140625" style="214" bestFit="1" customWidth="1"/>
    <col min="5" max="5" width="14.85546875" style="214" bestFit="1" customWidth="1"/>
    <col min="6" max="6" width="10.140625" style="214" bestFit="1" customWidth="1"/>
    <col min="7" max="7" width="17.140625" style="214" bestFit="1" customWidth="1"/>
    <col min="8" max="8" width="9" style="214" bestFit="1" customWidth="1"/>
    <col min="9" max="9" width="11.28515625" style="214" bestFit="1" customWidth="1"/>
    <col min="10" max="10" width="16" style="214" bestFit="1" customWidth="1"/>
    <col min="11" max="11" width="11.28515625" style="214" bestFit="1" customWidth="1"/>
    <col min="12" max="12" width="16" style="214" bestFit="1" customWidth="1"/>
    <col min="13" max="13" width="11.28515625" style="214" bestFit="1" customWidth="1"/>
    <col min="14" max="14" width="16" style="214" bestFit="1" customWidth="1"/>
    <col min="15" max="15" width="3.42578125" style="214" customWidth="1"/>
    <col min="16" max="16384" width="9.140625" style="214"/>
  </cols>
  <sheetData>
    <row r="1" spans="1:14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64" t="s">
        <v>2554</v>
      </c>
    </row>
    <row r="2" spans="1:14">
      <c r="A2" s="373" t="s">
        <v>2555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>
      <c r="A3" s="373" t="s">
        <v>2556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>
      <c r="A4" s="373" t="s">
        <v>2157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</row>
    <row r="10" spans="1:14" ht="13.5" thickBot="1">
      <c r="I10" s="384" t="s">
        <v>2557</v>
      </c>
      <c r="J10" s="384"/>
      <c r="K10" s="384" t="s">
        <v>2558</v>
      </c>
      <c r="L10" s="384"/>
      <c r="M10" s="384" t="s">
        <v>2559</v>
      </c>
      <c r="N10" s="384"/>
    </row>
    <row r="11" spans="1:14">
      <c r="E11" s="373" t="s">
        <v>2560</v>
      </c>
      <c r="F11" s="373"/>
    </row>
    <row r="12" spans="1:14">
      <c r="C12" s="366" t="s">
        <v>2561</v>
      </c>
      <c r="D12" s="366" t="s">
        <v>2562</v>
      </c>
      <c r="E12" s="366"/>
      <c r="F12" s="366"/>
      <c r="G12" s="366" t="s">
        <v>2563</v>
      </c>
      <c r="H12" s="366" t="s">
        <v>2564</v>
      </c>
      <c r="I12" s="366" t="s">
        <v>2565</v>
      </c>
      <c r="J12" s="366" t="s">
        <v>2566</v>
      </c>
      <c r="K12" s="366" t="s">
        <v>2565</v>
      </c>
      <c r="L12" s="366" t="s">
        <v>2566</v>
      </c>
      <c r="M12" s="366" t="s">
        <v>2565</v>
      </c>
      <c r="N12" s="366" t="s">
        <v>2566</v>
      </c>
    </row>
    <row r="13" spans="1:14" ht="13.5" thickBot="1">
      <c r="A13" s="373" t="s">
        <v>2567</v>
      </c>
      <c r="B13" s="373"/>
      <c r="C13" s="375" t="s">
        <v>2568</v>
      </c>
      <c r="D13" s="375" t="s">
        <v>2568</v>
      </c>
      <c r="E13" s="375" t="s">
        <v>2569</v>
      </c>
      <c r="F13" s="375" t="s">
        <v>2570</v>
      </c>
      <c r="G13" s="375" t="s">
        <v>2562</v>
      </c>
      <c r="H13" s="375" t="s">
        <v>2571</v>
      </c>
      <c r="I13" s="375" t="s">
        <v>2571</v>
      </c>
      <c r="J13" s="375" t="s">
        <v>2571</v>
      </c>
      <c r="K13" s="375" t="s">
        <v>2571</v>
      </c>
      <c r="L13" s="375" t="s">
        <v>2571</v>
      </c>
      <c r="M13" s="375" t="s">
        <v>2571</v>
      </c>
      <c r="N13" s="375" t="s">
        <v>2571</v>
      </c>
    </row>
    <row r="15" spans="1:14">
      <c r="A15" s="214" t="s">
        <v>2572</v>
      </c>
      <c r="C15" s="215">
        <v>1191081752</v>
      </c>
      <c r="D15" s="215">
        <v>1052221620.2007647</v>
      </c>
      <c r="E15" s="215">
        <v>-389902705</v>
      </c>
      <c r="F15" s="215">
        <v>0</v>
      </c>
      <c r="G15" s="215">
        <v>662318915.20076466</v>
      </c>
      <c r="H15" s="243">
        <v>42.886423804700001</v>
      </c>
      <c r="I15" s="243">
        <v>4.4816358300000001</v>
      </c>
      <c r="J15" s="243">
        <v>1.9220133354</v>
      </c>
      <c r="K15" s="243">
        <v>4.4816358300000001</v>
      </c>
      <c r="L15" s="243">
        <v>1.9220133354</v>
      </c>
      <c r="M15" s="243">
        <v>4.4816358300000001</v>
      </c>
      <c r="N15" s="243">
        <v>1.9220133354</v>
      </c>
    </row>
    <row r="16" spans="1:14">
      <c r="A16" s="214" t="s">
        <v>2573</v>
      </c>
      <c r="C16" s="215">
        <v>45742650</v>
      </c>
      <c r="D16" s="215">
        <v>26263323</v>
      </c>
      <c r="E16" s="215">
        <v>-9731924</v>
      </c>
      <c r="F16" s="215">
        <v>0</v>
      </c>
      <c r="G16" s="215">
        <v>16531399</v>
      </c>
      <c r="H16" s="243">
        <v>1.0704398852999999</v>
      </c>
      <c r="I16" s="243">
        <v>0.31</v>
      </c>
      <c r="J16" s="243">
        <v>3.3183636000000002E-3</v>
      </c>
      <c r="K16" s="243">
        <v>0.31</v>
      </c>
      <c r="L16" s="243">
        <v>3.3183636000000002E-3</v>
      </c>
      <c r="M16" s="243">
        <v>0.31</v>
      </c>
      <c r="N16" s="243">
        <v>3.3183636000000002E-3</v>
      </c>
    </row>
    <row r="17" spans="1:15">
      <c r="A17" s="214" t="s">
        <v>2574</v>
      </c>
      <c r="C17" s="215">
        <v>97998345</v>
      </c>
      <c r="D17" s="215">
        <v>84787749</v>
      </c>
      <c r="E17" s="215">
        <v>-31418260</v>
      </c>
      <c r="F17" s="215">
        <v>0</v>
      </c>
      <c r="G17" s="215">
        <v>53369489</v>
      </c>
      <c r="H17" s="243">
        <v>3.4557770749999999</v>
      </c>
      <c r="I17" s="243">
        <v>6.3974069999999994</v>
      </c>
      <c r="J17" s="243">
        <v>0.2210801245</v>
      </c>
      <c r="K17" s="243">
        <v>6.3974069999999994</v>
      </c>
      <c r="L17" s="243">
        <v>0.2210801245</v>
      </c>
      <c r="M17" s="243">
        <v>6.3974069999999994</v>
      </c>
      <c r="N17" s="243">
        <v>0.2210801245</v>
      </c>
    </row>
    <row r="18" spans="1:15">
      <c r="A18" s="214" t="s">
        <v>2575</v>
      </c>
      <c r="C18" s="215">
        <v>35060633</v>
      </c>
      <c r="D18" s="215">
        <v>35237081</v>
      </c>
      <c r="E18" s="215">
        <v>-13057167</v>
      </c>
      <c r="F18" s="215">
        <v>0</v>
      </c>
      <c r="G18" s="215">
        <v>22179914</v>
      </c>
      <c r="H18" s="243">
        <v>1.4361920971</v>
      </c>
      <c r="I18" s="243">
        <v>6.3</v>
      </c>
      <c r="J18" s="243">
        <v>9.0480102100000001E-2</v>
      </c>
      <c r="K18" s="243">
        <v>6.3</v>
      </c>
      <c r="L18" s="243">
        <v>9.0480102100000001E-2</v>
      </c>
      <c r="M18" s="243">
        <v>6.3</v>
      </c>
      <c r="N18" s="243">
        <v>9.0480102100000001E-2</v>
      </c>
    </row>
    <row r="19" spans="1:15">
      <c r="A19" s="214" t="s">
        <v>2576</v>
      </c>
      <c r="C19" s="215">
        <v>1073746182</v>
      </c>
      <c r="D19" s="215">
        <v>956930371</v>
      </c>
      <c r="E19" s="215">
        <v>-354592353</v>
      </c>
      <c r="F19" s="215">
        <v>0</v>
      </c>
      <c r="G19" s="215">
        <v>602338018</v>
      </c>
      <c r="H19" s="243">
        <v>39.002545330899999</v>
      </c>
      <c r="I19" s="243">
        <v>10.75</v>
      </c>
      <c r="J19" s="243">
        <v>4.1927736230999999</v>
      </c>
      <c r="K19" s="243">
        <v>12</v>
      </c>
      <c r="L19" s="243">
        <v>4.6803054396999997</v>
      </c>
      <c r="M19" s="243">
        <v>12.75</v>
      </c>
      <c r="N19" s="243">
        <v>4.9728245297000004</v>
      </c>
    </row>
    <row r="20" spans="1:15">
      <c r="A20" s="214" t="s">
        <v>2577</v>
      </c>
      <c r="C20" s="215">
        <v>346494848</v>
      </c>
      <c r="D20" s="215">
        <v>320256676</v>
      </c>
      <c r="E20" s="215">
        <v>-118671715</v>
      </c>
      <c r="F20" s="215">
        <v>0</v>
      </c>
      <c r="G20" s="215">
        <v>201584961</v>
      </c>
      <c r="H20" s="243">
        <v>13.053013996200011</v>
      </c>
      <c r="I20" s="243" t="s">
        <v>2528</v>
      </c>
      <c r="J20" s="243" t="s">
        <v>2528</v>
      </c>
      <c r="K20" s="243" t="s">
        <v>2528</v>
      </c>
      <c r="L20" s="243" t="s">
        <v>2528</v>
      </c>
      <c r="M20" s="243" t="s">
        <v>2528</v>
      </c>
      <c r="N20" s="243" t="s">
        <v>2528</v>
      </c>
    </row>
    <row r="21" spans="1:15">
      <c r="A21" s="214" t="s">
        <v>2578</v>
      </c>
      <c r="C21" s="215">
        <v>-31305102</v>
      </c>
      <c r="D21" s="215">
        <v>-28934537.190769196</v>
      </c>
      <c r="E21" s="215">
        <v>10721747.190769196</v>
      </c>
      <c r="F21" s="215">
        <v>0</v>
      </c>
      <c r="G21" s="215">
        <v>-18212790</v>
      </c>
      <c r="H21" s="243">
        <v>-1.1793131869</v>
      </c>
      <c r="I21" s="243" t="s">
        <v>2528</v>
      </c>
      <c r="J21" s="243" t="s">
        <v>2528</v>
      </c>
      <c r="K21" s="243" t="s">
        <v>2528</v>
      </c>
      <c r="L21" s="243" t="s">
        <v>2528</v>
      </c>
      <c r="M21" s="243" t="s">
        <v>2528</v>
      </c>
      <c r="N21" s="243" t="s">
        <v>2528</v>
      </c>
    </row>
    <row r="22" spans="1:15">
      <c r="A22" s="214" t="s">
        <v>2579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  <c r="H22" s="243">
        <v>0</v>
      </c>
      <c r="I22" s="243" t="s">
        <v>2528</v>
      </c>
      <c r="J22" s="243" t="s">
        <v>2528</v>
      </c>
      <c r="K22" s="243" t="s">
        <v>2528</v>
      </c>
      <c r="L22" s="243" t="s">
        <v>2528</v>
      </c>
      <c r="M22" s="243" t="s">
        <v>2528</v>
      </c>
      <c r="N22" s="243" t="s">
        <v>2528</v>
      </c>
    </row>
    <row r="23" spans="1:15" ht="13.5" thickBot="1">
      <c r="A23" s="214" t="s">
        <v>2580</v>
      </c>
      <c r="C23" s="315">
        <v>8500825</v>
      </c>
      <c r="D23" s="315">
        <v>6745207</v>
      </c>
      <c r="E23" s="315">
        <v>-2499449</v>
      </c>
      <c r="F23" s="315">
        <v>0</v>
      </c>
      <c r="G23" s="315">
        <v>4245758</v>
      </c>
      <c r="H23" s="385">
        <v>0.2749209977</v>
      </c>
      <c r="I23" s="385">
        <v>7.4238513375000004</v>
      </c>
      <c r="J23" s="385">
        <v>2.0409726199999999E-2</v>
      </c>
      <c r="K23" s="385">
        <v>7.9951012835000004</v>
      </c>
      <c r="L23" s="385">
        <v>2.1980212200000002E-2</v>
      </c>
      <c r="M23" s="385">
        <v>8.3378512511</v>
      </c>
      <c r="N23" s="385">
        <v>2.2922503800000001E-2</v>
      </c>
    </row>
    <row r="24" spans="1:15">
      <c r="C24" s="215"/>
      <c r="D24" s="215"/>
      <c r="E24" s="215"/>
      <c r="F24" s="215"/>
      <c r="G24" s="215"/>
    </row>
    <row r="25" spans="1:15" ht="13.5" thickBot="1">
      <c r="A25" s="214" t="s">
        <v>2581</v>
      </c>
      <c r="C25" s="315">
        <v>2767320133</v>
      </c>
      <c r="D25" s="315">
        <v>2453507490.0099955</v>
      </c>
      <c r="E25" s="315">
        <v>-909151825.8092308</v>
      </c>
      <c r="F25" s="315">
        <v>0</v>
      </c>
      <c r="G25" s="315">
        <v>1544355664.2007647</v>
      </c>
      <c r="H25" s="385">
        <v>100</v>
      </c>
      <c r="I25" s="214" t="s">
        <v>2582</v>
      </c>
      <c r="J25" s="385">
        <v>6.4500752748999988</v>
      </c>
      <c r="K25" s="214" t="s">
        <v>2582</v>
      </c>
      <c r="L25" s="385">
        <v>6.9391775774999997</v>
      </c>
      <c r="M25" s="214" t="s">
        <v>2582</v>
      </c>
      <c r="N25" s="385">
        <v>7.2326389591000009</v>
      </c>
      <c r="O25" s="214" t="s">
        <v>2582</v>
      </c>
    </row>
    <row r="31" spans="1:15">
      <c r="G31" s="214" t="s">
        <v>3750</v>
      </c>
    </row>
    <row r="32" spans="1:15" ht="13.5" thickBot="1">
      <c r="I32" s="384" t="s">
        <v>2557</v>
      </c>
      <c r="J32" s="384"/>
      <c r="K32" s="384" t="s">
        <v>2558</v>
      </c>
      <c r="L32" s="384"/>
      <c r="M32" s="384" t="s">
        <v>2559</v>
      </c>
      <c r="N32" s="384"/>
    </row>
    <row r="33" spans="1:15">
      <c r="E33" s="373" t="s">
        <v>2560</v>
      </c>
      <c r="F33" s="373"/>
    </row>
    <row r="34" spans="1:15">
      <c r="A34" s="214" t="s">
        <v>2583</v>
      </c>
      <c r="C34" s="366" t="s">
        <v>2561</v>
      </c>
      <c r="D34" s="366" t="s">
        <v>2562</v>
      </c>
      <c r="E34" s="366"/>
      <c r="F34" s="366"/>
      <c r="G34" s="366" t="s">
        <v>2563</v>
      </c>
      <c r="H34" s="366" t="s">
        <v>2564</v>
      </c>
      <c r="I34" s="366" t="s">
        <v>2565</v>
      </c>
      <c r="J34" s="366" t="s">
        <v>2566</v>
      </c>
      <c r="K34" s="366" t="s">
        <v>2565</v>
      </c>
      <c r="L34" s="366" t="s">
        <v>2566</v>
      </c>
      <c r="M34" s="366" t="s">
        <v>2565</v>
      </c>
      <c r="N34" s="214" t="s">
        <v>2566</v>
      </c>
    </row>
    <row r="35" spans="1:15" ht="13.5" thickBot="1">
      <c r="A35" s="373" t="s">
        <v>2584</v>
      </c>
      <c r="B35" s="373"/>
      <c r="C35" s="375" t="s">
        <v>2568</v>
      </c>
      <c r="D35" s="375" t="s">
        <v>2568</v>
      </c>
      <c r="E35" s="375" t="s">
        <v>2569</v>
      </c>
      <c r="F35" s="375" t="s">
        <v>2570</v>
      </c>
      <c r="G35" s="375" t="s">
        <v>2562</v>
      </c>
      <c r="H35" s="375" t="s">
        <v>2571</v>
      </c>
      <c r="I35" s="375" t="s">
        <v>2571</v>
      </c>
      <c r="J35" s="375" t="s">
        <v>2571</v>
      </c>
      <c r="K35" s="375" t="s">
        <v>2571</v>
      </c>
      <c r="L35" s="375" t="s">
        <v>2571</v>
      </c>
      <c r="M35" s="375" t="s">
        <v>2571</v>
      </c>
      <c r="N35" s="375" t="s">
        <v>2571</v>
      </c>
    </row>
    <row r="37" spans="1:15">
      <c r="A37" s="214" t="s">
        <v>2572</v>
      </c>
      <c r="C37" s="215">
        <v>1195182225.8299999</v>
      </c>
      <c r="D37" s="215">
        <v>1047156555.2007647</v>
      </c>
      <c r="E37" s="215">
        <v>-393383836</v>
      </c>
      <c r="F37" s="215">
        <v>0</v>
      </c>
      <c r="G37" s="215">
        <v>653772719.20076466</v>
      </c>
      <c r="H37" s="243">
        <v>41.22</v>
      </c>
      <c r="I37" s="243">
        <v>4.5776796900000001</v>
      </c>
      <c r="J37" s="243">
        <v>1.8869195682</v>
      </c>
      <c r="K37" s="243">
        <v>4.5776796900000001</v>
      </c>
      <c r="L37" s="243">
        <v>1.8869195682</v>
      </c>
      <c r="M37" s="243">
        <v>4.5776796900000001</v>
      </c>
      <c r="N37" s="243">
        <v>1.8869195682</v>
      </c>
    </row>
    <row r="38" spans="1:15">
      <c r="A38" s="214" t="s">
        <v>2573</v>
      </c>
      <c r="C38" s="215">
        <v>86563058.700000003</v>
      </c>
      <c r="D38" s="215">
        <v>61134385</v>
      </c>
      <c r="E38" s="215">
        <v>-22966269</v>
      </c>
      <c r="F38" s="215">
        <v>0</v>
      </c>
      <c r="G38" s="215">
        <v>38168116</v>
      </c>
      <c r="H38" s="243">
        <v>2.41</v>
      </c>
      <c r="I38" s="243">
        <v>0.22081479000000001</v>
      </c>
      <c r="J38" s="243">
        <v>5.3216364000000004E-3</v>
      </c>
      <c r="K38" s="243">
        <v>0.22081479000000001</v>
      </c>
      <c r="L38" s="243">
        <v>5.3216364000000004E-3</v>
      </c>
      <c r="M38" s="243">
        <v>0.22081479000000001</v>
      </c>
      <c r="N38" s="243">
        <v>5.3216364000000004E-3</v>
      </c>
    </row>
    <row r="39" spans="1:15">
      <c r="A39" s="214" t="s">
        <v>2574</v>
      </c>
      <c r="C39" s="215">
        <v>97998345.260000005</v>
      </c>
      <c r="D39" s="215">
        <v>85861059</v>
      </c>
      <c r="E39" s="215">
        <v>-32255304</v>
      </c>
      <c r="F39" s="215">
        <v>0</v>
      </c>
      <c r="G39" s="215">
        <v>53605755</v>
      </c>
      <c r="H39" s="243">
        <v>3.38</v>
      </c>
      <c r="I39" s="243">
        <v>6.3291889399999999</v>
      </c>
      <c r="J39" s="243">
        <v>0.21392658619999999</v>
      </c>
      <c r="K39" s="243">
        <v>6.3291889399999999</v>
      </c>
      <c r="L39" s="243">
        <v>0.21392658619999999</v>
      </c>
      <c r="M39" s="243">
        <v>6.3291889399999999</v>
      </c>
      <c r="N39" s="243">
        <v>0.21392658619999999</v>
      </c>
    </row>
    <row r="40" spans="1:15">
      <c r="A40" s="214" t="s">
        <v>2575</v>
      </c>
      <c r="C40" s="215">
        <v>35913603.859999999</v>
      </c>
      <c r="D40" s="215">
        <v>35910734</v>
      </c>
      <c r="E40" s="215">
        <v>-13490535</v>
      </c>
      <c r="F40" s="215">
        <v>0</v>
      </c>
      <c r="G40" s="215">
        <v>22420199</v>
      </c>
      <c r="H40" s="243">
        <v>1.41</v>
      </c>
      <c r="I40" s="243">
        <v>5.89</v>
      </c>
      <c r="J40" s="243">
        <v>8.3048999999999998E-2</v>
      </c>
      <c r="K40" s="243">
        <v>5.89</v>
      </c>
      <c r="L40" s="243">
        <v>8.3048999999999998E-2</v>
      </c>
      <c r="M40" s="243">
        <v>5.89</v>
      </c>
      <c r="N40" s="243">
        <v>8.3048999999999998E-2</v>
      </c>
    </row>
    <row r="41" spans="1:15">
      <c r="A41" s="214" t="s">
        <v>2576</v>
      </c>
      <c r="C41" s="215">
        <v>1113445382.6900001</v>
      </c>
      <c r="D41" s="215">
        <v>963818762</v>
      </c>
      <c r="E41" s="215">
        <v>-362076444</v>
      </c>
      <c r="F41" s="215">
        <v>0</v>
      </c>
      <c r="G41" s="215">
        <v>601742318</v>
      </c>
      <c r="H41" s="243">
        <v>37.94</v>
      </c>
      <c r="I41" s="243">
        <v>10.75</v>
      </c>
      <c r="J41" s="243">
        <v>4.0785499999999999</v>
      </c>
      <c r="K41" s="243">
        <v>12</v>
      </c>
      <c r="L41" s="243">
        <v>4.5528000000000004</v>
      </c>
      <c r="M41" s="243">
        <v>12.75</v>
      </c>
      <c r="N41" s="243">
        <v>4.8373499999999998</v>
      </c>
    </row>
    <row r="42" spans="1:15">
      <c r="A42" s="214" t="s">
        <v>2577</v>
      </c>
      <c r="C42" s="215">
        <v>406766910.43000001</v>
      </c>
      <c r="D42" s="215">
        <v>376290069</v>
      </c>
      <c r="E42" s="215">
        <v>-141360363</v>
      </c>
      <c r="F42" s="215">
        <v>0</v>
      </c>
      <c r="G42" s="215">
        <v>234929706</v>
      </c>
      <c r="H42" s="243">
        <v>14.8</v>
      </c>
      <c r="I42" s="243" t="s">
        <v>2528</v>
      </c>
      <c r="J42" s="243" t="s">
        <v>2528</v>
      </c>
      <c r="K42" s="243" t="s">
        <v>2528</v>
      </c>
      <c r="L42" s="243" t="s">
        <v>2528</v>
      </c>
      <c r="M42" s="243" t="s">
        <v>2528</v>
      </c>
      <c r="N42" s="243" t="s">
        <v>2528</v>
      </c>
    </row>
    <row r="43" spans="1:15">
      <c r="A43" s="214" t="s">
        <v>2578</v>
      </c>
      <c r="C43" s="215">
        <v>-38551279.950000003</v>
      </c>
      <c r="D43" s="215">
        <v>-35662840</v>
      </c>
      <c r="E43" s="215">
        <v>13397409</v>
      </c>
      <c r="F43" s="215">
        <v>0</v>
      </c>
      <c r="G43" s="215">
        <v>-22265431</v>
      </c>
      <c r="H43" s="243">
        <v>-1.4</v>
      </c>
      <c r="I43" s="243" t="s">
        <v>2528</v>
      </c>
      <c r="J43" s="243" t="s">
        <v>2528</v>
      </c>
      <c r="K43" s="243" t="s">
        <v>2528</v>
      </c>
      <c r="L43" s="243" t="s">
        <v>2528</v>
      </c>
      <c r="M43" s="243" t="s">
        <v>2528</v>
      </c>
      <c r="N43" s="243" t="s">
        <v>2528</v>
      </c>
    </row>
    <row r="44" spans="1:15">
      <c r="A44" s="214" t="s">
        <v>2579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43">
        <v>0</v>
      </c>
      <c r="I44" s="243" t="s">
        <v>2528</v>
      </c>
      <c r="J44" s="243" t="s">
        <v>2528</v>
      </c>
      <c r="K44" s="243" t="s">
        <v>2528</v>
      </c>
      <c r="L44" s="243" t="s">
        <v>2528</v>
      </c>
      <c r="M44" s="243" t="s">
        <v>2528</v>
      </c>
      <c r="N44" s="243" t="s">
        <v>2528</v>
      </c>
    </row>
    <row r="45" spans="1:15" ht="13.5" thickBot="1">
      <c r="A45" s="214" t="s">
        <v>2580</v>
      </c>
      <c r="C45" s="315">
        <v>7771484</v>
      </c>
      <c r="D45" s="315">
        <v>6157257</v>
      </c>
      <c r="E45" s="315">
        <v>-2313088</v>
      </c>
      <c r="F45" s="315">
        <v>0</v>
      </c>
      <c r="G45" s="315">
        <v>3844169</v>
      </c>
      <c r="H45" s="385">
        <v>0.24</v>
      </c>
      <c r="I45" s="385">
        <v>7.4865306755000001</v>
      </c>
      <c r="J45" s="385">
        <v>1.7967673600000001E-2</v>
      </c>
      <c r="K45" s="385">
        <v>8.0610978979999999</v>
      </c>
      <c r="L45" s="385">
        <v>1.9346635000000001E-2</v>
      </c>
      <c r="M45" s="385">
        <v>8.4058382315000006</v>
      </c>
      <c r="N45" s="385">
        <v>2.0174011799999999E-2</v>
      </c>
    </row>
    <row r="46" spans="1:15">
      <c r="C46" s="215"/>
      <c r="D46" s="215"/>
      <c r="E46" s="215"/>
      <c r="F46" s="215"/>
      <c r="G46" s="215"/>
    </row>
    <row r="47" spans="1:15" ht="13.5" thickBot="1">
      <c r="A47" s="214" t="s">
        <v>2581</v>
      </c>
      <c r="C47" s="315">
        <v>2905089730.8200002</v>
      </c>
      <c r="D47" s="315">
        <v>2540665981.2007647</v>
      </c>
      <c r="E47" s="315">
        <v>-954448430</v>
      </c>
      <c r="F47" s="315">
        <v>0</v>
      </c>
      <c r="G47" s="315">
        <v>1586217551.2007647</v>
      </c>
      <c r="H47" s="385">
        <v>100</v>
      </c>
      <c r="I47" s="214" t="s">
        <v>2582</v>
      </c>
      <c r="J47" s="385">
        <v>6.2857344643999999</v>
      </c>
      <c r="K47" s="214" t="s">
        <v>2582</v>
      </c>
      <c r="L47" s="385">
        <v>6.7613634257999999</v>
      </c>
      <c r="M47" s="214" t="s">
        <v>2582</v>
      </c>
      <c r="N47" s="385">
        <v>7.0467408025999996</v>
      </c>
      <c r="O47" s="214" t="s">
        <v>2582</v>
      </c>
    </row>
    <row r="53" spans="1:14" ht="13.5" thickBot="1">
      <c r="I53" s="384" t="s">
        <v>2557</v>
      </c>
      <c r="J53" s="384"/>
      <c r="K53" s="384" t="s">
        <v>2558</v>
      </c>
      <c r="L53" s="384"/>
      <c r="M53" s="384" t="s">
        <v>2559</v>
      </c>
      <c r="N53" s="384"/>
    </row>
    <row r="54" spans="1:14">
      <c r="E54" s="373" t="s">
        <v>2560</v>
      </c>
      <c r="F54" s="373"/>
    </row>
    <row r="55" spans="1:14">
      <c r="C55" s="366" t="s">
        <v>2561</v>
      </c>
      <c r="D55" s="366" t="s">
        <v>2562</v>
      </c>
      <c r="E55" s="366"/>
      <c r="F55" s="366"/>
      <c r="G55" s="366" t="s">
        <v>2563</v>
      </c>
      <c r="H55" s="366" t="s">
        <v>2564</v>
      </c>
      <c r="I55" s="366" t="s">
        <v>2565</v>
      </c>
      <c r="J55" s="366" t="s">
        <v>2566</v>
      </c>
      <c r="K55" s="366" t="s">
        <v>2565</v>
      </c>
      <c r="L55" s="366" t="s">
        <v>2566</v>
      </c>
      <c r="M55" s="366" t="s">
        <v>2565</v>
      </c>
      <c r="N55" s="366" t="s">
        <v>2566</v>
      </c>
    </row>
    <row r="56" spans="1:14" ht="13.5" thickBot="1">
      <c r="A56" s="373" t="s">
        <v>2567</v>
      </c>
      <c r="B56" s="373"/>
      <c r="C56" s="375" t="s">
        <v>2568</v>
      </c>
      <c r="D56" s="375" t="s">
        <v>2568</v>
      </c>
      <c r="E56" s="375" t="s">
        <v>2569</v>
      </c>
      <c r="F56" s="375" t="s">
        <v>2570</v>
      </c>
      <c r="G56" s="375" t="s">
        <v>2562</v>
      </c>
      <c r="H56" s="375" t="s">
        <v>2571</v>
      </c>
      <c r="I56" s="375" t="s">
        <v>2571</v>
      </c>
      <c r="J56" s="375" t="s">
        <v>2571</v>
      </c>
      <c r="K56" s="375" t="s">
        <v>2571</v>
      </c>
      <c r="L56" s="375" t="s">
        <v>2571</v>
      </c>
      <c r="M56" s="375" t="s">
        <v>2571</v>
      </c>
      <c r="N56" s="375" t="s">
        <v>2571</v>
      </c>
    </row>
    <row r="58" spans="1:14">
      <c r="A58" s="214" t="s">
        <v>2572</v>
      </c>
      <c r="C58" s="215">
        <v>1191081752</v>
      </c>
      <c r="D58" s="215">
        <v>1052221620.2007647</v>
      </c>
      <c r="E58" s="215">
        <v>-389902705</v>
      </c>
      <c r="F58" s="215">
        <v>0</v>
      </c>
      <c r="G58" s="215">
        <v>662318915.20076466</v>
      </c>
      <c r="H58" s="243">
        <v>42.89</v>
      </c>
      <c r="I58" s="243">
        <v>4.4800000000000004</v>
      </c>
      <c r="J58" s="243">
        <v>1.92</v>
      </c>
      <c r="K58" s="243">
        <v>4.4800000000000004</v>
      </c>
      <c r="L58" s="243">
        <v>1.92</v>
      </c>
      <c r="M58" s="243">
        <v>4.4800000000000004</v>
      </c>
      <c r="N58" s="243">
        <v>1.92</v>
      </c>
    </row>
    <row r="59" spans="1:14">
      <c r="A59" s="214" t="s">
        <v>2573</v>
      </c>
      <c r="C59" s="215">
        <v>45742650</v>
      </c>
      <c r="D59" s="215">
        <v>26263323</v>
      </c>
      <c r="E59" s="215">
        <v>-9731924</v>
      </c>
      <c r="F59" s="215">
        <v>0</v>
      </c>
      <c r="G59" s="215">
        <v>16531399</v>
      </c>
      <c r="H59" s="243">
        <v>1.07</v>
      </c>
      <c r="I59" s="243">
        <v>0.31</v>
      </c>
      <c r="J59" s="243">
        <v>0</v>
      </c>
      <c r="K59" s="243">
        <v>0.31</v>
      </c>
      <c r="L59" s="243">
        <v>0</v>
      </c>
      <c r="M59" s="243">
        <v>0.31</v>
      </c>
      <c r="N59" s="243">
        <v>0</v>
      </c>
    </row>
    <row r="60" spans="1:14">
      <c r="A60" s="214" t="s">
        <v>2574</v>
      </c>
      <c r="C60" s="215">
        <v>97998345</v>
      </c>
      <c r="D60" s="215">
        <v>84787749</v>
      </c>
      <c r="E60" s="215">
        <v>-31418260</v>
      </c>
      <c r="F60" s="215">
        <v>0</v>
      </c>
      <c r="G60" s="215">
        <v>53369489</v>
      </c>
      <c r="H60" s="243">
        <v>3.46</v>
      </c>
      <c r="I60" s="243">
        <v>6.4</v>
      </c>
      <c r="J60" s="243">
        <v>0.22</v>
      </c>
      <c r="K60" s="243">
        <v>6.4</v>
      </c>
      <c r="L60" s="243">
        <v>0.22</v>
      </c>
      <c r="M60" s="243">
        <v>6.4</v>
      </c>
      <c r="N60" s="243">
        <v>0.22</v>
      </c>
    </row>
    <row r="61" spans="1:14">
      <c r="A61" s="214" t="s">
        <v>2575</v>
      </c>
      <c r="C61" s="215">
        <v>35060633</v>
      </c>
      <c r="D61" s="215">
        <v>35237081</v>
      </c>
      <c r="E61" s="215">
        <v>-13057167</v>
      </c>
      <c r="F61" s="215">
        <v>0</v>
      </c>
      <c r="G61" s="215">
        <v>22179914</v>
      </c>
      <c r="H61" s="243">
        <v>1.44</v>
      </c>
      <c r="I61" s="243">
        <v>6.3</v>
      </c>
      <c r="J61" s="243">
        <v>0.09</v>
      </c>
      <c r="K61" s="243">
        <v>6.3</v>
      </c>
      <c r="L61" s="243">
        <v>0.09</v>
      </c>
      <c r="M61" s="243">
        <v>6.3</v>
      </c>
      <c r="N61" s="243">
        <v>0.09</v>
      </c>
    </row>
    <row r="62" spans="1:14">
      <c r="A62" s="214" t="s">
        <v>2576</v>
      </c>
      <c r="C62" s="215">
        <v>1073746182</v>
      </c>
      <c r="D62" s="215">
        <v>956930371</v>
      </c>
      <c r="E62" s="215">
        <v>-354592353</v>
      </c>
      <c r="F62" s="215">
        <v>0</v>
      </c>
      <c r="G62" s="215">
        <v>602338018</v>
      </c>
      <c r="H62" s="243">
        <v>39</v>
      </c>
      <c r="I62" s="243">
        <v>10.75</v>
      </c>
      <c r="J62" s="243">
        <v>4.1900000000000004</v>
      </c>
      <c r="K62" s="243">
        <v>12</v>
      </c>
      <c r="L62" s="243">
        <v>4.68</v>
      </c>
      <c r="M62" s="243">
        <v>12.75</v>
      </c>
      <c r="N62" s="243">
        <v>4.97</v>
      </c>
    </row>
    <row r="63" spans="1:14">
      <c r="A63" s="214" t="s">
        <v>2577</v>
      </c>
      <c r="C63" s="215">
        <v>346494848</v>
      </c>
      <c r="D63" s="215">
        <v>320256676</v>
      </c>
      <c r="E63" s="215">
        <v>-118671715</v>
      </c>
      <c r="F63" s="215">
        <v>0</v>
      </c>
      <c r="G63" s="215">
        <v>201584961</v>
      </c>
      <c r="H63" s="243">
        <v>13.05</v>
      </c>
      <c r="I63" s="243" t="s">
        <v>2528</v>
      </c>
      <c r="J63" s="243" t="s">
        <v>2528</v>
      </c>
      <c r="K63" s="243" t="s">
        <v>2528</v>
      </c>
      <c r="L63" s="243" t="s">
        <v>2528</v>
      </c>
      <c r="M63" s="243" t="s">
        <v>2528</v>
      </c>
      <c r="N63" s="243" t="s">
        <v>2528</v>
      </c>
    </row>
    <row r="64" spans="1:14">
      <c r="A64" s="214" t="s">
        <v>2578</v>
      </c>
      <c r="C64" s="215">
        <v>-31305102</v>
      </c>
      <c r="D64" s="215">
        <v>-28934537.190769196</v>
      </c>
      <c r="E64" s="215">
        <v>10721747.190769196</v>
      </c>
      <c r="F64" s="215">
        <v>0</v>
      </c>
      <c r="G64" s="215">
        <v>-18212790</v>
      </c>
      <c r="H64" s="243">
        <v>-1.18</v>
      </c>
      <c r="I64" s="243" t="s">
        <v>2528</v>
      </c>
      <c r="J64" s="243" t="s">
        <v>2528</v>
      </c>
      <c r="K64" s="243" t="s">
        <v>2528</v>
      </c>
      <c r="L64" s="243" t="s">
        <v>2528</v>
      </c>
      <c r="M64" s="243" t="s">
        <v>2528</v>
      </c>
      <c r="N64" s="243" t="s">
        <v>2528</v>
      </c>
    </row>
    <row r="65" spans="1:15">
      <c r="A65" s="214" t="s">
        <v>2579</v>
      </c>
      <c r="C65" s="215">
        <v>0</v>
      </c>
      <c r="D65" s="215">
        <v>0</v>
      </c>
      <c r="E65" s="215">
        <v>0</v>
      </c>
      <c r="F65" s="215">
        <v>0</v>
      </c>
      <c r="G65" s="215">
        <v>0</v>
      </c>
      <c r="H65" s="243">
        <v>0</v>
      </c>
      <c r="I65" s="243" t="s">
        <v>2528</v>
      </c>
      <c r="J65" s="243" t="s">
        <v>2528</v>
      </c>
      <c r="K65" s="243" t="s">
        <v>2528</v>
      </c>
      <c r="L65" s="243" t="s">
        <v>2528</v>
      </c>
      <c r="M65" s="243" t="s">
        <v>2528</v>
      </c>
      <c r="N65" s="243" t="s">
        <v>2528</v>
      </c>
    </row>
    <row r="66" spans="1:15" ht="13.5" thickBot="1">
      <c r="A66" s="214" t="s">
        <v>2580</v>
      </c>
      <c r="C66" s="315">
        <v>8500825</v>
      </c>
      <c r="D66" s="315">
        <v>6745207</v>
      </c>
      <c r="E66" s="315">
        <v>-2499449</v>
      </c>
      <c r="F66" s="315">
        <v>0</v>
      </c>
      <c r="G66" s="315">
        <v>4245758</v>
      </c>
      <c r="H66" s="385">
        <v>0.27</v>
      </c>
      <c r="I66" s="385">
        <v>7.42</v>
      </c>
      <c r="J66" s="385">
        <v>0.02</v>
      </c>
      <c r="K66" s="385">
        <v>8</v>
      </c>
      <c r="L66" s="385">
        <v>0.02</v>
      </c>
      <c r="M66" s="385">
        <v>8.34</v>
      </c>
      <c r="N66" s="385">
        <v>0.02</v>
      </c>
    </row>
    <row r="67" spans="1:15">
      <c r="C67" s="215"/>
      <c r="D67" s="215"/>
      <c r="E67" s="215"/>
      <c r="F67" s="215"/>
      <c r="G67" s="215"/>
    </row>
    <row r="68" spans="1:15" ht="13.5" thickBot="1">
      <c r="A68" s="214" t="s">
        <v>2581</v>
      </c>
      <c r="C68" s="315">
        <v>2767320133</v>
      </c>
      <c r="D68" s="315">
        <v>2453507490.0099955</v>
      </c>
      <c r="E68" s="315">
        <v>-909151825.8092308</v>
      </c>
      <c r="F68" s="315">
        <v>0</v>
      </c>
      <c r="G68" s="315">
        <v>1544355664.2007647</v>
      </c>
      <c r="H68" s="385">
        <v>100</v>
      </c>
      <c r="I68" s="214" t="s">
        <v>2582</v>
      </c>
      <c r="J68" s="385">
        <v>6.44</v>
      </c>
      <c r="K68" s="214" t="s">
        <v>2582</v>
      </c>
      <c r="L68" s="385">
        <v>6.93</v>
      </c>
      <c r="M68" s="214" t="s">
        <v>2582</v>
      </c>
      <c r="N68" s="385">
        <v>7.22</v>
      </c>
      <c r="O68" s="214" t="s">
        <v>2582</v>
      </c>
    </row>
    <row r="70" spans="1:15">
      <c r="J70" s="278">
        <v>1.0075274899999265E-2</v>
      </c>
      <c r="K70" s="278"/>
      <c r="L70" s="278">
        <v>9.1775775000000337E-3</v>
      </c>
      <c r="M70" s="278"/>
      <c r="N70" s="278">
        <v>1.2638959100002012E-2</v>
      </c>
    </row>
    <row r="71" spans="1:15">
      <c r="J71" s="370">
        <v>0.01</v>
      </c>
      <c r="K71" s="370"/>
      <c r="L71" s="370">
        <v>0.01</v>
      </c>
      <c r="M71" s="370"/>
      <c r="N71" s="370">
        <v>0.01</v>
      </c>
    </row>
    <row r="72" spans="1:15">
      <c r="L72" s="214">
        <v>1.93</v>
      </c>
    </row>
    <row r="75" spans="1:15" ht="13.5" thickBot="1">
      <c r="I75" s="384" t="s">
        <v>2557</v>
      </c>
      <c r="J75" s="384"/>
      <c r="K75" s="384" t="s">
        <v>2558</v>
      </c>
      <c r="L75" s="384"/>
      <c r="M75" s="384" t="s">
        <v>2559</v>
      </c>
      <c r="N75" s="384"/>
    </row>
    <row r="76" spans="1:15">
      <c r="E76" s="373" t="s">
        <v>2560</v>
      </c>
      <c r="F76" s="373"/>
    </row>
    <row r="77" spans="1:15">
      <c r="A77" s="214" t="s">
        <v>2583</v>
      </c>
      <c r="C77" s="366" t="s">
        <v>2561</v>
      </c>
      <c r="D77" s="366" t="s">
        <v>2562</v>
      </c>
      <c r="E77" s="366"/>
      <c r="F77" s="366"/>
      <c r="G77" s="366" t="s">
        <v>2563</v>
      </c>
      <c r="H77" s="366" t="s">
        <v>2564</v>
      </c>
      <c r="I77" s="366" t="s">
        <v>2565</v>
      </c>
      <c r="J77" s="366" t="s">
        <v>2566</v>
      </c>
      <c r="K77" s="366" t="s">
        <v>2565</v>
      </c>
      <c r="L77" s="366" t="s">
        <v>2566</v>
      </c>
      <c r="M77" s="366" t="s">
        <v>2565</v>
      </c>
      <c r="N77" s="214" t="s">
        <v>2566</v>
      </c>
    </row>
    <row r="78" spans="1:15" ht="13.5" thickBot="1">
      <c r="A78" s="373" t="s">
        <v>2584</v>
      </c>
      <c r="B78" s="373"/>
      <c r="C78" s="375" t="s">
        <v>2568</v>
      </c>
      <c r="D78" s="375" t="s">
        <v>2568</v>
      </c>
      <c r="E78" s="375" t="s">
        <v>2569</v>
      </c>
      <c r="F78" s="375" t="s">
        <v>2570</v>
      </c>
      <c r="G78" s="375" t="s">
        <v>2562</v>
      </c>
      <c r="H78" s="375" t="s">
        <v>2571</v>
      </c>
      <c r="I78" s="375" t="s">
        <v>2571</v>
      </c>
      <c r="J78" s="375" t="s">
        <v>2571</v>
      </c>
      <c r="K78" s="375" t="s">
        <v>2571</v>
      </c>
      <c r="L78" s="375" t="s">
        <v>2571</v>
      </c>
      <c r="M78" s="375" t="s">
        <v>2571</v>
      </c>
      <c r="N78" s="375" t="s">
        <v>2571</v>
      </c>
    </row>
    <row r="80" spans="1:15">
      <c r="A80" s="214" t="s">
        <v>2572</v>
      </c>
      <c r="C80" s="215">
        <v>1195182225.8299999</v>
      </c>
      <c r="D80" s="215">
        <v>1047156555.2007647</v>
      </c>
      <c r="E80" s="215">
        <v>-393383836</v>
      </c>
      <c r="F80" s="215">
        <v>0</v>
      </c>
      <c r="G80" s="215">
        <v>653772719.20076466</v>
      </c>
      <c r="H80" s="243">
        <v>41.22</v>
      </c>
      <c r="I80" s="243">
        <v>4.58</v>
      </c>
      <c r="J80" s="243">
        <v>1.89</v>
      </c>
      <c r="K80" s="243">
        <v>4.58</v>
      </c>
      <c r="L80" s="243">
        <v>1.88</v>
      </c>
      <c r="M80" s="243">
        <v>4.58</v>
      </c>
      <c r="N80" s="243">
        <v>1.9</v>
      </c>
    </row>
    <row r="81" spans="1:15">
      <c r="A81" s="214" t="s">
        <v>2573</v>
      </c>
      <c r="C81" s="215">
        <v>86563058.700000003</v>
      </c>
      <c r="D81" s="215">
        <v>61134385</v>
      </c>
      <c r="E81" s="215">
        <v>-22966269</v>
      </c>
      <c r="F81" s="215">
        <v>0</v>
      </c>
      <c r="G81" s="215">
        <v>38168116</v>
      </c>
      <c r="H81" s="243">
        <v>2.41</v>
      </c>
      <c r="I81" s="243">
        <v>0.22</v>
      </c>
      <c r="J81" s="243">
        <v>0.01</v>
      </c>
      <c r="K81" s="243">
        <v>0.22</v>
      </c>
      <c r="L81" s="243">
        <v>0.01</v>
      </c>
      <c r="M81" s="243">
        <v>0.22</v>
      </c>
      <c r="N81" s="243">
        <v>0.01</v>
      </c>
    </row>
    <row r="82" spans="1:15">
      <c r="A82" s="214" t="s">
        <v>2574</v>
      </c>
      <c r="C82" s="215">
        <v>97998345.260000005</v>
      </c>
      <c r="D82" s="215">
        <v>85861059</v>
      </c>
      <c r="E82" s="215">
        <v>-32255304</v>
      </c>
      <c r="F82" s="215">
        <v>0</v>
      </c>
      <c r="G82" s="215">
        <v>53605755</v>
      </c>
      <c r="H82" s="243">
        <v>3.38</v>
      </c>
      <c r="I82" s="243">
        <v>6.33</v>
      </c>
      <c r="J82" s="243">
        <v>0.21</v>
      </c>
      <c r="K82" s="243">
        <v>6.33</v>
      </c>
      <c r="L82" s="243">
        <v>0.21</v>
      </c>
      <c r="M82" s="243">
        <v>6.33</v>
      </c>
      <c r="N82" s="243">
        <v>0.21</v>
      </c>
    </row>
    <row r="83" spans="1:15">
      <c r="A83" s="214" t="s">
        <v>2575</v>
      </c>
      <c r="C83" s="215">
        <v>35913603.859999999</v>
      </c>
      <c r="D83" s="215">
        <v>35910734</v>
      </c>
      <c r="E83" s="215">
        <v>-13490535</v>
      </c>
      <c r="F83" s="215">
        <v>0</v>
      </c>
      <c r="G83" s="215">
        <v>22420199</v>
      </c>
      <c r="H83" s="243">
        <v>1.41</v>
      </c>
      <c r="I83" s="243">
        <v>5.89</v>
      </c>
      <c r="J83" s="243">
        <v>0.08</v>
      </c>
      <c r="K83" s="243">
        <v>5.89</v>
      </c>
      <c r="L83" s="243">
        <v>0.08</v>
      </c>
      <c r="M83" s="243">
        <v>5.89</v>
      </c>
      <c r="N83" s="243">
        <v>0.08</v>
      </c>
    </row>
    <row r="84" spans="1:15">
      <c r="A84" s="214" t="s">
        <v>2576</v>
      </c>
      <c r="C84" s="215">
        <v>1113445382.6900001</v>
      </c>
      <c r="D84" s="215">
        <v>963818762</v>
      </c>
      <c r="E84" s="215">
        <v>-362076444</v>
      </c>
      <c r="F84" s="215">
        <v>0</v>
      </c>
      <c r="G84" s="215">
        <v>601742318</v>
      </c>
      <c r="H84" s="243">
        <v>37.94</v>
      </c>
      <c r="I84" s="243">
        <v>10.75</v>
      </c>
      <c r="J84" s="243">
        <v>4.08</v>
      </c>
      <c r="K84" s="243">
        <v>12</v>
      </c>
      <c r="L84" s="243">
        <v>4.55</v>
      </c>
      <c r="M84" s="243">
        <v>12.75</v>
      </c>
      <c r="N84" s="243">
        <v>4.84</v>
      </c>
    </row>
    <row r="85" spans="1:15">
      <c r="A85" s="214" t="s">
        <v>2577</v>
      </c>
      <c r="C85" s="215">
        <v>406766910.43000001</v>
      </c>
      <c r="D85" s="215">
        <v>376290069</v>
      </c>
      <c r="E85" s="215">
        <v>-141360363</v>
      </c>
      <c r="F85" s="215">
        <v>0</v>
      </c>
      <c r="G85" s="215">
        <v>234929706</v>
      </c>
      <c r="H85" s="243">
        <v>14.8</v>
      </c>
      <c r="I85" s="243" t="s">
        <v>2528</v>
      </c>
      <c r="J85" s="243" t="s">
        <v>2528</v>
      </c>
      <c r="K85" s="243" t="s">
        <v>2528</v>
      </c>
      <c r="L85" s="243" t="s">
        <v>2528</v>
      </c>
      <c r="M85" s="243" t="s">
        <v>2528</v>
      </c>
      <c r="N85" s="243" t="s">
        <v>2528</v>
      </c>
    </row>
    <row r="86" spans="1:15">
      <c r="A86" s="214" t="s">
        <v>2578</v>
      </c>
      <c r="C86" s="215">
        <v>-38551279.950000003</v>
      </c>
      <c r="D86" s="215">
        <v>-35662840</v>
      </c>
      <c r="E86" s="215">
        <v>13397409</v>
      </c>
      <c r="F86" s="215">
        <v>0</v>
      </c>
      <c r="G86" s="215">
        <v>-22265431</v>
      </c>
      <c r="H86" s="243">
        <v>-1.4</v>
      </c>
      <c r="I86" s="243" t="s">
        <v>2528</v>
      </c>
      <c r="J86" s="243" t="s">
        <v>2528</v>
      </c>
      <c r="K86" s="243" t="s">
        <v>2528</v>
      </c>
      <c r="L86" s="243" t="s">
        <v>2528</v>
      </c>
      <c r="M86" s="243" t="s">
        <v>2528</v>
      </c>
      <c r="N86" s="243" t="s">
        <v>2528</v>
      </c>
    </row>
    <row r="87" spans="1:15">
      <c r="A87" s="214" t="s">
        <v>2579</v>
      </c>
      <c r="C87" s="215">
        <v>0</v>
      </c>
      <c r="D87" s="215">
        <v>0</v>
      </c>
      <c r="E87" s="215">
        <v>0</v>
      </c>
      <c r="F87" s="215">
        <v>0</v>
      </c>
      <c r="G87" s="215">
        <v>0</v>
      </c>
      <c r="H87" s="243">
        <v>0</v>
      </c>
      <c r="I87" s="243" t="s">
        <v>2528</v>
      </c>
      <c r="J87" s="243" t="s">
        <v>2528</v>
      </c>
      <c r="K87" s="243" t="s">
        <v>2528</v>
      </c>
      <c r="L87" s="243" t="s">
        <v>2528</v>
      </c>
      <c r="M87" s="243" t="s">
        <v>2528</v>
      </c>
      <c r="N87" s="243" t="s">
        <v>2528</v>
      </c>
    </row>
    <row r="88" spans="1:15" ht="13.5" thickBot="1">
      <c r="A88" s="214" t="s">
        <v>2580</v>
      </c>
      <c r="C88" s="315">
        <v>7771484</v>
      </c>
      <c r="D88" s="315">
        <v>6157257</v>
      </c>
      <c r="E88" s="315">
        <v>-2313088</v>
      </c>
      <c r="F88" s="315">
        <v>0</v>
      </c>
      <c r="G88" s="315">
        <v>3844169</v>
      </c>
      <c r="H88" s="385">
        <v>0.24</v>
      </c>
      <c r="I88" s="385">
        <v>7.49</v>
      </c>
      <c r="J88" s="385">
        <v>0.02</v>
      </c>
      <c r="K88" s="385">
        <v>8.06</v>
      </c>
      <c r="L88" s="385">
        <v>0.02</v>
      </c>
      <c r="M88" s="385">
        <v>8.41</v>
      </c>
      <c r="N88" s="385">
        <v>0.02</v>
      </c>
    </row>
    <row r="89" spans="1:15">
      <c r="C89" s="215"/>
      <c r="D89" s="215"/>
      <c r="E89" s="215"/>
      <c r="F89" s="215"/>
      <c r="G89" s="215"/>
    </row>
    <row r="90" spans="1:15" ht="13.5" thickBot="1">
      <c r="A90" s="214" t="s">
        <v>2581</v>
      </c>
      <c r="C90" s="315">
        <v>2905089730.8200002</v>
      </c>
      <c r="D90" s="315">
        <v>2540665981.2007647</v>
      </c>
      <c r="E90" s="315">
        <v>-954448430</v>
      </c>
      <c r="F90" s="315">
        <v>0</v>
      </c>
      <c r="G90" s="315">
        <v>1586217551.2007647</v>
      </c>
      <c r="H90" s="385">
        <v>100</v>
      </c>
      <c r="I90" s="214" t="s">
        <v>2582</v>
      </c>
      <c r="J90" s="385">
        <v>6.29</v>
      </c>
      <c r="K90" s="214" t="s">
        <v>2582</v>
      </c>
      <c r="L90" s="385">
        <v>6.75</v>
      </c>
      <c r="M90" s="214" t="s">
        <v>2582</v>
      </c>
      <c r="N90" s="385">
        <v>7.06</v>
      </c>
      <c r="O90" s="214" t="s">
        <v>2582</v>
      </c>
    </row>
    <row r="92" spans="1:15">
      <c r="J92" s="278" t="s">
        <v>2528</v>
      </c>
      <c r="L92" s="278">
        <v>1.1363425799999938E-2</v>
      </c>
      <c r="N92" s="278">
        <v>-1.3259197400000033E-2</v>
      </c>
    </row>
    <row r="93" spans="1:15">
      <c r="J93" s="370">
        <v>0</v>
      </c>
      <c r="K93" s="370"/>
      <c r="L93" s="370">
        <v>0.01</v>
      </c>
      <c r="M93" s="370"/>
      <c r="N93" s="370">
        <v>-0.01</v>
      </c>
    </row>
    <row r="95" spans="1:15">
      <c r="L95" s="243"/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H92"/>
  <sheetViews>
    <sheetView zoomScale="85" workbookViewId="0"/>
  </sheetViews>
  <sheetFormatPr defaultRowHeight="12.75"/>
  <cols>
    <col min="1" max="1" width="9.140625" style="214"/>
    <col min="2" max="2" width="25.28515625" style="214" customWidth="1"/>
    <col min="3" max="3" width="9.140625" style="214"/>
    <col min="4" max="4" width="14.7109375" style="214" bestFit="1" customWidth="1"/>
    <col min="5" max="5" width="14.42578125" style="214" customWidth="1"/>
    <col min="6" max="6" width="14.85546875" style="214" bestFit="1" customWidth="1"/>
    <col min="7" max="7" width="12.85546875" style="214" bestFit="1" customWidth="1"/>
    <col min="8" max="8" width="14.85546875" style="214" bestFit="1" customWidth="1"/>
    <col min="9" max="16384" width="9.140625" style="214"/>
  </cols>
  <sheetData>
    <row r="1" spans="1:8">
      <c r="H1" s="364" t="s">
        <v>2154</v>
      </c>
    </row>
    <row r="2" spans="1:8">
      <c r="A2" s="373" t="s">
        <v>2155</v>
      </c>
      <c r="B2" s="373"/>
      <c r="C2" s="373"/>
      <c r="D2" s="373"/>
      <c r="E2" s="373"/>
      <c r="F2" s="373"/>
      <c r="G2" s="373"/>
      <c r="H2" s="373"/>
    </row>
    <row r="3" spans="1:8">
      <c r="A3" s="373" t="s">
        <v>2156</v>
      </c>
      <c r="B3" s="373"/>
      <c r="C3" s="373"/>
      <c r="D3" s="373"/>
      <c r="E3" s="373"/>
      <c r="F3" s="373"/>
      <c r="G3" s="373"/>
      <c r="H3" s="373"/>
    </row>
    <row r="4" spans="1:8">
      <c r="A4" s="373" t="s">
        <v>2157</v>
      </c>
      <c r="B4" s="373"/>
      <c r="C4" s="373"/>
      <c r="D4" s="373"/>
      <c r="E4" s="373"/>
      <c r="F4" s="373"/>
      <c r="G4" s="373"/>
      <c r="H4" s="373"/>
    </row>
    <row r="9" spans="1:8">
      <c r="D9" s="366" t="s">
        <v>2158</v>
      </c>
      <c r="E9" s="366" t="s">
        <v>2159</v>
      </c>
      <c r="F9" s="366" t="s">
        <v>2160</v>
      </c>
      <c r="G9" s="366" t="s">
        <v>2161</v>
      </c>
      <c r="H9" s="366" t="s">
        <v>2162</v>
      </c>
    </row>
    <row r="10" spans="1:8">
      <c r="D10" s="366" t="s">
        <v>2163</v>
      </c>
      <c r="E10" s="366" t="s">
        <v>2164</v>
      </c>
      <c r="F10" s="366" t="s">
        <v>2164</v>
      </c>
      <c r="G10" s="366" t="s">
        <v>2165</v>
      </c>
      <c r="H10" s="366" t="s">
        <v>2165</v>
      </c>
    </row>
    <row r="11" spans="1:8">
      <c r="D11" s="366" t="s">
        <v>2166</v>
      </c>
      <c r="E11" s="366" t="s">
        <v>2167</v>
      </c>
      <c r="F11" s="366" t="s">
        <v>2168</v>
      </c>
      <c r="G11" s="366" t="s">
        <v>2167</v>
      </c>
      <c r="H11" s="366" t="s">
        <v>2168</v>
      </c>
    </row>
    <row r="13" spans="1:8">
      <c r="A13" s="214" t="s">
        <v>2169</v>
      </c>
    </row>
    <row r="14" spans="1:8" ht="13.5" thickBot="1">
      <c r="A14" s="380" t="s">
        <v>2170</v>
      </c>
      <c r="B14" s="380"/>
    </row>
    <row r="16" spans="1:8">
      <c r="D16" s="366" t="s">
        <v>2171</v>
      </c>
      <c r="E16" s="366" t="s">
        <v>2172</v>
      </c>
      <c r="F16" s="366"/>
    </row>
    <row r="17" spans="1:8">
      <c r="A17" s="214" t="s">
        <v>2173</v>
      </c>
      <c r="D17" s="215">
        <v>149784254.60267973</v>
      </c>
      <c r="E17" s="215">
        <v>-73775213.342679679</v>
      </c>
      <c r="F17" s="215">
        <v>76009041.26000005</v>
      </c>
      <c r="G17" s="215">
        <v>0</v>
      </c>
      <c r="H17" s="215">
        <v>76009041.26000005</v>
      </c>
    </row>
    <row r="18" spans="1:8">
      <c r="A18" s="214" t="s">
        <v>2174</v>
      </c>
      <c r="D18" s="215">
        <v>2453507490.0099955</v>
      </c>
      <c r="E18" s="215">
        <v>-909151825.8092308</v>
      </c>
      <c r="F18" s="215">
        <v>1544355664.2007647</v>
      </c>
      <c r="G18" s="215">
        <v>0</v>
      </c>
      <c r="H18" s="215">
        <v>1544355664.2007647</v>
      </c>
    </row>
    <row r="19" spans="1:8">
      <c r="A19" s="214" t="s">
        <v>2175</v>
      </c>
      <c r="D19" s="260">
        <v>6.1049030912911341E-2</v>
      </c>
      <c r="F19" s="260">
        <v>4.9217316335830111E-2</v>
      </c>
      <c r="H19" s="260">
        <v>4.9217316335830111E-2</v>
      </c>
    </row>
    <row r="21" spans="1:8">
      <c r="A21" s="214" t="s">
        <v>2176</v>
      </c>
    </row>
    <row r="22" spans="1:8" ht="13.5" thickBot="1">
      <c r="A22" s="380" t="s">
        <v>2170</v>
      </c>
      <c r="B22" s="380"/>
    </row>
    <row r="24" spans="1:8">
      <c r="D24" s="366" t="s">
        <v>2171</v>
      </c>
      <c r="E24" s="366" t="s">
        <v>2172</v>
      </c>
    </row>
    <row r="25" spans="1:8">
      <c r="A25" s="214" t="s">
        <v>2173</v>
      </c>
      <c r="D25" s="215">
        <v>149772545.60267973</v>
      </c>
      <c r="E25" s="215">
        <v>-73689332.342679679</v>
      </c>
      <c r="F25" s="215">
        <v>76083213.26000005</v>
      </c>
      <c r="G25" s="215">
        <v>0</v>
      </c>
      <c r="H25" s="215">
        <v>76083213.26000005</v>
      </c>
    </row>
    <row r="26" spans="1:8">
      <c r="A26" s="214" t="s">
        <v>2177</v>
      </c>
      <c r="D26" s="215">
        <v>2540665981.2007647</v>
      </c>
      <c r="E26" s="215">
        <v>-954448430</v>
      </c>
      <c r="F26" s="215">
        <v>1586217551.2007647</v>
      </c>
      <c r="G26" s="215">
        <v>0</v>
      </c>
      <c r="H26" s="215">
        <v>1586217551.2007647</v>
      </c>
    </row>
    <row r="27" spans="1:8">
      <c r="A27" s="214" t="s">
        <v>2178</v>
      </c>
      <c r="D27" s="260">
        <v>5.8950112573198037E-2</v>
      </c>
      <c r="F27" s="260">
        <v>4.7965181826670089E-2</v>
      </c>
      <c r="H27" s="260">
        <v>4.7965181826670089E-2</v>
      </c>
    </row>
    <row r="30" spans="1:8">
      <c r="A30" s="214" t="s">
        <v>2179</v>
      </c>
    </row>
    <row r="31" spans="1:8">
      <c r="A31" s="214" t="s">
        <v>2180</v>
      </c>
      <c r="G31" s="214" t="s">
        <v>3750</v>
      </c>
    </row>
    <row r="33" spans="1:5">
      <c r="A33" s="214" t="s">
        <v>2181</v>
      </c>
    </row>
    <row r="34" spans="1:5">
      <c r="A34" s="214" t="s">
        <v>2182</v>
      </c>
    </row>
    <row r="35" spans="1:5" ht="13.5" thickBot="1">
      <c r="A35" s="380" t="s">
        <v>2183</v>
      </c>
      <c r="B35" s="380"/>
    </row>
    <row r="38" spans="1:5">
      <c r="A38" s="214" t="s">
        <v>2184</v>
      </c>
      <c r="D38" s="260">
        <v>6.4500752748999982E-2</v>
      </c>
    </row>
    <row r="39" spans="1:5">
      <c r="A39" s="214" t="s">
        <v>2185</v>
      </c>
      <c r="D39" s="260">
        <v>6.9391775774999997E-2</v>
      </c>
    </row>
    <row r="40" spans="1:5">
      <c r="A40" s="214" t="s">
        <v>2186</v>
      </c>
      <c r="D40" s="260">
        <v>7.2326389591000004E-2</v>
      </c>
    </row>
    <row r="42" spans="1:5">
      <c r="A42" s="214" t="s">
        <v>2187</v>
      </c>
    </row>
    <row r="44" spans="1:5">
      <c r="A44" s="214" t="s">
        <v>2467</v>
      </c>
      <c r="D44" s="277">
        <v>4.0937296465990629</v>
      </c>
      <c r="E44" s="214" t="s">
        <v>2468</v>
      </c>
    </row>
    <row r="45" spans="1:5">
      <c r="A45" s="214" t="s">
        <v>2469</v>
      </c>
      <c r="D45" s="277">
        <v>3.8994366423985243</v>
      </c>
      <c r="E45" s="214" t="s">
        <v>2468</v>
      </c>
    </row>
    <row r="46" spans="1:5">
      <c r="A46" s="214" t="s">
        <v>2470</v>
      </c>
      <c r="D46" s="260">
        <v>9.1857513560172688E-2</v>
      </c>
      <c r="E46" s="214" t="s">
        <v>2471</v>
      </c>
    </row>
    <row r="47" spans="1:5">
      <c r="A47" s="214" t="s">
        <v>2472</v>
      </c>
      <c r="D47" s="260">
        <v>0.52669081030152143</v>
      </c>
      <c r="E47" s="214" t="s">
        <v>2471</v>
      </c>
    </row>
    <row r="48" spans="1:5">
      <c r="A48" s="214" t="s">
        <v>2473</v>
      </c>
      <c r="D48" s="260">
        <v>0.496283416633717</v>
      </c>
      <c r="E48" s="214" t="s">
        <v>2474</v>
      </c>
    </row>
    <row r="49" spans="1:8">
      <c r="A49" s="214" t="s">
        <v>2475</v>
      </c>
      <c r="D49" s="260">
        <v>1.2387173292443725E-2</v>
      </c>
      <c r="E49" s="214" t="s">
        <v>2474</v>
      </c>
    </row>
    <row r="50" spans="1:8">
      <c r="A50" s="214" t="s">
        <v>2476</v>
      </c>
      <c r="D50" s="260">
        <v>6.8273992824560092E-2</v>
      </c>
      <c r="E50" s="214" t="s">
        <v>2474</v>
      </c>
    </row>
    <row r="51" spans="1:8">
      <c r="A51" s="214" t="s">
        <v>2477</v>
      </c>
      <c r="D51" s="260">
        <v>6.8273992622997715E-2</v>
      </c>
      <c r="E51" s="214" t="s">
        <v>2478</v>
      </c>
    </row>
    <row r="52" spans="1:8">
      <c r="D52" s="260"/>
    </row>
    <row r="53" spans="1:8">
      <c r="A53" s="214" t="s">
        <v>2479</v>
      </c>
    </row>
    <row r="55" spans="1:8">
      <c r="A55" s="214" t="s">
        <v>2480</v>
      </c>
    </row>
    <row r="56" spans="1:8">
      <c r="A56" s="214" t="s">
        <v>2481</v>
      </c>
    </row>
    <row r="57" spans="1:8">
      <c r="A57" s="214" t="s">
        <v>2482</v>
      </c>
    </row>
    <row r="59" spans="1:8">
      <c r="A59" s="365" t="s">
        <v>2483</v>
      </c>
      <c r="B59" s="365"/>
      <c r="C59" s="365"/>
      <c r="E59" s="365" t="s">
        <v>2484</v>
      </c>
      <c r="F59" s="365"/>
      <c r="H59" s="366" t="s">
        <v>2485</v>
      </c>
    </row>
    <row r="61" spans="1:8">
      <c r="A61" s="381" t="s">
        <v>2486</v>
      </c>
    </row>
    <row r="62" spans="1:8" ht="13.5" thickBot="1">
      <c r="A62" s="382" t="s">
        <v>2487</v>
      </c>
      <c r="B62" s="380"/>
      <c r="C62" s="380"/>
      <c r="D62" s="377"/>
      <c r="E62" s="380"/>
      <c r="F62" s="380"/>
      <c r="H62" s="380"/>
    </row>
    <row r="70" spans="1:1">
      <c r="A70" s="381"/>
    </row>
    <row r="71" spans="1:1">
      <c r="A71" s="383"/>
    </row>
    <row r="73" spans="1:1">
      <c r="A73" s="381"/>
    </row>
    <row r="74" spans="1:1">
      <c r="A74" s="383"/>
    </row>
    <row r="76" spans="1:1">
      <c r="A76" s="381"/>
    </row>
    <row r="77" spans="1:1">
      <c r="A77" s="383"/>
    </row>
    <row r="90" spans="1:1">
      <c r="A90" s="383"/>
    </row>
    <row r="91" spans="1:1">
      <c r="A91" s="383"/>
    </row>
    <row r="92" spans="1:1">
      <c r="A92" s="377"/>
    </row>
  </sheetData>
  <mergeCells count="2">
    <mergeCell ref="A59:C59"/>
    <mergeCell ref="E59:F59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N38"/>
  <sheetViews>
    <sheetView zoomScale="85" workbookViewId="0"/>
  </sheetViews>
  <sheetFormatPr defaultRowHeight="12.75"/>
  <cols>
    <col min="1" max="1" width="13.140625" style="214" customWidth="1"/>
    <col min="2" max="2" width="29" style="214" customWidth="1"/>
    <col min="3" max="3" width="15.42578125" style="214" bestFit="1" customWidth="1"/>
    <col min="4" max="4" width="16.5703125" style="214" bestFit="1" customWidth="1"/>
    <col min="5" max="5" width="16.140625" style="214" customWidth="1"/>
    <col min="6" max="6" width="17.42578125" style="214" bestFit="1" customWidth="1"/>
    <col min="7" max="9" width="16" style="214" bestFit="1" customWidth="1"/>
    <col min="10" max="10" width="18.140625" style="214" customWidth="1"/>
    <col min="11" max="11" width="15.28515625" style="214" customWidth="1"/>
    <col min="12" max="12" width="10.5703125" style="214" bestFit="1" customWidth="1"/>
    <col min="13" max="16384" width="9.140625" style="214"/>
  </cols>
  <sheetData>
    <row r="1" spans="1:11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73"/>
      <c r="K1" s="364" t="s">
        <v>58</v>
      </c>
    </row>
    <row r="2" spans="1:11">
      <c r="A2" s="373" t="s">
        <v>69</v>
      </c>
      <c r="B2" s="373"/>
      <c r="C2" s="373"/>
      <c r="D2" s="373"/>
      <c r="E2" s="373"/>
      <c r="F2" s="373"/>
      <c r="G2" s="373"/>
      <c r="H2" s="373"/>
      <c r="I2" s="373"/>
      <c r="J2" s="373"/>
      <c r="K2" s="364" t="s">
        <v>30</v>
      </c>
    </row>
    <row r="3" spans="1:11">
      <c r="A3" s="373" t="s">
        <v>31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1">
      <c r="A4" s="373" t="s">
        <v>2157</v>
      </c>
      <c r="B4" s="373"/>
      <c r="C4" s="373"/>
      <c r="D4" s="373"/>
      <c r="E4" s="373"/>
      <c r="F4" s="373"/>
      <c r="G4" s="373"/>
      <c r="H4" s="373"/>
      <c r="I4" s="373"/>
      <c r="J4" s="373"/>
    </row>
    <row r="7" spans="1:11">
      <c r="C7" s="366" t="s">
        <v>2583</v>
      </c>
      <c r="D7" s="366" t="s">
        <v>32</v>
      </c>
      <c r="E7" s="366" t="s">
        <v>2657</v>
      </c>
      <c r="F7" s="366"/>
      <c r="G7" s="366" t="s">
        <v>33</v>
      </c>
      <c r="H7" s="366"/>
      <c r="I7" s="366"/>
      <c r="J7" s="366"/>
      <c r="K7" s="366"/>
    </row>
    <row r="8" spans="1:11">
      <c r="C8" s="366" t="s">
        <v>34</v>
      </c>
      <c r="D8" s="366" t="s">
        <v>2661</v>
      </c>
      <c r="E8" s="366" t="s">
        <v>34</v>
      </c>
      <c r="F8" s="366" t="s">
        <v>35</v>
      </c>
      <c r="G8" s="366" t="s">
        <v>36</v>
      </c>
      <c r="H8" s="366" t="s">
        <v>37</v>
      </c>
      <c r="I8" s="366" t="s">
        <v>2657</v>
      </c>
      <c r="J8" s="366" t="s">
        <v>38</v>
      </c>
      <c r="K8" s="366" t="s">
        <v>2581</v>
      </c>
    </row>
    <row r="9" spans="1:11" ht="13.5" thickBot="1">
      <c r="C9" s="375" t="s">
        <v>39</v>
      </c>
      <c r="D9" s="375" t="s">
        <v>2669</v>
      </c>
      <c r="E9" s="375" t="s">
        <v>39</v>
      </c>
      <c r="F9" s="375" t="s">
        <v>40</v>
      </c>
      <c r="G9" s="375" t="s">
        <v>41</v>
      </c>
      <c r="H9" s="375" t="s">
        <v>2672</v>
      </c>
      <c r="I9" s="375" t="s">
        <v>42</v>
      </c>
      <c r="J9" s="375" t="s">
        <v>43</v>
      </c>
      <c r="K9" s="375" t="s">
        <v>31</v>
      </c>
    </row>
    <row r="11" spans="1:11" ht="13.5" thickBot="1">
      <c r="A11" s="211" t="s">
        <v>2676</v>
      </c>
      <c r="C11" s="315">
        <v>3573416714</v>
      </c>
      <c r="D11" s="315">
        <v>1248570984</v>
      </c>
      <c r="E11" s="315">
        <v>2324845730</v>
      </c>
      <c r="F11" s="315">
        <v>5664735</v>
      </c>
      <c r="G11" s="315">
        <v>206437666</v>
      </c>
      <c r="H11" s="315">
        <v>0</v>
      </c>
      <c r="I11" s="315">
        <v>2536948131</v>
      </c>
      <c r="J11" s="315">
        <v>233139273</v>
      </c>
      <c r="K11" s="315">
        <v>2770087404</v>
      </c>
    </row>
    <row r="12" spans="1:11">
      <c r="A12" s="214" t="s">
        <v>44</v>
      </c>
    </row>
    <row r="13" spans="1:11" ht="13.5" thickBot="1">
      <c r="A13" s="211" t="s">
        <v>2677</v>
      </c>
      <c r="C13" s="315">
        <v>3217033502</v>
      </c>
      <c r="D13" s="315">
        <v>1125717968</v>
      </c>
      <c r="E13" s="315">
        <v>2091315534</v>
      </c>
      <c r="F13" s="315">
        <v>5487488</v>
      </c>
      <c r="G13" s="315">
        <v>120911477.36153845</v>
      </c>
      <c r="H13" s="315">
        <v>0</v>
      </c>
      <c r="I13" s="315">
        <v>2217714499.3615384</v>
      </c>
      <c r="J13" s="379">
        <v>235792990.64845687</v>
      </c>
      <c r="K13" s="315">
        <v>2453507490.0099955</v>
      </c>
    </row>
    <row r="14" spans="1:11">
      <c r="C14" s="215"/>
      <c r="D14" s="215"/>
      <c r="E14" s="215"/>
      <c r="F14" s="215"/>
      <c r="G14" s="215"/>
      <c r="H14" s="215"/>
      <c r="I14" s="215"/>
      <c r="J14" s="215"/>
      <c r="K14" s="215"/>
    </row>
    <row r="15" spans="1:11">
      <c r="A15" s="134" t="s">
        <v>45</v>
      </c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1">
      <c r="A16" s="214" t="s">
        <v>2603</v>
      </c>
      <c r="C16" s="215">
        <v>-827973565</v>
      </c>
      <c r="D16" s="215">
        <v>-44747145</v>
      </c>
      <c r="E16" s="215">
        <v>-783226420</v>
      </c>
      <c r="F16" s="215" t="s">
        <v>2528</v>
      </c>
      <c r="G16" s="215">
        <v>-1527628</v>
      </c>
      <c r="H16" s="215" t="s">
        <v>2528</v>
      </c>
      <c r="I16" s="215">
        <v>-784754048</v>
      </c>
      <c r="J16" s="215">
        <v>-13708615</v>
      </c>
      <c r="K16" s="215">
        <v>-798462663</v>
      </c>
    </row>
    <row r="17" spans="1:14">
      <c r="A17" s="214" t="s">
        <v>46</v>
      </c>
      <c r="C17" s="215" t="s">
        <v>2528</v>
      </c>
      <c r="D17" s="215" t="s">
        <v>2528</v>
      </c>
      <c r="E17" s="215" t="s">
        <v>2528</v>
      </c>
      <c r="F17" s="215" t="s">
        <v>2528</v>
      </c>
      <c r="G17" s="215">
        <v>-69396459</v>
      </c>
      <c r="H17" s="215" t="s">
        <v>2528</v>
      </c>
      <c r="I17" s="215">
        <v>-69396459</v>
      </c>
      <c r="J17" s="215">
        <v>0</v>
      </c>
      <c r="K17" s="215">
        <v>-69396459</v>
      </c>
    </row>
    <row r="18" spans="1:14">
      <c r="A18" s="214" t="s">
        <v>47</v>
      </c>
      <c r="C18" s="215">
        <v>-10348760</v>
      </c>
      <c r="D18" s="215">
        <v>831113</v>
      </c>
      <c r="E18" s="215">
        <v>-11179873</v>
      </c>
      <c r="F18" s="215" t="s">
        <v>2528</v>
      </c>
      <c r="G18" s="215">
        <v>-10069.361538461566</v>
      </c>
      <c r="H18" s="215" t="s">
        <v>2528</v>
      </c>
      <c r="I18" s="215">
        <v>-11189942.361538462</v>
      </c>
      <c r="J18" s="215">
        <v>-2036919.4476923076</v>
      </c>
      <c r="K18" s="215">
        <v>-13226861.809230771</v>
      </c>
    </row>
    <row r="19" spans="1:14">
      <c r="A19" s="214" t="s">
        <v>70</v>
      </c>
      <c r="C19" s="215" t="s">
        <v>2528</v>
      </c>
      <c r="D19" s="215" t="s">
        <v>2528</v>
      </c>
      <c r="E19" s="215" t="s">
        <v>2528</v>
      </c>
      <c r="F19" s="215" t="s">
        <v>2528</v>
      </c>
      <c r="G19" s="215" t="s">
        <v>2528</v>
      </c>
      <c r="H19" s="215" t="s">
        <v>2528</v>
      </c>
      <c r="I19" s="215" t="s">
        <v>2528</v>
      </c>
      <c r="J19" s="215">
        <v>-55565</v>
      </c>
      <c r="K19" s="215">
        <v>-55565</v>
      </c>
    </row>
    <row r="20" spans="1:14">
      <c r="A20" s="214" t="s">
        <v>49</v>
      </c>
      <c r="C20" s="215" t="s">
        <v>2528</v>
      </c>
      <c r="D20" s="215" t="s">
        <v>2528</v>
      </c>
      <c r="E20" s="215" t="s">
        <v>2528</v>
      </c>
      <c r="F20" s="215" t="s">
        <v>2528</v>
      </c>
      <c r="G20" s="215" t="s">
        <v>2528</v>
      </c>
      <c r="H20" s="215" t="s">
        <v>2528</v>
      </c>
      <c r="I20" s="215" t="s">
        <v>2528</v>
      </c>
      <c r="J20" s="215">
        <v>-307071</v>
      </c>
      <c r="K20" s="215">
        <v>-307071</v>
      </c>
    </row>
    <row r="21" spans="1:14">
      <c r="A21" s="214" t="s">
        <v>51</v>
      </c>
      <c r="C21" s="215" t="s">
        <v>2528</v>
      </c>
      <c r="D21" s="215" t="s">
        <v>2528</v>
      </c>
      <c r="E21" s="215" t="s">
        <v>2528</v>
      </c>
      <c r="F21" s="215" t="s">
        <v>2528</v>
      </c>
      <c r="G21" s="215" t="s">
        <v>2528</v>
      </c>
      <c r="H21" s="215" t="s">
        <v>2528</v>
      </c>
      <c r="I21" s="215" t="s">
        <v>2528</v>
      </c>
      <c r="J21" s="215">
        <v>-12768207</v>
      </c>
      <c r="K21" s="215">
        <v>-12768207</v>
      </c>
    </row>
    <row r="22" spans="1:14" hidden="1">
      <c r="A22" s="214" t="s">
        <v>2681</v>
      </c>
      <c r="C22" s="215" t="s">
        <v>2528</v>
      </c>
      <c r="D22" s="215" t="s">
        <v>2528</v>
      </c>
      <c r="E22" s="215" t="s">
        <v>2528</v>
      </c>
      <c r="F22" s="215" t="s">
        <v>2528</v>
      </c>
      <c r="G22" s="215" t="s">
        <v>2528</v>
      </c>
      <c r="H22" s="215" t="s">
        <v>2528</v>
      </c>
      <c r="I22" s="215" t="s">
        <v>2528</v>
      </c>
      <c r="J22" s="215">
        <v>0</v>
      </c>
      <c r="K22" s="215">
        <v>0</v>
      </c>
    </row>
    <row r="23" spans="1:14">
      <c r="A23" s="214" t="s">
        <v>52</v>
      </c>
      <c r="C23" s="215" t="s">
        <v>2528</v>
      </c>
      <c r="D23" s="215" t="s">
        <v>2528</v>
      </c>
      <c r="E23" s="215" t="s">
        <v>2528</v>
      </c>
      <c r="F23" s="215" t="s">
        <v>2528</v>
      </c>
      <c r="G23" s="215" t="s">
        <v>2528</v>
      </c>
      <c r="H23" s="215" t="s">
        <v>2528</v>
      </c>
      <c r="I23" s="215" t="s">
        <v>2528</v>
      </c>
      <c r="J23" s="215">
        <v>-15102690</v>
      </c>
      <c r="K23" s="215">
        <v>-15102690</v>
      </c>
    </row>
    <row r="24" spans="1:14">
      <c r="A24" s="214" t="s">
        <v>53</v>
      </c>
      <c r="C24" s="215" t="s">
        <v>2528</v>
      </c>
      <c r="D24" s="215" t="s">
        <v>2528</v>
      </c>
      <c r="E24" s="215" t="s">
        <v>2528</v>
      </c>
      <c r="F24" s="215" t="s">
        <v>2528</v>
      </c>
      <c r="G24" s="215" t="s">
        <v>2528</v>
      </c>
      <c r="H24" s="215" t="s">
        <v>2528</v>
      </c>
      <c r="I24" s="215" t="s">
        <v>2528</v>
      </c>
      <c r="J24" s="215">
        <v>-510</v>
      </c>
      <c r="K24" s="215">
        <v>-510</v>
      </c>
    </row>
    <row r="25" spans="1:14">
      <c r="A25" s="214" t="s">
        <v>54</v>
      </c>
      <c r="C25" s="215" t="s">
        <v>2528</v>
      </c>
      <c r="D25" s="215" t="s">
        <v>2528</v>
      </c>
      <c r="E25" s="215" t="s">
        <v>2528</v>
      </c>
      <c r="F25" s="215" t="s">
        <v>2528</v>
      </c>
      <c r="G25" s="215" t="s">
        <v>2528</v>
      </c>
      <c r="H25" s="215" t="s">
        <v>2528</v>
      </c>
      <c r="I25" s="215" t="s">
        <v>2528</v>
      </c>
      <c r="J25" s="215">
        <v>140604</v>
      </c>
      <c r="K25" s="215">
        <v>140604</v>
      </c>
    </row>
    <row r="26" spans="1:14" ht="13.5" thickBot="1">
      <c r="A26" s="214" t="s">
        <v>55</v>
      </c>
      <c r="C26" s="315" t="s">
        <v>2528</v>
      </c>
      <c r="D26" s="315" t="s">
        <v>2528</v>
      </c>
      <c r="E26" s="315" t="s">
        <v>2528</v>
      </c>
      <c r="F26" s="315"/>
      <c r="G26" s="315" t="s">
        <v>2528</v>
      </c>
      <c r="H26" s="315" t="s">
        <v>2528</v>
      </c>
      <c r="I26" s="315" t="s">
        <v>2528</v>
      </c>
      <c r="J26" s="315">
        <v>27597</v>
      </c>
      <c r="K26" s="315">
        <v>27597</v>
      </c>
    </row>
    <row r="27" spans="1:14">
      <c r="C27" s="215"/>
      <c r="D27" s="215"/>
      <c r="E27" s="215"/>
      <c r="F27" s="215"/>
      <c r="G27" s="215"/>
      <c r="H27" s="215"/>
      <c r="I27" s="215"/>
      <c r="J27" s="215"/>
      <c r="K27" s="215"/>
    </row>
    <row r="28" spans="1:14" ht="13.5" thickBot="1">
      <c r="A28" s="214" t="s">
        <v>13</v>
      </c>
      <c r="C28" s="315">
        <v>-838322325</v>
      </c>
      <c r="D28" s="315">
        <v>-43916032</v>
      </c>
      <c r="E28" s="315">
        <v>-794406293</v>
      </c>
      <c r="F28" s="315">
        <v>0</v>
      </c>
      <c r="G28" s="315">
        <v>-70934156.361538455</v>
      </c>
      <c r="H28" s="315">
        <v>0</v>
      </c>
      <c r="I28" s="315">
        <v>-865340449.36153841</v>
      </c>
      <c r="J28" s="315">
        <v>-43811376.447692305</v>
      </c>
      <c r="K28" s="315">
        <v>-909151825.8092308</v>
      </c>
      <c r="M28" s="140"/>
      <c r="N28" s="140"/>
    </row>
    <row r="29" spans="1:14"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4">
      <c r="C30" s="215"/>
      <c r="D30" s="215"/>
      <c r="E30" s="215"/>
      <c r="F30" s="215"/>
      <c r="G30" s="215"/>
      <c r="H30" s="215"/>
      <c r="I30" s="215"/>
      <c r="J30" s="215"/>
      <c r="K30" s="215"/>
    </row>
    <row r="31" spans="1:14" ht="13.5" thickBot="1">
      <c r="A31" s="211" t="s">
        <v>14</v>
      </c>
      <c r="C31" s="215">
        <v>2378711177</v>
      </c>
      <c r="D31" s="215">
        <v>1081801936</v>
      </c>
      <c r="E31" s="215">
        <v>1296909241</v>
      </c>
      <c r="F31" s="215">
        <v>5487488</v>
      </c>
      <c r="G31" s="215" t="s">
        <v>3750</v>
      </c>
      <c r="H31" s="215">
        <v>0</v>
      </c>
      <c r="I31" s="215">
        <v>1352374050</v>
      </c>
      <c r="J31" s="215">
        <v>191981614.20076457</v>
      </c>
      <c r="K31" s="215">
        <v>1544355664.2007647</v>
      </c>
    </row>
    <row r="32" spans="1:14"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>
      <c r="A33" s="214" t="s">
        <v>56</v>
      </c>
      <c r="C33" s="215"/>
      <c r="D33" s="215"/>
      <c r="E33" s="215"/>
      <c r="F33" s="215"/>
      <c r="G33" s="215"/>
      <c r="H33" s="215"/>
      <c r="I33" s="215"/>
      <c r="J33" s="215"/>
      <c r="K33" s="215"/>
    </row>
    <row r="34" spans="1:11" ht="13.5" thickBot="1">
      <c r="A34" s="214" t="s">
        <v>57</v>
      </c>
      <c r="C34" s="315">
        <v>0</v>
      </c>
      <c r="D34" s="315">
        <v>0</v>
      </c>
      <c r="E34" s="315">
        <v>0</v>
      </c>
      <c r="F34" s="315">
        <v>0</v>
      </c>
      <c r="G34" s="315">
        <v>0</v>
      </c>
      <c r="H34" s="315">
        <v>0</v>
      </c>
      <c r="I34" s="315">
        <v>0</v>
      </c>
      <c r="J34" s="315">
        <v>0</v>
      </c>
      <c r="K34" s="315">
        <v>0</v>
      </c>
    </row>
    <row r="35" spans="1:11"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ht="13.5" thickBot="1">
      <c r="A36" s="214" t="s">
        <v>71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5">
        <v>0</v>
      </c>
      <c r="J36" s="315">
        <v>0</v>
      </c>
      <c r="K36" s="315">
        <v>0</v>
      </c>
    </row>
    <row r="37" spans="1:11">
      <c r="C37" s="215"/>
      <c r="D37" s="215"/>
      <c r="E37" s="215"/>
      <c r="F37" s="215"/>
      <c r="G37" s="215"/>
      <c r="H37" s="215"/>
      <c r="I37" s="215"/>
      <c r="J37" s="215"/>
      <c r="K37" s="215"/>
    </row>
    <row r="38" spans="1:11" ht="13.5" thickBot="1">
      <c r="A38" s="211" t="s">
        <v>25</v>
      </c>
      <c r="C38" s="315">
        <v>2378711177</v>
      </c>
      <c r="D38" s="315">
        <v>1081801936</v>
      </c>
      <c r="E38" s="315">
        <v>1296909241</v>
      </c>
      <c r="F38" s="315">
        <v>5487488</v>
      </c>
      <c r="G38" s="315">
        <v>49977321</v>
      </c>
      <c r="H38" s="315">
        <v>0</v>
      </c>
      <c r="I38" s="315">
        <v>1352374050</v>
      </c>
      <c r="J38" s="315">
        <v>191981614.20076457</v>
      </c>
      <c r="K38" s="315">
        <v>1544355664.2007647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P72"/>
  <sheetViews>
    <sheetView zoomScale="85" workbookViewId="0"/>
  </sheetViews>
  <sheetFormatPr defaultRowHeight="12.75"/>
  <cols>
    <col min="1" max="1" width="9.140625" style="214"/>
    <col min="2" max="2" width="28.7109375" style="214" customWidth="1"/>
    <col min="3" max="3" width="14.5703125" style="214" bestFit="1" customWidth="1"/>
    <col min="4" max="4" width="14.7109375" style="214" bestFit="1" customWidth="1"/>
    <col min="5" max="5" width="14.140625" style="214" customWidth="1"/>
    <col min="6" max="6" width="17" style="214" bestFit="1" customWidth="1"/>
    <col min="7" max="7" width="19.28515625" style="214" customWidth="1"/>
    <col min="8" max="9" width="15.140625" style="214" bestFit="1" customWidth="1"/>
    <col min="10" max="10" width="17.42578125" style="214" bestFit="1" customWidth="1"/>
    <col min="11" max="11" width="16.42578125" style="214" bestFit="1" customWidth="1"/>
    <col min="12" max="12" width="14.5703125" style="214" bestFit="1" customWidth="1"/>
    <col min="13" max="13" width="14" style="214" bestFit="1" customWidth="1"/>
    <col min="14" max="16384" width="9.140625" style="214"/>
  </cols>
  <sheetData>
    <row r="1" spans="1:14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64" t="s">
        <v>58</v>
      </c>
    </row>
    <row r="2" spans="1:14">
      <c r="A2" s="373" t="s">
        <v>59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64" t="s">
        <v>2652</v>
      </c>
    </row>
    <row r="3" spans="1:14">
      <c r="A3" s="373" t="s">
        <v>2653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1:14">
      <c r="A4" s="373" t="s">
        <v>2157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7" spans="1:14">
      <c r="C7" s="366"/>
      <c r="D7" s="366" t="s">
        <v>2654</v>
      </c>
      <c r="E7" s="366"/>
      <c r="F7" s="366"/>
      <c r="G7" s="366"/>
      <c r="H7" s="366"/>
      <c r="I7" s="366" t="s">
        <v>2655</v>
      </c>
      <c r="J7" s="366" t="s">
        <v>2656</v>
      </c>
      <c r="K7" s="366"/>
      <c r="L7" s="366" t="s">
        <v>2581</v>
      </c>
      <c r="M7" s="366" t="s">
        <v>2657</v>
      </c>
    </row>
    <row r="8" spans="1:14">
      <c r="C8" s="366" t="s">
        <v>2658</v>
      </c>
      <c r="D8" s="366" t="s">
        <v>2659</v>
      </c>
      <c r="E8" s="366" t="s">
        <v>2660</v>
      </c>
      <c r="F8" s="366" t="s">
        <v>2661</v>
      </c>
      <c r="G8" s="366" t="s">
        <v>2662</v>
      </c>
      <c r="H8" s="366" t="s">
        <v>2663</v>
      </c>
      <c r="I8" s="366" t="s">
        <v>2663</v>
      </c>
      <c r="J8" s="366" t="s">
        <v>2664</v>
      </c>
      <c r="K8" s="366" t="s">
        <v>2665</v>
      </c>
      <c r="L8" s="366" t="s">
        <v>2658</v>
      </c>
      <c r="M8" s="366" t="s">
        <v>2658</v>
      </c>
    </row>
    <row r="9" spans="1:14">
      <c r="C9" s="366" t="s">
        <v>2666</v>
      </c>
      <c r="D9" s="366" t="s">
        <v>2667</v>
      </c>
      <c r="E9" s="366" t="s">
        <v>2668</v>
      </c>
      <c r="F9" s="366" t="s">
        <v>2669</v>
      </c>
      <c r="G9" s="366" t="s">
        <v>2670</v>
      </c>
      <c r="H9" s="366" t="s">
        <v>2671</v>
      </c>
      <c r="I9" s="366" t="s">
        <v>2672</v>
      </c>
      <c r="J9" s="366" t="s">
        <v>2672</v>
      </c>
      <c r="K9" s="366" t="s">
        <v>2673</v>
      </c>
      <c r="L9" s="366" t="s">
        <v>2674</v>
      </c>
      <c r="M9" s="366" t="s">
        <v>2675</v>
      </c>
    </row>
    <row r="11" spans="1:14" ht="13.5" thickBot="1">
      <c r="A11" s="214" t="s">
        <v>2676</v>
      </c>
      <c r="C11" s="315">
        <v>1558262293.28</v>
      </c>
      <c r="D11" s="315">
        <v>802165948.21662939</v>
      </c>
      <c r="E11" s="315">
        <v>303058345.58337057</v>
      </c>
      <c r="F11" s="315">
        <v>126678334.32999998</v>
      </c>
      <c r="G11" s="315">
        <v>101440404.51000001</v>
      </c>
      <c r="H11" s="315">
        <v>-28069457.469999999</v>
      </c>
      <c r="I11" s="315">
        <v>92584543.570000008</v>
      </c>
      <c r="J11" s="315">
        <v>-1494982</v>
      </c>
      <c r="K11" s="315">
        <v>0</v>
      </c>
      <c r="L11" s="315">
        <v>1396363136.7399998</v>
      </c>
      <c r="M11" s="315">
        <v>161899156.5400002</v>
      </c>
      <c r="N11" s="214" t="s">
        <v>2171</v>
      </c>
    </row>
    <row r="12" spans="1:14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</row>
    <row r="13" spans="1:14" ht="13.5" thickBot="1">
      <c r="A13" s="214" t="s">
        <v>2677</v>
      </c>
      <c r="C13" s="315">
        <v>1345260741.6500001</v>
      </c>
      <c r="D13" s="315">
        <v>645776002.20090508</v>
      </c>
      <c r="E13" s="315">
        <v>287370072.98000002</v>
      </c>
      <c r="F13" s="315">
        <v>117924507.1366654</v>
      </c>
      <c r="G13" s="315">
        <v>99698784.729750007</v>
      </c>
      <c r="H13" s="315">
        <v>-9700308</v>
      </c>
      <c r="I13" s="315">
        <v>66329231</v>
      </c>
      <c r="J13" s="315">
        <v>-1133805</v>
      </c>
      <c r="K13" s="315">
        <v>0</v>
      </c>
      <c r="L13" s="315">
        <v>1206264485.0473204</v>
      </c>
      <c r="M13" s="315">
        <v>138996256.60267973</v>
      </c>
      <c r="N13" s="214" t="s">
        <v>2171</v>
      </c>
    </row>
    <row r="14" spans="1:14"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</row>
    <row r="15" spans="1:14">
      <c r="A15" s="214" t="s">
        <v>2678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</row>
    <row r="16" spans="1:14">
      <c r="A16" s="214" t="s">
        <v>2603</v>
      </c>
      <c r="C16" s="215">
        <v>-154301956.56</v>
      </c>
      <c r="D16" s="215" t="s">
        <v>2528</v>
      </c>
      <c r="E16" s="215">
        <v>-29024832</v>
      </c>
      <c r="F16" s="215">
        <v>-34504819</v>
      </c>
      <c r="G16" s="215">
        <v>-599980</v>
      </c>
      <c r="H16" s="215">
        <v>-34783975</v>
      </c>
      <c r="I16" s="215" t="s">
        <v>2528</v>
      </c>
      <c r="J16" s="215" t="s">
        <v>2528</v>
      </c>
      <c r="K16" s="215" t="s">
        <v>2528</v>
      </c>
      <c r="L16" s="215">
        <v>-98913606</v>
      </c>
      <c r="M16" s="215">
        <v>-55388350.560000002</v>
      </c>
    </row>
    <row r="17" spans="1:13">
      <c r="A17" s="214" t="s">
        <v>2679</v>
      </c>
      <c r="C17" s="215">
        <v>-31705134.799999997</v>
      </c>
      <c r="D17" s="215" t="s">
        <v>2528</v>
      </c>
      <c r="E17" s="215" t="s">
        <v>2528</v>
      </c>
      <c r="F17" s="215" t="s">
        <v>2528</v>
      </c>
      <c r="G17" s="215" t="s">
        <v>2528</v>
      </c>
      <c r="H17" s="215">
        <v>-12230256</v>
      </c>
      <c r="I17" s="215" t="s">
        <v>2528</v>
      </c>
      <c r="J17" s="215" t="s">
        <v>2528</v>
      </c>
      <c r="K17" s="215" t="s">
        <v>2528</v>
      </c>
      <c r="L17" s="215">
        <v>-12230256</v>
      </c>
      <c r="M17" s="215">
        <v>-19474878.799999997</v>
      </c>
    </row>
    <row r="18" spans="1:13">
      <c r="A18" s="214" t="s">
        <v>2623</v>
      </c>
      <c r="C18" s="215" t="s">
        <v>2528</v>
      </c>
      <c r="D18" s="215" t="s">
        <v>2528</v>
      </c>
      <c r="E18" s="215">
        <v>-119471.8</v>
      </c>
      <c r="F18" s="215" t="s">
        <v>2528</v>
      </c>
      <c r="G18" s="215" t="s">
        <v>2528</v>
      </c>
      <c r="H18" s="215">
        <v>46086</v>
      </c>
      <c r="I18" s="215" t="s">
        <v>2528</v>
      </c>
      <c r="J18" s="215" t="s">
        <v>2528</v>
      </c>
      <c r="K18" s="215" t="s">
        <v>2528</v>
      </c>
      <c r="L18" s="215">
        <v>-73385.8</v>
      </c>
      <c r="M18" s="215">
        <v>73385.8</v>
      </c>
    </row>
    <row r="19" spans="1:13">
      <c r="A19" s="214" t="s">
        <v>2680</v>
      </c>
      <c r="C19" s="215" t="s">
        <v>2528</v>
      </c>
      <c r="D19" s="215" t="s">
        <v>2528</v>
      </c>
      <c r="E19" s="215" t="s">
        <v>2528</v>
      </c>
      <c r="F19" s="215" t="s">
        <v>2528</v>
      </c>
      <c r="G19" s="215" t="s">
        <v>2528</v>
      </c>
      <c r="H19" s="215">
        <v>3679</v>
      </c>
      <c r="I19" s="215" t="s">
        <v>2528</v>
      </c>
      <c r="J19" s="215" t="s">
        <v>2528</v>
      </c>
      <c r="K19" s="215">
        <v>-9536.8766654092797</v>
      </c>
      <c r="L19" s="215">
        <v>-5857.8766654092797</v>
      </c>
      <c r="M19" s="215">
        <v>5857.8766654092797</v>
      </c>
    </row>
    <row r="20" spans="1:13" hidden="1">
      <c r="A20" s="214" t="s">
        <v>2681</v>
      </c>
      <c r="C20" s="215" t="s">
        <v>2528</v>
      </c>
      <c r="D20" s="215" t="s">
        <v>2528</v>
      </c>
      <c r="E20" s="215" t="s">
        <v>2528</v>
      </c>
      <c r="F20" s="215" t="s">
        <v>2528</v>
      </c>
      <c r="G20" s="215" t="s">
        <v>2528</v>
      </c>
      <c r="H20" s="215" t="s">
        <v>2528</v>
      </c>
      <c r="I20" s="215" t="s">
        <v>2528</v>
      </c>
      <c r="J20" s="215" t="s">
        <v>2528</v>
      </c>
      <c r="K20" s="215" t="s">
        <v>2528</v>
      </c>
      <c r="L20" s="215">
        <v>0</v>
      </c>
      <c r="M20" s="215">
        <v>0</v>
      </c>
    </row>
    <row r="21" spans="1:13">
      <c r="A21" s="214" t="s">
        <v>2625</v>
      </c>
      <c r="C21" s="215" t="s">
        <v>2528</v>
      </c>
      <c r="D21" s="215" t="s">
        <v>2528</v>
      </c>
      <c r="E21" s="215">
        <v>-9056</v>
      </c>
      <c r="F21" s="215" t="s">
        <v>2528</v>
      </c>
      <c r="G21" s="215" t="s">
        <v>2528</v>
      </c>
      <c r="H21" s="215">
        <v>3493</v>
      </c>
      <c r="I21" s="215" t="s">
        <v>2528</v>
      </c>
      <c r="J21" s="215" t="s">
        <v>2528</v>
      </c>
      <c r="K21" s="215" t="s">
        <v>2528</v>
      </c>
      <c r="L21" s="215">
        <v>-5563</v>
      </c>
      <c r="M21" s="215">
        <v>5563</v>
      </c>
    </row>
    <row r="22" spans="1:13">
      <c r="A22" s="214" t="s">
        <v>2594</v>
      </c>
      <c r="C22" s="215">
        <v>-40354804.57</v>
      </c>
      <c r="D22" s="215" t="s">
        <v>2528</v>
      </c>
      <c r="E22" s="215" t="s">
        <v>2528</v>
      </c>
      <c r="F22" s="215" t="s">
        <v>2528</v>
      </c>
      <c r="G22" s="215" t="s">
        <v>2528</v>
      </c>
      <c r="H22" s="215">
        <v>-15566866</v>
      </c>
      <c r="I22" s="215" t="s">
        <v>2528</v>
      </c>
      <c r="J22" s="215" t="s">
        <v>2528</v>
      </c>
      <c r="K22" s="215" t="s">
        <v>2528</v>
      </c>
      <c r="L22" s="215">
        <v>-15566866</v>
      </c>
      <c r="M22" s="215">
        <v>-24787938.57</v>
      </c>
    </row>
    <row r="23" spans="1:13">
      <c r="A23" s="214" t="s">
        <v>0</v>
      </c>
      <c r="C23" s="215">
        <v>-599884447.2700001</v>
      </c>
      <c r="D23" s="215" t="s">
        <v>2528</v>
      </c>
      <c r="E23" s="215" t="s">
        <v>2528</v>
      </c>
      <c r="F23" s="215" t="s">
        <v>2528</v>
      </c>
      <c r="G23" s="215" t="s">
        <v>2528</v>
      </c>
      <c r="H23" s="215">
        <v>-231405426</v>
      </c>
      <c r="I23" s="215" t="s">
        <v>2528</v>
      </c>
      <c r="J23" s="215" t="s">
        <v>2528</v>
      </c>
      <c r="K23" s="215" t="s">
        <v>2528</v>
      </c>
      <c r="L23" s="215">
        <v>-231405426</v>
      </c>
      <c r="M23" s="215">
        <v>-368479021.2700001</v>
      </c>
    </row>
    <row r="24" spans="1:13">
      <c r="A24" s="214" t="s">
        <v>62</v>
      </c>
      <c r="C24" s="215">
        <v>-58824519.189999998</v>
      </c>
      <c r="D24" s="215" t="s">
        <v>2528</v>
      </c>
      <c r="E24" s="215" t="s">
        <v>2528</v>
      </c>
      <c r="F24" s="215" t="s">
        <v>2528</v>
      </c>
      <c r="G24" s="215" t="s">
        <v>2528</v>
      </c>
      <c r="H24" s="215">
        <v>-22691558</v>
      </c>
      <c r="I24" s="215" t="s">
        <v>2528</v>
      </c>
      <c r="J24" s="215" t="s">
        <v>2528</v>
      </c>
      <c r="K24" s="215" t="s">
        <v>2528</v>
      </c>
      <c r="L24" s="215">
        <v>-22691558</v>
      </c>
      <c r="M24" s="215">
        <v>-36132961.189999998</v>
      </c>
    </row>
    <row r="25" spans="1:13">
      <c r="A25" s="214" t="s">
        <v>2</v>
      </c>
      <c r="C25" s="215" t="s">
        <v>2528</v>
      </c>
      <c r="D25" s="215" t="s">
        <v>2528</v>
      </c>
      <c r="E25" s="215" t="s">
        <v>2528</v>
      </c>
      <c r="F25" s="215" t="s">
        <v>2528</v>
      </c>
      <c r="G25" s="215" t="s">
        <v>2528</v>
      </c>
      <c r="H25" s="215" t="s">
        <v>2528</v>
      </c>
      <c r="I25" s="215" t="s">
        <v>2528</v>
      </c>
      <c r="J25" s="215" t="s">
        <v>2528</v>
      </c>
      <c r="K25" s="215" t="s">
        <v>2528</v>
      </c>
      <c r="L25" s="215">
        <v>0</v>
      </c>
      <c r="M25" s="215">
        <v>0</v>
      </c>
    </row>
    <row r="26" spans="1:13" hidden="1">
      <c r="A26" s="214" t="s">
        <v>3</v>
      </c>
      <c r="C26" s="215"/>
      <c r="D26" s="215"/>
      <c r="E26" s="215"/>
      <c r="F26" s="215" t="s">
        <v>2528</v>
      </c>
      <c r="G26" s="215"/>
      <c r="H26" s="215"/>
      <c r="I26" s="215"/>
      <c r="J26" s="215"/>
      <c r="K26" s="215"/>
      <c r="L26" s="215"/>
      <c r="M26" s="215"/>
    </row>
    <row r="27" spans="1:13">
      <c r="A27" s="214" t="s">
        <v>4</v>
      </c>
      <c r="C27" s="215" t="s">
        <v>2528</v>
      </c>
      <c r="D27" s="215" t="s">
        <v>2528</v>
      </c>
      <c r="E27" s="215">
        <v>-796762</v>
      </c>
      <c r="F27" s="215"/>
      <c r="G27" s="215" t="s">
        <v>2528</v>
      </c>
      <c r="H27" s="215">
        <v>307351</v>
      </c>
      <c r="I27" s="215" t="s">
        <v>2528</v>
      </c>
      <c r="J27" s="215" t="s">
        <v>2528</v>
      </c>
      <c r="K27" s="215" t="s">
        <v>2528</v>
      </c>
      <c r="L27" s="215">
        <v>-489411</v>
      </c>
      <c r="M27" s="215">
        <v>489411</v>
      </c>
    </row>
    <row r="28" spans="1:13">
      <c r="A28" s="214" t="s">
        <v>5</v>
      </c>
      <c r="C28" s="215" t="s">
        <v>2528</v>
      </c>
      <c r="D28" s="215" t="s">
        <v>2528</v>
      </c>
      <c r="E28" s="215">
        <v>756924</v>
      </c>
      <c r="F28" s="215" t="s">
        <v>2528</v>
      </c>
      <c r="G28" s="215" t="s">
        <v>2528</v>
      </c>
      <c r="H28" s="215">
        <v>-291983</v>
      </c>
      <c r="I28" s="215" t="s">
        <v>2528</v>
      </c>
      <c r="J28" s="215" t="s">
        <v>2528</v>
      </c>
      <c r="K28" s="215" t="s">
        <v>2528</v>
      </c>
      <c r="L28" s="215">
        <v>464941</v>
      </c>
      <c r="M28" s="215">
        <v>-464941</v>
      </c>
    </row>
    <row r="29" spans="1:13">
      <c r="A29" s="214" t="s">
        <v>6</v>
      </c>
      <c r="C29" s="215" t="s">
        <v>2528</v>
      </c>
      <c r="D29" s="215" t="s">
        <v>2528</v>
      </c>
      <c r="E29" s="215">
        <v>-318545</v>
      </c>
      <c r="F29" s="215" t="s">
        <v>2528</v>
      </c>
      <c r="G29" s="215">
        <v>-16226</v>
      </c>
      <c r="H29" s="215">
        <v>129138</v>
      </c>
      <c r="I29" s="215" t="s">
        <v>2528</v>
      </c>
      <c r="J29" s="215" t="s">
        <v>2528</v>
      </c>
      <c r="K29" s="215" t="s">
        <v>2528</v>
      </c>
      <c r="L29" s="215">
        <v>-205633</v>
      </c>
      <c r="M29" s="215">
        <v>205633</v>
      </c>
    </row>
    <row r="30" spans="1:13">
      <c r="A30" s="214" t="s">
        <v>7</v>
      </c>
      <c r="C30" s="215" t="s">
        <v>2528</v>
      </c>
      <c r="D30" s="215">
        <v>-228757</v>
      </c>
      <c r="E30" s="215">
        <v>-19717</v>
      </c>
      <c r="F30" s="215" t="s">
        <v>2528</v>
      </c>
      <c r="G30" s="215" t="s">
        <v>2528</v>
      </c>
      <c r="H30" s="215">
        <v>95849</v>
      </c>
      <c r="I30" s="215" t="s">
        <v>2528</v>
      </c>
      <c r="J30" s="215" t="s">
        <v>2528</v>
      </c>
      <c r="K30" s="215" t="s">
        <v>2528</v>
      </c>
      <c r="L30" s="215">
        <v>-152625</v>
      </c>
      <c r="M30" s="215">
        <v>152625</v>
      </c>
    </row>
    <row r="31" spans="1:13">
      <c r="A31" s="214" t="s">
        <v>2606</v>
      </c>
      <c r="C31" s="215" t="s">
        <v>2528</v>
      </c>
      <c r="D31" s="215" t="s">
        <v>2528</v>
      </c>
      <c r="E31" s="215">
        <v>-1027</v>
      </c>
      <c r="F31" s="215" t="s">
        <v>2528</v>
      </c>
      <c r="G31" s="215" t="s">
        <v>3750</v>
      </c>
      <c r="H31" s="215">
        <v>396</v>
      </c>
      <c r="I31" s="215" t="s">
        <v>2528</v>
      </c>
      <c r="J31" s="215" t="s">
        <v>2528</v>
      </c>
      <c r="K31" s="215" t="s">
        <v>2528</v>
      </c>
      <c r="L31" s="215">
        <v>-631</v>
      </c>
      <c r="M31" s="215">
        <v>631</v>
      </c>
    </row>
    <row r="32" spans="1:13">
      <c r="A32" s="214" t="s">
        <v>8</v>
      </c>
      <c r="C32" s="215" t="s">
        <v>2528</v>
      </c>
      <c r="D32" s="215">
        <v>-599459962.74000001</v>
      </c>
      <c r="E32" s="215" t="s">
        <v>2528</v>
      </c>
      <c r="F32" s="215" t="s">
        <v>2528</v>
      </c>
      <c r="G32" s="215" t="s">
        <v>2528</v>
      </c>
      <c r="H32" s="215">
        <v>231241681</v>
      </c>
      <c r="I32" s="215" t="s">
        <v>2528</v>
      </c>
      <c r="J32" s="215" t="s">
        <v>2528</v>
      </c>
      <c r="K32" s="215" t="s">
        <v>2528</v>
      </c>
      <c r="L32" s="215">
        <v>-368218281.74000001</v>
      </c>
      <c r="M32" s="215">
        <v>368218281.74000001</v>
      </c>
    </row>
    <row r="33" spans="1:16">
      <c r="A33" s="214" t="s">
        <v>9</v>
      </c>
      <c r="C33" s="215" t="s">
        <v>2528</v>
      </c>
      <c r="D33" s="215">
        <v>-46087282.460905068</v>
      </c>
      <c r="E33" s="215">
        <v>-8530473.1799999997</v>
      </c>
      <c r="F33" s="215">
        <v>-294255.26</v>
      </c>
      <c r="G33" s="215">
        <v>-295076.27</v>
      </c>
      <c r="H33" s="215">
        <v>21296134</v>
      </c>
      <c r="I33" s="215" t="s">
        <v>2528</v>
      </c>
      <c r="J33" s="215" t="s">
        <v>2528</v>
      </c>
      <c r="K33" s="215" t="s">
        <v>2528</v>
      </c>
      <c r="L33" s="215">
        <v>-33910953.170905069</v>
      </c>
      <c r="M33" s="215">
        <v>33910953.170905069</v>
      </c>
    </row>
    <row r="34" spans="1:16">
      <c r="A34" s="214" t="s">
        <v>10</v>
      </c>
      <c r="C34" s="215" t="s">
        <v>2528</v>
      </c>
      <c r="D34" s="215" t="s">
        <v>2528</v>
      </c>
      <c r="E34" s="215" t="s">
        <v>2528</v>
      </c>
      <c r="F34" s="215" t="s">
        <v>2528</v>
      </c>
      <c r="G34" s="215">
        <v>-39772382.774000004</v>
      </c>
      <c r="H34" s="215">
        <v>15342197</v>
      </c>
      <c r="I34" s="215" t="s">
        <v>2528</v>
      </c>
      <c r="J34" s="215" t="s">
        <v>2528</v>
      </c>
      <c r="K34" s="215" t="s">
        <v>2528</v>
      </c>
      <c r="L34" s="215">
        <v>-24430185.774000004</v>
      </c>
      <c r="M34" s="215">
        <v>24430185.774000004</v>
      </c>
    </row>
    <row r="35" spans="1:16">
      <c r="A35" s="214" t="s">
        <v>63</v>
      </c>
      <c r="C35" s="215" t="s">
        <v>2528</v>
      </c>
      <c r="D35" s="215" t="s">
        <v>2528</v>
      </c>
      <c r="E35" s="215" t="s">
        <v>2528</v>
      </c>
      <c r="F35" s="215" t="s">
        <v>2528</v>
      </c>
      <c r="G35" s="215">
        <v>-1504134</v>
      </c>
      <c r="H35" s="215">
        <v>580220</v>
      </c>
      <c r="I35" s="215" t="s">
        <v>2528</v>
      </c>
      <c r="J35" s="215" t="s">
        <v>2528</v>
      </c>
      <c r="K35" s="215" t="s">
        <v>2528</v>
      </c>
      <c r="L35" s="215">
        <v>-923914</v>
      </c>
      <c r="M35" s="215">
        <v>923914</v>
      </c>
    </row>
    <row r="36" spans="1:16">
      <c r="A36" s="214" t="s">
        <v>12</v>
      </c>
      <c r="C36" s="215" t="s">
        <v>2528</v>
      </c>
      <c r="D36" s="215" t="s">
        <v>2528</v>
      </c>
      <c r="E36" s="215" t="s">
        <v>2528</v>
      </c>
      <c r="F36" s="215" t="s">
        <v>2528</v>
      </c>
      <c r="G36" s="215">
        <v>-31600125.685749996</v>
      </c>
      <c r="H36" s="215">
        <v>12189748</v>
      </c>
      <c r="I36" s="215" t="s">
        <v>2528</v>
      </c>
      <c r="J36" s="215" t="s">
        <v>2528</v>
      </c>
      <c r="K36" s="215" t="s">
        <v>2528</v>
      </c>
      <c r="L36" s="215">
        <v>-19410377.685749996</v>
      </c>
      <c r="M36" s="215">
        <v>19410377.685749996</v>
      </c>
    </row>
    <row r="37" spans="1:16" ht="13.5" thickBot="1">
      <c r="A37" s="214" t="s">
        <v>2639</v>
      </c>
      <c r="C37" s="315" t="s">
        <v>2528</v>
      </c>
      <c r="D37" s="315" t="s">
        <v>2528</v>
      </c>
      <c r="E37" s="315" t="s">
        <v>2528</v>
      </c>
      <c r="F37" s="315" t="s">
        <v>2528</v>
      </c>
      <c r="G37" s="315" t="s">
        <v>2528</v>
      </c>
      <c r="H37" s="315">
        <v>6085943</v>
      </c>
      <c r="I37" s="315" t="s">
        <v>2528</v>
      </c>
      <c r="J37" s="315" t="s">
        <v>2528</v>
      </c>
      <c r="K37" s="315" t="s">
        <v>2528</v>
      </c>
      <c r="L37" s="315">
        <v>6085943</v>
      </c>
      <c r="M37" s="315">
        <v>-6085943</v>
      </c>
    </row>
    <row r="38" spans="1:16"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</row>
    <row r="39" spans="1:16" ht="13.5" thickBot="1">
      <c r="A39" s="214" t="s">
        <v>13</v>
      </c>
      <c r="C39" s="315">
        <v>-885070862.3900001</v>
      </c>
      <c r="D39" s="315">
        <v>-645776002.20090508</v>
      </c>
      <c r="E39" s="315">
        <v>-38062959.980000004</v>
      </c>
      <c r="F39" s="315">
        <v>-34799074.259999998</v>
      </c>
      <c r="G39" s="315">
        <v>-73787924.729750007</v>
      </c>
      <c r="H39" s="315">
        <v>-29648149</v>
      </c>
      <c r="I39" s="315">
        <v>0</v>
      </c>
      <c r="J39" s="315">
        <v>0</v>
      </c>
      <c r="K39" s="315">
        <v>-9536.8766654092797</v>
      </c>
      <c r="L39" s="315">
        <v>-822083647.0473206</v>
      </c>
      <c r="M39" s="315">
        <v>-62987215.342679605</v>
      </c>
      <c r="O39" s="140"/>
      <c r="P39" s="140"/>
    </row>
    <row r="40" spans="1:16"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</row>
    <row r="41" spans="1:16"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16" ht="13.5" thickBot="1">
      <c r="A42" s="214" t="s">
        <v>14</v>
      </c>
      <c r="C42" s="315">
        <v>460189879.26000005</v>
      </c>
      <c r="D42" s="315">
        <v>0</v>
      </c>
      <c r="E42" s="315">
        <v>249307113</v>
      </c>
      <c r="F42" s="315">
        <v>83125432.876665413</v>
      </c>
      <c r="G42" s="315">
        <v>25910860</v>
      </c>
      <c r="H42" s="315">
        <v>-39348457</v>
      </c>
      <c r="I42" s="315">
        <v>66329231</v>
      </c>
      <c r="J42" s="315">
        <v>-1133805</v>
      </c>
      <c r="K42" s="315">
        <v>-9536.8766654092797</v>
      </c>
      <c r="L42" s="315">
        <v>384180838</v>
      </c>
      <c r="M42" s="315">
        <v>76009041.26000005</v>
      </c>
    </row>
    <row r="43" spans="1:16"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</row>
    <row r="44" spans="1:16">
      <c r="A44" s="214" t="s">
        <v>64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1:16">
      <c r="A45" s="214" t="s">
        <v>16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6" spans="1:16" ht="12.75" hidden="1" customHeight="1">
      <c r="A46" s="214" t="s">
        <v>17</v>
      </c>
      <c r="C46" s="215">
        <v>0</v>
      </c>
      <c r="D46" s="215" t="s">
        <v>2528</v>
      </c>
      <c r="E46" s="215" t="s">
        <v>2528</v>
      </c>
      <c r="F46" s="215" t="s">
        <v>2528</v>
      </c>
      <c r="G46" s="215" t="s">
        <v>2528</v>
      </c>
      <c r="H46" s="215" t="s">
        <v>2528</v>
      </c>
      <c r="I46" s="215" t="s">
        <v>2528</v>
      </c>
      <c r="J46" s="215" t="s">
        <v>2528</v>
      </c>
      <c r="K46" s="215" t="s">
        <v>2528</v>
      </c>
      <c r="L46" s="215">
        <v>0</v>
      </c>
      <c r="M46" s="215">
        <v>0</v>
      </c>
    </row>
    <row r="47" spans="1:16" ht="12.75" hidden="1" customHeight="1">
      <c r="A47" s="214" t="s">
        <v>18</v>
      </c>
      <c r="C47" s="215">
        <v>0</v>
      </c>
      <c r="F47" s="215"/>
      <c r="G47" s="215"/>
      <c r="H47" s="215"/>
      <c r="I47" s="215"/>
      <c r="J47" s="215"/>
      <c r="K47" s="215"/>
      <c r="L47" s="215">
        <v>0</v>
      </c>
      <c r="M47" s="215">
        <v>0</v>
      </c>
      <c r="N47" s="214" t="s">
        <v>2172</v>
      </c>
    </row>
    <row r="48" spans="1:16" ht="12.75" hidden="1" customHeight="1">
      <c r="A48" s="214" t="s">
        <v>19</v>
      </c>
      <c r="C48" s="215" t="s">
        <v>2528</v>
      </c>
      <c r="D48" s="215" t="s">
        <v>2528</v>
      </c>
      <c r="E48" s="215" t="s">
        <v>2528</v>
      </c>
      <c r="F48" s="215" t="s">
        <v>2528</v>
      </c>
      <c r="G48" s="215" t="s">
        <v>2528</v>
      </c>
      <c r="H48" s="215" t="s">
        <v>2528</v>
      </c>
      <c r="I48" s="215" t="s">
        <v>2528</v>
      </c>
      <c r="J48" s="215" t="s">
        <v>2528</v>
      </c>
      <c r="K48" s="215" t="s">
        <v>2528</v>
      </c>
      <c r="L48" s="215">
        <v>0</v>
      </c>
      <c r="M48" s="215">
        <v>0</v>
      </c>
    </row>
    <row r="49" spans="1:13" ht="12.75" hidden="1" customHeight="1">
      <c r="A49" s="214" t="s">
        <v>20</v>
      </c>
      <c r="C49" s="215" t="s">
        <v>2528</v>
      </c>
      <c r="D49" s="215" t="s">
        <v>2528</v>
      </c>
      <c r="E49" s="215" t="s">
        <v>2528</v>
      </c>
      <c r="F49" s="215" t="s">
        <v>2528</v>
      </c>
      <c r="G49" s="215" t="s">
        <v>2528</v>
      </c>
      <c r="H49" s="215" t="s">
        <v>2528</v>
      </c>
      <c r="I49" s="215" t="s">
        <v>2528</v>
      </c>
      <c r="J49" s="215" t="s">
        <v>2528</v>
      </c>
      <c r="K49" s="215" t="s">
        <v>2528</v>
      </c>
      <c r="L49" s="215">
        <v>0</v>
      </c>
      <c r="M49" s="215">
        <v>0</v>
      </c>
    </row>
    <row r="50" spans="1:13" ht="13.5" hidden="1" customHeight="1">
      <c r="A50" s="214" t="s">
        <v>21</v>
      </c>
      <c r="C50" s="215" t="s">
        <v>2528</v>
      </c>
      <c r="D50" s="215" t="s">
        <v>2528</v>
      </c>
      <c r="E50" s="215" t="s">
        <v>2528</v>
      </c>
      <c r="F50" s="215" t="s">
        <v>2528</v>
      </c>
      <c r="G50" s="215" t="s">
        <v>2528</v>
      </c>
      <c r="H50" s="215" t="s">
        <v>2528</v>
      </c>
      <c r="I50" s="215" t="s">
        <v>2528</v>
      </c>
      <c r="J50" s="215" t="s">
        <v>2528</v>
      </c>
      <c r="K50" s="215" t="s">
        <v>2528</v>
      </c>
      <c r="L50" s="215">
        <v>0</v>
      </c>
      <c r="M50" s="215">
        <v>0</v>
      </c>
    </row>
    <row r="51" spans="1:13" ht="12.75" hidden="1" customHeight="1">
      <c r="A51" s="214" t="s">
        <v>22</v>
      </c>
      <c r="C51" s="215" t="s">
        <v>2528</v>
      </c>
      <c r="D51" s="215" t="s">
        <v>2528</v>
      </c>
      <c r="E51" s="215" t="s">
        <v>2528</v>
      </c>
      <c r="F51" s="215" t="s">
        <v>2528</v>
      </c>
      <c r="G51" s="215" t="s">
        <v>2528</v>
      </c>
      <c r="H51" s="215" t="s">
        <v>2528</v>
      </c>
      <c r="I51" s="215" t="s">
        <v>2528</v>
      </c>
      <c r="J51" s="215" t="s">
        <v>2528</v>
      </c>
      <c r="K51" s="215" t="s">
        <v>2528</v>
      </c>
      <c r="L51" s="215">
        <v>0</v>
      </c>
      <c r="M51" s="215">
        <v>0</v>
      </c>
    </row>
    <row r="52" spans="1:13" ht="13.5" hidden="1" customHeight="1">
      <c r="A52" s="214" t="s">
        <v>23</v>
      </c>
      <c r="C52" s="215" t="s">
        <v>2528</v>
      </c>
      <c r="D52" s="215" t="s">
        <v>2528</v>
      </c>
      <c r="E52" s="215" t="s">
        <v>2528</v>
      </c>
      <c r="F52" s="215" t="s">
        <v>2528</v>
      </c>
      <c r="G52" s="215" t="s">
        <v>2528</v>
      </c>
      <c r="H52" s="215" t="s">
        <v>2528</v>
      </c>
      <c r="I52" s="215" t="s">
        <v>2528</v>
      </c>
      <c r="J52" s="215" t="s">
        <v>2528</v>
      </c>
      <c r="K52" s="215" t="s">
        <v>2528</v>
      </c>
      <c r="L52" s="215">
        <v>0</v>
      </c>
      <c r="M52" s="215">
        <v>0</v>
      </c>
    </row>
    <row r="53" spans="1:13" ht="13.5" hidden="1" customHeight="1">
      <c r="A53" s="214" t="s">
        <v>65</v>
      </c>
      <c r="C53" s="315" t="s">
        <v>2528</v>
      </c>
      <c r="D53" s="315" t="s">
        <v>2528</v>
      </c>
      <c r="E53" s="315" t="s">
        <v>2528</v>
      </c>
      <c r="F53" s="315" t="s">
        <v>2528</v>
      </c>
      <c r="G53" s="315" t="s">
        <v>2528</v>
      </c>
      <c r="H53" s="315" t="s">
        <v>2528</v>
      </c>
      <c r="I53" s="315" t="s">
        <v>2528</v>
      </c>
      <c r="J53" s="315" t="s">
        <v>2528</v>
      </c>
      <c r="K53" s="315" t="s">
        <v>2528</v>
      </c>
      <c r="L53" s="315">
        <v>0</v>
      </c>
      <c r="M53" s="315">
        <v>0</v>
      </c>
    </row>
    <row r="54" spans="1:13"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</row>
    <row r="55" spans="1:13" ht="13.5" thickBot="1">
      <c r="A55" s="214" t="s">
        <v>24</v>
      </c>
      <c r="C55" s="315">
        <v>0</v>
      </c>
      <c r="D55" s="315">
        <v>0</v>
      </c>
      <c r="E55" s="315">
        <v>0</v>
      </c>
      <c r="F55" s="315">
        <v>0</v>
      </c>
      <c r="G55" s="315">
        <v>0</v>
      </c>
      <c r="H55" s="315">
        <v>0</v>
      </c>
      <c r="I55" s="315">
        <v>0</v>
      </c>
      <c r="J55" s="315">
        <v>0</v>
      </c>
      <c r="K55" s="315">
        <v>0</v>
      </c>
      <c r="L55" s="315">
        <v>0</v>
      </c>
      <c r="M55" s="315">
        <v>0</v>
      </c>
    </row>
    <row r="56" spans="1:13"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</row>
    <row r="57" spans="1:13"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</row>
    <row r="58" spans="1:13" ht="13.5" thickBot="1">
      <c r="A58" s="214" t="s">
        <v>25</v>
      </c>
      <c r="C58" s="315">
        <v>460189879.26000005</v>
      </c>
      <c r="D58" s="315">
        <v>0</v>
      </c>
      <c r="E58" s="315">
        <v>249307113</v>
      </c>
      <c r="F58" s="315">
        <v>83125432.876665413</v>
      </c>
      <c r="G58" s="315">
        <v>25910860</v>
      </c>
      <c r="H58" s="315">
        <v>-39348457</v>
      </c>
      <c r="I58" s="315">
        <v>66329231</v>
      </c>
      <c r="J58" s="315">
        <v>-1133805</v>
      </c>
      <c r="K58" s="315">
        <v>-9536.8766654092797</v>
      </c>
      <c r="L58" s="315">
        <v>384180838</v>
      </c>
      <c r="M58" s="315">
        <v>76009041.26000005</v>
      </c>
    </row>
    <row r="59" spans="1:13">
      <c r="F59" s="215"/>
    </row>
    <row r="60" spans="1:13">
      <c r="A60" s="312" t="s">
        <v>26</v>
      </c>
      <c r="F60" s="215">
        <v>11135800.439999999</v>
      </c>
      <c r="G60" s="214" t="s">
        <v>66</v>
      </c>
      <c r="I60" s="215">
        <v>10787998</v>
      </c>
    </row>
    <row r="61" spans="1:13" ht="12.75" hidden="1" customHeight="1">
      <c r="A61" s="214" t="s">
        <v>28</v>
      </c>
    </row>
    <row r="63" spans="1:13" ht="13.5" thickBot="1">
      <c r="A63" s="214" t="s">
        <v>67</v>
      </c>
      <c r="C63" s="315">
        <v>98299032.309999987</v>
      </c>
      <c r="D63" s="315">
        <v>45960604.017973743</v>
      </c>
      <c r="E63" s="315">
        <v>27652597.872026242</v>
      </c>
      <c r="F63" s="315">
        <v>10711769.77</v>
      </c>
      <c r="G63" s="315">
        <v>7330860.379999999</v>
      </c>
      <c r="H63" s="315">
        <v>-5510542.2800000003</v>
      </c>
      <c r="I63" s="315">
        <v>6235901.4800000004</v>
      </c>
      <c r="J63" s="315">
        <v>-112378</v>
      </c>
      <c r="K63" s="315">
        <v>0</v>
      </c>
      <c r="L63" s="315">
        <v>92268813.23999998</v>
      </c>
      <c r="M63" s="315">
        <v>6030219.0700000077</v>
      </c>
    </row>
    <row r="65" spans="1:13" ht="13.5" thickBot="1">
      <c r="A65" s="214" t="s">
        <v>68</v>
      </c>
      <c r="C65" s="315">
        <v>84281942.779999986</v>
      </c>
      <c r="D65" s="315">
        <v>37432845.539208293</v>
      </c>
      <c r="E65" s="315">
        <v>26043619</v>
      </c>
      <c r="F65" s="315">
        <v>9929148.6534251217</v>
      </c>
      <c r="G65" s="315">
        <v>7140817.6526752003</v>
      </c>
      <c r="H65" s="315">
        <v>-8191639</v>
      </c>
      <c r="I65" s="315">
        <v>8177785</v>
      </c>
      <c r="J65" s="315">
        <v>-82640</v>
      </c>
      <c r="K65" s="315">
        <v>0</v>
      </c>
      <c r="L65" s="315">
        <v>80449936.845308617</v>
      </c>
      <c r="M65" s="315">
        <v>3832005.9346913695</v>
      </c>
    </row>
    <row r="68" spans="1:13">
      <c r="A68" s="312"/>
    </row>
    <row r="72" spans="1:13">
      <c r="A72" s="378"/>
    </row>
  </sheetData>
  <phoneticPr fontId="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N41"/>
  <sheetViews>
    <sheetView zoomScale="85" workbookViewId="0"/>
  </sheetViews>
  <sheetFormatPr defaultRowHeight="12.75"/>
  <cols>
    <col min="1" max="1" width="11.5703125" style="214" customWidth="1"/>
    <col min="2" max="2" width="31.140625" style="214" customWidth="1"/>
    <col min="3" max="3" width="15" style="214" customWidth="1"/>
    <col min="4" max="4" width="16.5703125" style="214" bestFit="1" customWidth="1"/>
    <col min="5" max="5" width="15.140625" style="214" customWidth="1"/>
    <col min="6" max="6" width="17.42578125" style="214" bestFit="1" customWidth="1"/>
    <col min="7" max="7" width="16.140625" style="214" bestFit="1" customWidth="1"/>
    <col min="8" max="8" width="15.28515625" style="214" bestFit="1" customWidth="1"/>
    <col min="9" max="9" width="14.7109375" style="214" customWidth="1"/>
    <col min="10" max="10" width="13.42578125" style="214" customWidth="1"/>
    <col min="11" max="11" width="15.85546875" style="214" customWidth="1"/>
    <col min="12" max="16384" width="9.140625" style="214"/>
  </cols>
  <sheetData>
    <row r="1" spans="1:11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73"/>
      <c r="K1" s="364" t="s">
        <v>2585</v>
      </c>
    </row>
    <row r="2" spans="1:11">
      <c r="A2" s="373" t="s">
        <v>29</v>
      </c>
      <c r="B2" s="373"/>
      <c r="C2" s="373"/>
      <c r="D2" s="373"/>
      <c r="E2" s="373"/>
      <c r="F2" s="373"/>
      <c r="G2" s="373"/>
      <c r="H2" s="373"/>
      <c r="I2" s="373"/>
      <c r="J2" s="373"/>
      <c r="K2" s="364" t="s">
        <v>30</v>
      </c>
    </row>
    <row r="3" spans="1:11">
      <c r="A3" s="373" t="s">
        <v>31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1">
      <c r="A4" s="373" t="s">
        <v>2157</v>
      </c>
      <c r="B4" s="373"/>
      <c r="C4" s="373"/>
      <c r="D4" s="373"/>
      <c r="E4" s="373"/>
      <c r="F4" s="373"/>
      <c r="G4" s="373"/>
      <c r="H4" s="373"/>
      <c r="I4" s="373"/>
      <c r="J4" s="373"/>
    </row>
    <row r="7" spans="1:11">
      <c r="C7" s="366" t="s">
        <v>2583</v>
      </c>
      <c r="D7" s="366" t="s">
        <v>32</v>
      </c>
      <c r="E7" s="366" t="s">
        <v>2657</v>
      </c>
      <c r="F7" s="366"/>
      <c r="G7" s="366" t="s">
        <v>33</v>
      </c>
      <c r="H7" s="366"/>
      <c r="I7" s="366"/>
      <c r="J7" s="366"/>
      <c r="K7" s="366"/>
    </row>
    <row r="8" spans="1:11">
      <c r="C8" s="366" t="s">
        <v>34</v>
      </c>
      <c r="D8" s="366" t="s">
        <v>2661</v>
      </c>
      <c r="E8" s="366" t="s">
        <v>34</v>
      </c>
      <c r="F8" s="366" t="s">
        <v>35</v>
      </c>
      <c r="G8" s="366" t="s">
        <v>36</v>
      </c>
      <c r="H8" s="366" t="s">
        <v>37</v>
      </c>
      <c r="I8" s="366" t="s">
        <v>2657</v>
      </c>
      <c r="J8" s="366" t="s">
        <v>38</v>
      </c>
      <c r="K8" s="366" t="s">
        <v>2581</v>
      </c>
    </row>
    <row r="9" spans="1:11" ht="13.5" thickBot="1">
      <c r="C9" s="375" t="s">
        <v>39</v>
      </c>
      <c r="D9" s="375" t="s">
        <v>2669</v>
      </c>
      <c r="E9" s="375" t="s">
        <v>39</v>
      </c>
      <c r="F9" s="375" t="s">
        <v>40</v>
      </c>
      <c r="G9" s="375" t="s">
        <v>41</v>
      </c>
      <c r="H9" s="375" t="s">
        <v>2672</v>
      </c>
      <c r="I9" s="375" t="s">
        <v>42</v>
      </c>
      <c r="J9" s="375" t="s">
        <v>43</v>
      </c>
      <c r="K9" s="375" t="s">
        <v>31</v>
      </c>
    </row>
    <row r="11" spans="1:11" ht="13.5" thickBot="1">
      <c r="A11" s="214" t="s">
        <v>2676</v>
      </c>
      <c r="C11" s="315">
        <v>3733242422.1299996</v>
      </c>
      <c r="D11" s="315">
        <v>1292814164.02</v>
      </c>
      <c r="E11" s="315">
        <v>2440428258.1099997</v>
      </c>
      <c r="F11" s="315">
        <v>5664735.4399999995</v>
      </c>
      <c r="G11" s="315">
        <v>198625267.13999999</v>
      </c>
      <c r="H11" s="315">
        <v>0</v>
      </c>
      <c r="I11" s="315">
        <v>2644718260.6899996</v>
      </c>
      <c r="J11" s="315">
        <v>233139273</v>
      </c>
      <c r="K11" s="315">
        <v>2877857533.6899996</v>
      </c>
    </row>
    <row r="12" spans="1:11">
      <c r="A12" s="214" t="s">
        <v>44</v>
      </c>
      <c r="C12" s="215"/>
      <c r="D12" s="215"/>
      <c r="E12" s="215"/>
      <c r="F12" s="215"/>
      <c r="G12" s="215"/>
      <c r="H12" s="215"/>
      <c r="I12" s="215"/>
      <c r="J12" s="215"/>
      <c r="K12" s="215"/>
    </row>
    <row r="13" spans="1:11" ht="13.5" thickBot="1">
      <c r="A13" s="214" t="s">
        <v>2677</v>
      </c>
      <c r="C13" s="315">
        <v>3279837920</v>
      </c>
      <c r="D13" s="315">
        <v>1167534578</v>
      </c>
      <c r="E13" s="315">
        <v>2112303342</v>
      </c>
      <c r="F13" s="315">
        <v>5487489</v>
      </c>
      <c r="G13" s="315">
        <v>187749566</v>
      </c>
      <c r="H13" s="315">
        <v>0</v>
      </c>
      <c r="I13" s="315">
        <v>2305540397</v>
      </c>
      <c r="J13" s="315">
        <v>235125584.20076457</v>
      </c>
      <c r="K13" s="315">
        <v>2540665981.2007647</v>
      </c>
    </row>
    <row r="14" spans="1:11">
      <c r="C14" s="273"/>
      <c r="D14" s="273"/>
      <c r="E14" s="273"/>
      <c r="F14" s="273"/>
      <c r="G14" s="273"/>
      <c r="H14" s="273"/>
      <c r="I14" s="273"/>
      <c r="J14" s="273"/>
      <c r="K14" s="273"/>
    </row>
    <row r="15" spans="1:11">
      <c r="A15" s="134" t="s">
        <v>45</v>
      </c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1">
      <c r="C16" s="215"/>
      <c r="D16" s="215"/>
      <c r="E16" s="215"/>
      <c r="F16" s="215"/>
      <c r="G16" s="215"/>
      <c r="H16" s="215"/>
      <c r="I16" s="215"/>
      <c r="J16" s="215"/>
      <c r="K16" s="215"/>
    </row>
    <row r="17" spans="1:14">
      <c r="A17" s="214" t="s">
        <v>2603</v>
      </c>
      <c r="C17" s="215">
        <v>-836819156</v>
      </c>
      <c r="D17" s="215">
        <v>-61912232</v>
      </c>
      <c r="E17" s="215">
        <v>-774906924</v>
      </c>
      <c r="F17" s="215" t="s">
        <v>2528</v>
      </c>
      <c r="G17" s="215">
        <v>-2437335</v>
      </c>
      <c r="H17" s="215" t="s">
        <v>2528</v>
      </c>
      <c r="I17" s="215">
        <v>-777344259</v>
      </c>
      <c r="J17" s="215">
        <v>-13708615</v>
      </c>
      <c r="K17" s="215">
        <v>-791052874</v>
      </c>
    </row>
    <row r="18" spans="1:14">
      <c r="A18" s="214" t="s">
        <v>46</v>
      </c>
      <c r="C18" s="215" t="s">
        <v>2528</v>
      </c>
      <c r="D18" s="215" t="s">
        <v>2528</v>
      </c>
      <c r="E18" s="215" t="s">
        <v>2528</v>
      </c>
      <c r="F18" s="215" t="s">
        <v>2528</v>
      </c>
      <c r="G18" s="215">
        <v>-122061775</v>
      </c>
      <c r="H18" s="215" t="s">
        <v>2528</v>
      </c>
      <c r="I18" s="215">
        <v>-122061775</v>
      </c>
      <c r="J18" s="215">
        <v>0</v>
      </c>
      <c r="K18" s="215">
        <v>-122061775</v>
      </c>
    </row>
    <row r="19" spans="1:14">
      <c r="A19" s="214" t="s">
        <v>47</v>
      </c>
      <c r="C19" s="215">
        <v>-10113232</v>
      </c>
      <c r="D19" s="215">
        <v>1117788</v>
      </c>
      <c r="E19" s="215">
        <v>-11231020</v>
      </c>
      <c r="F19" s="215" t="s">
        <v>2528</v>
      </c>
      <c r="G19" s="215" t="s">
        <v>2528</v>
      </c>
      <c r="H19" s="215" t="s">
        <v>2528</v>
      </c>
      <c r="I19" s="215">
        <v>-11231020</v>
      </c>
      <c r="J19" s="215">
        <v>-2036919</v>
      </c>
      <c r="K19" s="215">
        <v>-13267939</v>
      </c>
    </row>
    <row r="20" spans="1:14">
      <c r="A20" s="214" t="s">
        <v>48</v>
      </c>
      <c r="C20" s="215" t="s">
        <v>2528</v>
      </c>
      <c r="D20" s="215" t="s">
        <v>2528</v>
      </c>
      <c r="E20" s="215" t="s">
        <v>2528</v>
      </c>
      <c r="F20" s="215" t="s">
        <v>2528</v>
      </c>
      <c r="G20" s="215" t="s">
        <v>2528</v>
      </c>
      <c r="H20" s="215" t="s">
        <v>2528</v>
      </c>
      <c r="I20" s="215" t="s">
        <v>2528</v>
      </c>
      <c r="J20" s="215">
        <v>-55565</v>
      </c>
      <c r="K20" s="215">
        <v>-55565</v>
      </c>
    </row>
    <row r="21" spans="1:14">
      <c r="A21" s="214" t="s">
        <v>49</v>
      </c>
      <c r="C21" s="215" t="s">
        <v>2528</v>
      </c>
      <c r="D21" s="215" t="s">
        <v>2528</v>
      </c>
      <c r="E21" s="215" t="s">
        <v>2528</v>
      </c>
      <c r="F21" s="215" t="s">
        <v>2528</v>
      </c>
      <c r="G21" s="215" t="s">
        <v>2528</v>
      </c>
      <c r="H21" s="215" t="s">
        <v>2528</v>
      </c>
      <c r="I21" s="215" t="s">
        <v>2528</v>
      </c>
      <c r="J21" s="215">
        <v>-307071</v>
      </c>
      <c r="K21" s="215">
        <v>-307071</v>
      </c>
    </row>
    <row r="22" spans="1:14">
      <c r="A22" s="214" t="s">
        <v>50</v>
      </c>
      <c r="C22" s="215" t="s">
        <v>2528</v>
      </c>
      <c r="D22" s="215" t="s">
        <v>2528</v>
      </c>
      <c r="E22" s="215" t="s">
        <v>2528</v>
      </c>
      <c r="F22" s="215" t="s">
        <v>2528</v>
      </c>
      <c r="G22" s="215" t="s">
        <v>2528</v>
      </c>
      <c r="H22" s="215" t="s">
        <v>2528</v>
      </c>
      <c r="I22" s="215" t="s">
        <v>2528</v>
      </c>
      <c r="J22" s="215">
        <v>0</v>
      </c>
      <c r="K22" s="215">
        <v>0</v>
      </c>
    </row>
    <row r="23" spans="1:14">
      <c r="A23" s="214" t="s">
        <v>51</v>
      </c>
      <c r="C23" s="215" t="s">
        <v>2528</v>
      </c>
      <c r="D23" s="215" t="s">
        <v>2528</v>
      </c>
      <c r="E23" s="215" t="s">
        <v>2528</v>
      </c>
      <c r="F23" s="215" t="s">
        <v>2528</v>
      </c>
      <c r="G23" s="215" t="s">
        <v>2528</v>
      </c>
      <c r="H23" s="215" t="s">
        <v>2528</v>
      </c>
      <c r="I23" s="215" t="s">
        <v>2528</v>
      </c>
      <c r="J23" s="215">
        <v>-12768207</v>
      </c>
      <c r="K23" s="215">
        <v>-12768207</v>
      </c>
    </row>
    <row r="24" spans="1:14" hidden="1">
      <c r="A24" s="214" t="s">
        <v>2681</v>
      </c>
      <c r="C24" s="215" t="s">
        <v>2528</v>
      </c>
      <c r="D24" s="215" t="s">
        <v>2528</v>
      </c>
      <c r="E24" s="215" t="s">
        <v>2528</v>
      </c>
      <c r="F24" s="215" t="s">
        <v>2528</v>
      </c>
      <c r="G24" s="215" t="s">
        <v>2528</v>
      </c>
      <c r="H24" s="215" t="s">
        <v>2528</v>
      </c>
      <c r="I24" s="215" t="s">
        <v>2528</v>
      </c>
      <c r="J24" s="215">
        <v>0</v>
      </c>
      <c r="K24" s="215">
        <v>0</v>
      </c>
    </row>
    <row r="25" spans="1:14">
      <c r="A25" s="214" t="s">
        <v>52</v>
      </c>
      <c r="C25" s="215" t="s">
        <v>2528</v>
      </c>
      <c r="D25" s="215" t="s">
        <v>2528</v>
      </c>
      <c r="E25" s="215" t="s">
        <v>2528</v>
      </c>
      <c r="F25" s="215" t="s">
        <v>2528</v>
      </c>
      <c r="G25" s="215" t="s">
        <v>2528</v>
      </c>
      <c r="H25" s="215" t="s">
        <v>2528</v>
      </c>
      <c r="I25" s="215" t="s">
        <v>2528</v>
      </c>
      <c r="J25" s="215">
        <v>-15102690</v>
      </c>
      <c r="K25" s="215">
        <v>-15102690</v>
      </c>
    </row>
    <row r="26" spans="1:14">
      <c r="A26" s="214" t="s">
        <v>53</v>
      </c>
      <c r="C26" s="215" t="s">
        <v>2528</v>
      </c>
      <c r="D26" s="215" t="s">
        <v>2528</v>
      </c>
      <c r="E26" s="215" t="s">
        <v>2528</v>
      </c>
      <c r="F26" s="215"/>
      <c r="G26" s="215" t="s">
        <v>2528</v>
      </c>
      <c r="H26" s="215" t="s">
        <v>2528</v>
      </c>
      <c r="I26" s="215" t="s">
        <v>2528</v>
      </c>
      <c r="J26" s="215">
        <v>-510</v>
      </c>
      <c r="K26" s="215">
        <v>-510</v>
      </c>
    </row>
    <row r="27" spans="1:14">
      <c r="A27" s="214" t="s">
        <v>54</v>
      </c>
      <c r="C27" s="215" t="s">
        <v>2528</v>
      </c>
      <c r="D27" s="215" t="s">
        <v>2528</v>
      </c>
      <c r="E27" s="215" t="s">
        <v>2528</v>
      </c>
      <c r="F27" s="215" t="s">
        <v>2528</v>
      </c>
      <c r="G27" s="215" t="s">
        <v>2528</v>
      </c>
      <c r="H27" s="215" t="s">
        <v>2528</v>
      </c>
      <c r="I27" s="215" t="s">
        <v>2528</v>
      </c>
      <c r="J27" s="215">
        <v>140604</v>
      </c>
      <c r="K27" s="215">
        <v>140604</v>
      </c>
    </row>
    <row r="28" spans="1:14" ht="13.5" thickBot="1">
      <c r="A28" s="214" t="s">
        <v>55</v>
      </c>
      <c r="C28" s="315" t="s">
        <v>2528</v>
      </c>
      <c r="D28" s="315" t="s">
        <v>2528</v>
      </c>
      <c r="E28" s="315" t="s">
        <v>2528</v>
      </c>
      <c r="F28" s="315" t="s">
        <v>2528</v>
      </c>
      <c r="G28" s="315" t="s">
        <v>2528</v>
      </c>
      <c r="H28" s="315" t="s">
        <v>2528</v>
      </c>
      <c r="I28" s="315" t="s">
        <v>2528</v>
      </c>
      <c r="J28" s="315">
        <v>27597</v>
      </c>
      <c r="K28" s="315">
        <v>27597</v>
      </c>
    </row>
    <row r="29" spans="1:14"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4" ht="13.5" thickBot="1">
      <c r="A30" s="214" t="s">
        <v>13</v>
      </c>
      <c r="C30" s="315">
        <v>-846932388</v>
      </c>
      <c r="D30" s="315">
        <v>-60794444</v>
      </c>
      <c r="E30" s="315">
        <v>-786137944</v>
      </c>
      <c r="F30" s="315">
        <v>0</v>
      </c>
      <c r="G30" s="315">
        <v>-124499110</v>
      </c>
      <c r="H30" s="315">
        <v>0</v>
      </c>
      <c r="I30" s="315">
        <v>-910637054</v>
      </c>
      <c r="J30" s="315">
        <v>-43811376</v>
      </c>
      <c r="K30" s="315">
        <v>-954448430</v>
      </c>
      <c r="M30" s="140"/>
      <c r="N30" s="140"/>
    </row>
    <row r="31" spans="1:14">
      <c r="C31" s="215"/>
      <c r="D31" s="215"/>
      <c r="E31" s="215"/>
      <c r="F31" s="215"/>
      <c r="G31" s="215" t="s">
        <v>3750</v>
      </c>
      <c r="H31" s="215"/>
      <c r="I31" s="215"/>
      <c r="J31" s="215"/>
      <c r="K31" s="215"/>
    </row>
    <row r="32" spans="1:14">
      <c r="C32" s="215"/>
      <c r="D32" s="215"/>
      <c r="E32" s="215"/>
      <c r="F32" s="215"/>
      <c r="G32" s="215"/>
      <c r="H32" s="215"/>
      <c r="I32" s="215"/>
      <c r="J32" s="215"/>
      <c r="K32" s="215"/>
    </row>
    <row r="33" spans="1:11" ht="13.5" thickBot="1">
      <c r="A33" s="214" t="s">
        <v>14</v>
      </c>
      <c r="C33" s="315">
        <v>2432905532</v>
      </c>
      <c r="D33" s="315">
        <v>1106740134</v>
      </c>
      <c r="E33" s="315">
        <v>1326165398</v>
      </c>
      <c r="F33" s="315">
        <v>5487489</v>
      </c>
      <c r="G33" s="315">
        <v>63250456</v>
      </c>
      <c r="H33" s="315">
        <v>0</v>
      </c>
      <c r="I33" s="315">
        <v>1394903343</v>
      </c>
      <c r="J33" s="315">
        <v>191314208.20076457</v>
      </c>
      <c r="K33" s="315">
        <v>1586217551.2007647</v>
      </c>
    </row>
    <row r="34" spans="1:11">
      <c r="C34" s="215"/>
      <c r="D34" s="215"/>
      <c r="E34" s="215"/>
      <c r="F34" s="215"/>
      <c r="G34" s="215"/>
      <c r="H34" s="215"/>
      <c r="I34" s="215"/>
      <c r="J34" s="215"/>
      <c r="K34" s="215"/>
    </row>
    <row r="35" spans="1:11">
      <c r="A35" s="214" t="s">
        <v>56</v>
      </c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ht="13.5" thickBot="1">
      <c r="A36" s="214" t="s">
        <v>57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5">
        <v>0</v>
      </c>
      <c r="J36" s="315">
        <v>0</v>
      </c>
      <c r="K36" s="315">
        <v>0</v>
      </c>
    </row>
    <row r="37" spans="1:11">
      <c r="C37" s="215"/>
      <c r="D37" s="215"/>
      <c r="E37" s="215"/>
      <c r="F37" s="215"/>
      <c r="G37" s="215"/>
      <c r="H37" s="215"/>
      <c r="I37" s="215"/>
      <c r="J37" s="215"/>
      <c r="K37" s="215"/>
    </row>
    <row r="38" spans="1:11" ht="13.5" thickBot="1">
      <c r="A38" s="214" t="s">
        <v>24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315">
        <v>0</v>
      </c>
      <c r="I38" s="315">
        <v>0</v>
      </c>
      <c r="J38" s="315">
        <v>0</v>
      </c>
      <c r="K38" s="315">
        <v>0</v>
      </c>
    </row>
    <row r="39" spans="1:11">
      <c r="C39" s="215"/>
      <c r="D39" s="215"/>
      <c r="E39" s="215"/>
      <c r="F39" s="215"/>
      <c r="G39" s="215"/>
      <c r="H39" s="215"/>
      <c r="I39" s="215"/>
      <c r="J39" s="215"/>
      <c r="K39" s="215"/>
    </row>
    <row r="40" spans="1:11" ht="13.5" thickBot="1">
      <c r="A40" s="214" t="s">
        <v>25</v>
      </c>
      <c r="C40" s="315">
        <v>2432905532</v>
      </c>
      <c r="D40" s="315">
        <v>1106740134</v>
      </c>
      <c r="E40" s="315">
        <v>1326165398</v>
      </c>
      <c r="F40" s="315">
        <v>5487489</v>
      </c>
      <c r="G40" s="315">
        <v>63250456</v>
      </c>
      <c r="H40" s="315">
        <v>0</v>
      </c>
      <c r="I40" s="315">
        <v>1394903343</v>
      </c>
      <c r="J40" s="315">
        <v>191314208.20076457</v>
      </c>
      <c r="K40" s="315">
        <v>1586217551.2007647</v>
      </c>
    </row>
    <row r="41" spans="1:11">
      <c r="C41" s="215"/>
      <c r="D41" s="215"/>
      <c r="E41" s="215"/>
      <c r="F41" s="215"/>
      <c r="G41" s="215"/>
      <c r="H41" s="215"/>
      <c r="I41" s="215"/>
      <c r="J41" s="215"/>
      <c r="K41" s="215"/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P60"/>
  <sheetViews>
    <sheetView zoomScale="85" workbookViewId="0"/>
  </sheetViews>
  <sheetFormatPr defaultRowHeight="12.75"/>
  <cols>
    <col min="1" max="1" width="9.140625" style="214"/>
    <col min="2" max="2" width="29" style="214" customWidth="1"/>
    <col min="3" max="3" width="14.42578125" style="214" customWidth="1"/>
    <col min="4" max="4" width="14.5703125" style="214" customWidth="1"/>
    <col min="5" max="5" width="15" style="214" customWidth="1"/>
    <col min="6" max="6" width="16.7109375" style="214" bestFit="1" customWidth="1"/>
    <col min="7" max="7" width="16.42578125" style="214" customWidth="1"/>
    <col min="8" max="8" width="16.140625" style="214" customWidth="1"/>
    <col min="9" max="9" width="15.140625" style="214" bestFit="1" customWidth="1"/>
    <col min="10" max="10" width="17.42578125" style="214" bestFit="1" customWidth="1"/>
    <col min="11" max="11" width="16.7109375" style="214" customWidth="1"/>
    <col min="12" max="12" width="13.85546875" style="214" customWidth="1"/>
    <col min="13" max="13" width="14" style="214" bestFit="1" customWidth="1"/>
    <col min="14" max="16384" width="9.140625" style="214"/>
  </cols>
  <sheetData>
    <row r="1" spans="1:14">
      <c r="A1" s="373" t="s">
        <v>2155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3"/>
      <c r="M1" s="364" t="s">
        <v>2585</v>
      </c>
    </row>
    <row r="2" spans="1:14">
      <c r="A2" s="373" t="s">
        <v>2586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64" t="s">
        <v>2652</v>
      </c>
    </row>
    <row r="3" spans="1:14">
      <c r="A3" s="373" t="s">
        <v>2653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1:14">
      <c r="A4" s="373" t="s">
        <v>2157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7" spans="1:14">
      <c r="C7" s="366"/>
      <c r="D7" s="366" t="s">
        <v>2654</v>
      </c>
      <c r="E7" s="366"/>
      <c r="F7" s="366"/>
      <c r="G7" s="366"/>
      <c r="H7" s="366"/>
      <c r="I7" s="366" t="s">
        <v>2655</v>
      </c>
      <c r="J7" s="366" t="s">
        <v>2656</v>
      </c>
      <c r="K7" s="366"/>
      <c r="L7" s="366" t="s">
        <v>2581</v>
      </c>
      <c r="M7" s="366" t="s">
        <v>2657</v>
      </c>
    </row>
    <row r="8" spans="1:14">
      <c r="C8" s="366" t="s">
        <v>2658</v>
      </c>
      <c r="D8" s="366" t="s">
        <v>2659</v>
      </c>
      <c r="E8" s="366" t="s">
        <v>2660</v>
      </c>
      <c r="F8" s="366" t="s">
        <v>2661</v>
      </c>
      <c r="G8" s="366" t="s">
        <v>2662</v>
      </c>
      <c r="H8" s="366" t="s">
        <v>2663</v>
      </c>
      <c r="I8" s="366" t="s">
        <v>2663</v>
      </c>
      <c r="J8" s="366" t="s">
        <v>2664</v>
      </c>
      <c r="K8" s="366" t="s">
        <v>2665</v>
      </c>
      <c r="L8" s="366" t="s">
        <v>2658</v>
      </c>
      <c r="M8" s="366" t="s">
        <v>2658</v>
      </c>
    </row>
    <row r="9" spans="1:14" ht="13.5" thickBot="1">
      <c r="C9" s="375" t="s">
        <v>2666</v>
      </c>
      <c r="D9" s="375" t="s">
        <v>2667</v>
      </c>
      <c r="E9" s="375" t="s">
        <v>2668</v>
      </c>
      <c r="F9" s="375" t="s">
        <v>2669</v>
      </c>
      <c r="G9" s="375" t="s">
        <v>2670</v>
      </c>
      <c r="H9" s="375" t="s">
        <v>2671</v>
      </c>
      <c r="I9" s="375" t="s">
        <v>2672</v>
      </c>
      <c r="J9" s="375" t="s">
        <v>2672</v>
      </c>
      <c r="K9" s="375" t="s">
        <v>2673</v>
      </c>
      <c r="L9" s="375" t="s">
        <v>2674</v>
      </c>
      <c r="M9" s="375" t="s">
        <v>2675</v>
      </c>
    </row>
    <row r="10" spans="1:14"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</row>
    <row r="11" spans="1:14" ht="13.5" thickBot="1">
      <c r="A11" s="214" t="s">
        <v>2676</v>
      </c>
      <c r="C11" s="315">
        <v>1558262293.28</v>
      </c>
      <c r="D11" s="315">
        <v>802165948.21662939</v>
      </c>
      <c r="E11" s="315">
        <v>303058345.58337057</v>
      </c>
      <c r="F11" s="315">
        <v>126678334.32999998</v>
      </c>
      <c r="G11" s="315">
        <v>101440404.51000001</v>
      </c>
      <c r="H11" s="315">
        <v>-28069457.469999999</v>
      </c>
      <c r="I11" s="315">
        <v>92584543.570000008</v>
      </c>
      <c r="J11" s="315">
        <v>-1494982</v>
      </c>
      <c r="K11" s="315">
        <v>0</v>
      </c>
      <c r="L11" s="315">
        <v>1396363136.7399998</v>
      </c>
      <c r="M11" s="315">
        <v>161899156.5400002</v>
      </c>
      <c r="N11" s="214" t="s">
        <v>2171</v>
      </c>
    </row>
    <row r="12" spans="1:14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</row>
    <row r="13" spans="1:14" ht="13.5" thickBot="1">
      <c r="A13" s="214" t="s">
        <v>2677</v>
      </c>
      <c r="C13" s="315">
        <v>1345260741.6500001</v>
      </c>
      <c r="D13" s="315">
        <v>645776002.20090508</v>
      </c>
      <c r="E13" s="315">
        <v>287370072.98000002</v>
      </c>
      <c r="F13" s="315">
        <v>117924507.1366654</v>
      </c>
      <c r="G13" s="315">
        <v>99698784.729750007</v>
      </c>
      <c r="H13" s="315">
        <v>-9725768</v>
      </c>
      <c r="I13" s="315">
        <v>66366400</v>
      </c>
      <c r="J13" s="315">
        <v>-1133805</v>
      </c>
      <c r="K13" s="315">
        <v>0</v>
      </c>
      <c r="L13" s="315">
        <v>1206276194.0473204</v>
      </c>
      <c r="M13" s="315">
        <v>138984547.60267973</v>
      </c>
      <c r="N13" s="214" t="s">
        <v>2171</v>
      </c>
    </row>
    <row r="14" spans="1:14"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</row>
    <row r="15" spans="1:14">
      <c r="A15" s="214" t="s">
        <v>2678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</row>
    <row r="16" spans="1:14">
      <c r="A16" s="214" t="s">
        <v>2603</v>
      </c>
      <c r="C16" s="215">
        <v>-154301956.56</v>
      </c>
      <c r="D16" s="215" t="s">
        <v>2528</v>
      </c>
      <c r="E16" s="215">
        <v>-29024832</v>
      </c>
      <c r="F16" s="215">
        <v>-34504819</v>
      </c>
      <c r="G16" s="215">
        <v>-599980</v>
      </c>
      <c r="H16" s="215">
        <v>-34783975</v>
      </c>
      <c r="I16" s="215" t="s">
        <v>2528</v>
      </c>
      <c r="J16" s="215" t="s">
        <v>2528</v>
      </c>
      <c r="K16" s="215" t="s">
        <v>2528</v>
      </c>
      <c r="L16" s="215">
        <v>-98913606</v>
      </c>
      <c r="M16" s="215">
        <v>-55388350.560000002</v>
      </c>
    </row>
    <row r="17" spans="1:13">
      <c r="A17" s="214" t="s">
        <v>2679</v>
      </c>
      <c r="C17" s="215">
        <v>-31705134.799999997</v>
      </c>
      <c r="D17" s="215" t="s">
        <v>2528</v>
      </c>
      <c r="E17" s="215" t="s">
        <v>2528</v>
      </c>
      <c r="F17" s="215" t="s">
        <v>2528</v>
      </c>
      <c r="G17" s="215" t="s">
        <v>2528</v>
      </c>
      <c r="H17" s="215">
        <v>-12230256</v>
      </c>
      <c r="I17" s="215" t="s">
        <v>2528</v>
      </c>
      <c r="J17" s="215" t="s">
        <v>2528</v>
      </c>
      <c r="K17" s="215" t="s">
        <v>2528</v>
      </c>
      <c r="L17" s="215">
        <v>-12230256</v>
      </c>
      <c r="M17" s="215">
        <v>-19474878.799999997</v>
      </c>
    </row>
    <row r="18" spans="1:13">
      <c r="A18" s="214" t="s">
        <v>2623</v>
      </c>
      <c r="C18" s="215" t="s">
        <v>2528</v>
      </c>
      <c r="D18" s="215" t="s">
        <v>2528</v>
      </c>
      <c r="E18" s="215">
        <v>-119471.8</v>
      </c>
      <c r="F18" s="215" t="s">
        <v>2528</v>
      </c>
      <c r="G18" s="215" t="s">
        <v>2528</v>
      </c>
      <c r="H18" s="215">
        <v>46086</v>
      </c>
      <c r="I18" s="215" t="s">
        <v>2528</v>
      </c>
      <c r="J18" s="215" t="s">
        <v>2528</v>
      </c>
      <c r="K18" s="215" t="s">
        <v>2528</v>
      </c>
      <c r="L18" s="215">
        <v>-73385.8</v>
      </c>
      <c r="M18" s="215">
        <v>73385.8</v>
      </c>
    </row>
    <row r="19" spans="1:13">
      <c r="A19" s="214" t="s">
        <v>2680</v>
      </c>
      <c r="C19" s="215" t="s">
        <v>2528</v>
      </c>
      <c r="D19" s="215" t="s">
        <v>2528</v>
      </c>
      <c r="E19" s="215" t="s">
        <v>2528</v>
      </c>
      <c r="F19" s="215" t="s">
        <v>2528</v>
      </c>
      <c r="G19" s="215" t="s">
        <v>2528</v>
      </c>
      <c r="H19" s="215">
        <v>3679</v>
      </c>
      <c r="I19" s="215" t="s">
        <v>2528</v>
      </c>
      <c r="J19" s="215" t="s">
        <v>2528</v>
      </c>
      <c r="K19" s="215">
        <v>-9536.8766654092797</v>
      </c>
      <c r="L19" s="215">
        <v>-5857.8766654092797</v>
      </c>
      <c r="M19" s="215">
        <v>5857.8766654092797</v>
      </c>
    </row>
    <row r="20" spans="1:13" hidden="1">
      <c r="A20" s="214" t="s">
        <v>2681</v>
      </c>
      <c r="C20" s="215" t="s">
        <v>2528</v>
      </c>
      <c r="D20" s="215" t="s">
        <v>2528</v>
      </c>
      <c r="E20" s="215" t="s">
        <v>2528</v>
      </c>
      <c r="F20" s="215" t="s">
        <v>2528</v>
      </c>
      <c r="G20" s="215" t="s">
        <v>2528</v>
      </c>
      <c r="H20" s="215" t="s">
        <v>2528</v>
      </c>
      <c r="I20" s="215" t="s">
        <v>2528</v>
      </c>
      <c r="J20" s="215" t="s">
        <v>2528</v>
      </c>
      <c r="K20" s="215" t="s">
        <v>2528</v>
      </c>
      <c r="L20" s="215">
        <v>0</v>
      </c>
      <c r="M20" s="215">
        <v>0</v>
      </c>
    </row>
    <row r="21" spans="1:13">
      <c r="A21" s="214" t="s">
        <v>2625</v>
      </c>
      <c r="C21" s="215" t="s">
        <v>2528</v>
      </c>
      <c r="D21" s="215" t="s">
        <v>2528</v>
      </c>
      <c r="E21" s="215">
        <v>-9056</v>
      </c>
      <c r="F21" s="215" t="s">
        <v>2528</v>
      </c>
      <c r="G21" s="215" t="s">
        <v>2528</v>
      </c>
      <c r="H21" s="215">
        <v>3493</v>
      </c>
      <c r="I21" s="215" t="s">
        <v>2528</v>
      </c>
      <c r="J21" s="215" t="s">
        <v>2528</v>
      </c>
      <c r="K21" s="215" t="s">
        <v>2528</v>
      </c>
      <c r="L21" s="215">
        <v>-5563</v>
      </c>
      <c r="M21" s="215">
        <v>5563</v>
      </c>
    </row>
    <row r="22" spans="1:13">
      <c r="A22" s="214" t="s">
        <v>2594</v>
      </c>
      <c r="C22" s="215">
        <v>-40354804.57</v>
      </c>
      <c r="D22" s="215" t="s">
        <v>2528</v>
      </c>
      <c r="E22" s="215" t="s">
        <v>2528</v>
      </c>
      <c r="F22" s="215" t="s">
        <v>2528</v>
      </c>
      <c r="G22" s="215" t="s">
        <v>2528</v>
      </c>
      <c r="H22" s="215">
        <v>-15566866</v>
      </c>
      <c r="I22" s="215" t="s">
        <v>2528</v>
      </c>
      <c r="J22" s="215" t="s">
        <v>2528</v>
      </c>
      <c r="K22" s="215" t="s">
        <v>2528</v>
      </c>
      <c r="L22" s="215">
        <v>-15566866</v>
      </c>
      <c r="M22" s="215">
        <v>-24787938.57</v>
      </c>
    </row>
    <row r="23" spans="1:13">
      <c r="A23" s="214" t="s">
        <v>0</v>
      </c>
      <c r="C23" s="215">
        <v>-599884447.2700001</v>
      </c>
      <c r="D23" s="215" t="s">
        <v>2528</v>
      </c>
      <c r="E23" s="215" t="s">
        <v>2528</v>
      </c>
      <c r="F23" s="215" t="s">
        <v>2528</v>
      </c>
      <c r="G23" s="215" t="s">
        <v>2528</v>
      </c>
      <c r="H23" s="215">
        <v>-231405426</v>
      </c>
      <c r="I23" s="215" t="s">
        <v>2528</v>
      </c>
      <c r="J23" s="215" t="s">
        <v>2528</v>
      </c>
      <c r="K23" s="215" t="s">
        <v>2528</v>
      </c>
      <c r="L23" s="215">
        <v>-231405426</v>
      </c>
      <c r="M23" s="215">
        <v>-368479021.2700001</v>
      </c>
    </row>
    <row r="24" spans="1:13">
      <c r="A24" s="214" t="s">
        <v>1</v>
      </c>
      <c r="C24" s="215">
        <v>-58824519.189999998</v>
      </c>
      <c r="D24" s="215" t="s">
        <v>2528</v>
      </c>
      <c r="E24" s="215" t="s">
        <v>2528</v>
      </c>
      <c r="F24" s="215" t="s">
        <v>2528</v>
      </c>
      <c r="G24" s="215" t="s">
        <v>2528</v>
      </c>
      <c r="H24" s="215">
        <v>-22691558</v>
      </c>
      <c r="I24" s="215" t="s">
        <v>2528</v>
      </c>
      <c r="J24" s="215" t="s">
        <v>2528</v>
      </c>
      <c r="K24" s="215" t="s">
        <v>2528</v>
      </c>
      <c r="L24" s="215">
        <v>-22691558</v>
      </c>
      <c r="M24" s="215">
        <v>-36132961.189999998</v>
      </c>
    </row>
    <row r="25" spans="1:13">
      <c r="A25" s="214" t="s">
        <v>2</v>
      </c>
      <c r="C25" s="215" t="s">
        <v>2528</v>
      </c>
      <c r="D25" s="215" t="s">
        <v>2528</v>
      </c>
      <c r="E25" s="215" t="s">
        <v>2528</v>
      </c>
      <c r="F25" s="215" t="s">
        <v>2528</v>
      </c>
      <c r="G25" s="215" t="s">
        <v>2528</v>
      </c>
      <c r="H25" s="215" t="s">
        <v>2528</v>
      </c>
      <c r="I25" s="215" t="s">
        <v>2528</v>
      </c>
      <c r="J25" s="215" t="s">
        <v>2528</v>
      </c>
      <c r="K25" s="215" t="s">
        <v>2528</v>
      </c>
      <c r="L25" s="215">
        <v>0</v>
      </c>
      <c r="M25" s="215">
        <v>0</v>
      </c>
    </row>
    <row r="26" spans="1:13" hidden="1">
      <c r="A26" s="214" t="s">
        <v>3</v>
      </c>
      <c r="C26" s="215"/>
      <c r="D26" s="215"/>
      <c r="E26" s="215"/>
      <c r="F26" s="215" t="s">
        <v>2528</v>
      </c>
      <c r="G26" s="215"/>
      <c r="H26" s="215"/>
      <c r="I26" s="215"/>
      <c r="J26" s="215"/>
      <c r="K26" s="215"/>
      <c r="L26" s="215"/>
      <c r="M26" s="215"/>
    </row>
    <row r="27" spans="1:13">
      <c r="A27" s="214" t="s">
        <v>4</v>
      </c>
      <c r="C27" s="215" t="s">
        <v>2528</v>
      </c>
      <c r="D27" s="215" t="s">
        <v>2528</v>
      </c>
      <c r="E27" s="215">
        <v>-796762</v>
      </c>
      <c r="F27" s="215"/>
      <c r="G27" s="215" t="s">
        <v>2528</v>
      </c>
      <c r="H27" s="215">
        <v>307351</v>
      </c>
      <c r="I27" s="215" t="s">
        <v>2528</v>
      </c>
      <c r="J27" s="215" t="s">
        <v>2528</v>
      </c>
      <c r="K27" s="215" t="s">
        <v>2528</v>
      </c>
      <c r="L27" s="215">
        <v>-489411</v>
      </c>
      <c r="M27" s="215">
        <v>489411</v>
      </c>
    </row>
    <row r="28" spans="1:13">
      <c r="A28" s="214" t="s">
        <v>5</v>
      </c>
      <c r="C28" s="215" t="s">
        <v>2528</v>
      </c>
      <c r="D28" s="215" t="s">
        <v>2528</v>
      </c>
      <c r="E28" s="215">
        <v>756924</v>
      </c>
      <c r="F28" s="215" t="s">
        <v>2528</v>
      </c>
      <c r="G28" s="215" t="s">
        <v>2528</v>
      </c>
      <c r="H28" s="215">
        <v>-291983</v>
      </c>
      <c r="I28" s="215" t="s">
        <v>2528</v>
      </c>
      <c r="J28" s="215" t="s">
        <v>2528</v>
      </c>
      <c r="K28" s="215" t="s">
        <v>2528</v>
      </c>
      <c r="L28" s="215">
        <v>464941</v>
      </c>
      <c r="M28" s="215">
        <v>-464941</v>
      </c>
    </row>
    <row r="29" spans="1:13">
      <c r="A29" s="214" t="s">
        <v>6</v>
      </c>
      <c r="C29" s="215" t="s">
        <v>2528</v>
      </c>
      <c r="D29" s="215" t="s">
        <v>2528</v>
      </c>
      <c r="E29" s="215">
        <v>-318545</v>
      </c>
      <c r="F29" s="215" t="s">
        <v>2528</v>
      </c>
      <c r="G29" s="215">
        <v>-16226</v>
      </c>
      <c r="H29" s="215">
        <v>129138</v>
      </c>
      <c r="I29" s="215" t="s">
        <v>2528</v>
      </c>
      <c r="J29" s="215" t="s">
        <v>2528</v>
      </c>
      <c r="K29" s="215" t="s">
        <v>2528</v>
      </c>
      <c r="L29" s="215">
        <v>-205633</v>
      </c>
      <c r="M29" s="215">
        <v>205633</v>
      </c>
    </row>
    <row r="30" spans="1:13">
      <c r="A30" s="214" t="s">
        <v>7</v>
      </c>
      <c r="C30" s="215" t="s">
        <v>2528</v>
      </c>
      <c r="D30" s="215">
        <v>-228757</v>
      </c>
      <c r="E30" s="215">
        <v>-19717</v>
      </c>
      <c r="F30" s="215" t="s">
        <v>2528</v>
      </c>
      <c r="G30" s="215" t="s">
        <v>2528</v>
      </c>
      <c r="H30" s="215">
        <v>95849</v>
      </c>
      <c r="I30" s="215" t="s">
        <v>2528</v>
      </c>
      <c r="J30" s="215" t="s">
        <v>2528</v>
      </c>
      <c r="K30" s="215" t="s">
        <v>2528</v>
      </c>
      <c r="L30" s="215">
        <v>-152625</v>
      </c>
      <c r="M30" s="215">
        <v>152625</v>
      </c>
    </row>
    <row r="31" spans="1:13">
      <c r="A31" s="214" t="s">
        <v>2606</v>
      </c>
      <c r="C31" s="215" t="s">
        <v>2528</v>
      </c>
      <c r="D31" s="215" t="s">
        <v>2528</v>
      </c>
      <c r="E31" s="215">
        <v>-1027</v>
      </c>
      <c r="F31" s="215" t="s">
        <v>2528</v>
      </c>
      <c r="G31" s="215" t="s">
        <v>3750</v>
      </c>
      <c r="H31" s="215">
        <v>396</v>
      </c>
      <c r="I31" s="215" t="s">
        <v>2528</v>
      </c>
      <c r="J31" s="215" t="s">
        <v>2528</v>
      </c>
      <c r="K31" s="215" t="s">
        <v>2528</v>
      </c>
      <c r="L31" s="215">
        <v>-631</v>
      </c>
      <c r="M31" s="215">
        <v>631</v>
      </c>
    </row>
    <row r="32" spans="1:13">
      <c r="A32" s="214" t="s">
        <v>8</v>
      </c>
      <c r="C32" s="215" t="s">
        <v>2528</v>
      </c>
      <c r="D32" s="215">
        <v>-599459962.74000001</v>
      </c>
      <c r="E32" s="215" t="s">
        <v>2528</v>
      </c>
      <c r="F32" s="215" t="s">
        <v>2583</v>
      </c>
      <c r="G32" s="215" t="s">
        <v>2528</v>
      </c>
      <c r="H32" s="215">
        <v>231241681</v>
      </c>
      <c r="I32" s="215" t="s">
        <v>2528</v>
      </c>
      <c r="J32" s="215" t="s">
        <v>2528</v>
      </c>
      <c r="K32" s="215" t="s">
        <v>2528</v>
      </c>
      <c r="L32" s="215">
        <v>-368218281.74000001</v>
      </c>
      <c r="M32" s="215">
        <v>368218281.74000001</v>
      </c>
    </row>
    <row r="33" spans="1:16">
      <c r="A33" s="214" t="s">
        <v>9</v>
      </c>
      <c r="C33" s="215" t="s">
        <v>2528</v>
      </c>
      <c r="D33" s="215">
        <v>-46087282.460905068</v>
      </c>
      <c r="E33" s="215">
        <v>-8530473.1799999997</v>
      </c>
      <c r="F33" s="215">
        <v>-294255.26</v>
      </c>
      <c r="G33" s="215">
        <v>-295076.27</v>
      </c>
      <c r="H33" s="215">
        <v>21296134</v>
      </c>
      <c r="I33" s="215" t="s">
        <v>2528</v>
      </c>
      <c r="J33" s="215" t="s">
        <v>2528</v>
      </c>
      <c r="K33" s="215" t="s">
        <v>2528</v>
      </c>
      <c r="L33" s="215">
        <v>-33910953.170905069</v>
      </c>
      <c r="M33" s="215">
        <v>33910953.170905069</v>
      </c>
    </row>
    <row r="34" spans="1:16">
      <c r="A34" s="214" t="s">
        <v>10</v>
      </c>
      <c r="C34" s="215" t="s">
        <v>2528</v>
      </c>
      <c r="D34" s="215" t="s">
        <v>2528</v>
      </c>
      <c r="E34" s="215" t="s">
        <v>2528</v>
      </c>
      <c r="F34" s="215" t="s">
        <v>2528</v>
      </c>
      <c r="G34" s="215">
        <v>-39772382.774000004</v>
      </c>
      <c r="H34" s="215">
        <v>15342197</v>
      </c>
      <c r="I34" s="215" t="s">
        <v>2528</v>
      </c>
      <c r="J34" s="215" t="s">
        <v>2528</v>
      </c>
      <c r="K34" s="215" t="s">
        <v>2528</v>
      </c>
      <c r="L34" s="215">
        <v>-24430185.774000004</v>
      </c>
      <c r="M34" s="215">
        <v>24430185.774000004</v>
      </c>
    </row>
    <row r="35" spans="1:16">
      <c r="A35" s="214" t="s">
        <v>11</v>
      </c>
      <c r="C35" s="215" t="s">
        <v>2528</v>
      </c>
      <c r="D35" s="215" t="s">
        <v>2528</v>
      </c>
      <c r="E35" s="215" t="s">
        <v>2528</v>
      </c>
      <c r="F35" s="215" t="s">
        <v>2528</v>
      </c>
      <c r="G35" s="215">
        <v>-1504134</v>
      </c>
      <c r="H35" s="215">
        <v>580220</v>
      </c>
      <c r="I35" s="215" t="s">
        <v>2528</v>
      </c>
      <c r="J35" s="215" t="s">
        <v>2528</v>
      </c>
      <c r="K35" s="215" t="s">
        <v>2528</v>
      </c>
      <c r="L35" s="215">
        <v>-923914</v>
      </c>
      <c r="M35" s="215">
        <v>923914</v>
      </c>
    </row>
    <row r="36" spans="1:16">
      <c r="A36" s="214" t="s">
        <v>12</v>
      </c>
      <c r="C36" s="215" t="s">
        <v>2528</v>
      </c>
      <c r="D36" s="215" t="s">
        <v>2528</v>
      </c>
      <c r="E36" s="215" t="s">
        <v>2528</v>
      </c>
      <c r="F36" s="215" t="s">
        <v>2528</v>
      </c>
      <c r="G36" s="215">
        <v>-31600125.685749996</v>
      </c>
      <c r="H36" s="215">
        <v>12189748</v>
      </c>
      <c r="I36" s="215" t="s">
        <v>2528</v>
      </c>
      <c r="J36" s="215" t="s">
        <v>2528</v>
      </c>
      <c r="K36" s="215" t="s">
        <v>2528</v>
      </c>
      <c r="L36" s="215">
        <v>-19410377.685749996</v>
      </c>
      <c r="M36" s="215">
        <v>19410377.685749996</v>
      </c>
    </row>
    <row r="37" spans="1:16" ht="13.5" thickBot="1">
      <c r="A37" s="214" t="s">
        <v>2639</v>
      </c>
      <c r="C37" s="215" t="s">
        <v>2528</v>
      </c>
      <c r="D37" s="215" t="s">
        <v>2528</v>
      </c>
      <c r="E37" s="215" t="s">
        <v>2528</v>
      </c>
      <c r="F37" s="215" t="s">
        <v>2528</v>
      </c>
      <c r="G37" s="215" t="s">
        <v>2528</v>
      </c>
      <c r="H37" s="215">
        <v>6000062</v>
      </c>
      <c r="I37" s="215" t="s">
        <v>2528</v>
      </c>
      <c r="J37" s="215" t="s">
        <v>2528</v>
      </c>
      <c r="K37" s="215" t="s">
        <v>2528</v>
      </c>
      <c r="L37" s="215">
        <v>6000062</v>
      </c>
      <c r="M37" s="215">
        <v>-6000062</v>
      </c>
    </row>
    <row r="38" spans="1:16"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</row>
    <row r="39" spans="1:16" ht="13.5" thickBot="1">
      <c r="A39" s="214" t="s">
        <v>13</v>
      </c>
      <c r="C39" s="215">
        <v>-885070862.3900001</v>
      </c>
      <c r="D39" s="215">
        <v>-645776002.20090508</v>
      </c>
      <c r="E39" s="215">
        <v>-38062959.980000004</v>
      </c>
      <c r="F39" s="215">
        <v>-34799074.259999998</v>
      </c>
      <c r="G39" s="215">
        <v>-73787924.729750007</v>
      </c>
      <c r="H39" s="215">
        <v>-29734030</v>
      </c>
      <c r="I39" s="215">
        <v>0</v>
      </c>
      <c r="J39" s="215">
        <v>0</v>
      </c>
      <c r="K39" s="215">
        <v>-9536.8766654092797</v>
      </c>
      <c r="L39" s="215">
        <v>-822169528.0473206</v>
      </c>
      <c r="M39" s="215">
        <v>-62901334.342679605</v>
      </c>
      <c r="N39" s="377"/>
      <c r="O39" s="140"/>
      <c r="P39" s="140"/>
    </row>
    <row r="40" spans="1:16"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</row>
    <row r="41" spans="1:16"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16" ht="13.5" thickBot="1">
      <c r="A42" s="214" t="s">
        <v>14</v>
      </c>
      <c r="C42" s="215">
        <v>460189879.26000005</v>
      </c>
      <c r="D42" s="215">
        <v>0</v>
      </c>
      <c r="E42" s="215">
        <v>249307113</v>
      </c>
      <c r="F42" s="215">
        <v>83125432.876665413</v>
      </c>
      <c r="G42" s="215">
        <v>25910860</v>
      </c>
      <c r="H42" s="215">
        <v>-39459798</v>
      </c>
      <c r="I42" s="215">
        <v>66366400</v>
      </c>
      <c r="J42" s="215">
        <v>-1133805</v>
      </c>
      <c r="K42" s="215">
        <v>-9536.8766654092797</v>
      </c>
      <c r="L42" s="215">
        <v>384106666</v>
      </c>
      <c r="M42" s="215">
        <v>76083213.26000005</v>
      </c>
    </row>
    <row r="43" spans="1:16"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44" spans="1:16">
      <c r="A44" s="214" t="s">
        <v>15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1:16">
      <c r="A45" s="214" t="s">
        <v>16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6" spans="1:16" hidden="1">
      <c r="A46" s="214" t="s">
        <v>17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>
        <v>0</v>
      </c>
      <c r="M46" s="215">
        <v>0</v>
      </c>
    </row>
    <row r="47" spans="1:16" hidden="1">
      <c r="A47" s="214" t="s">
        <v>18</v>
      </c>
      <c r="C47" s="215">
        <v>0</v>
      </c>
      <c r="D47" s="215"/>
      <c r="E47" s="215"/>
      <c r="F47" s="215"/>
      <c r="G47" s="215"/>
      <c r="H47" s="215"/>
      <c r="I47" s="215"/>
      <c r="J47" s="215"/>
      <c r="K47" s="215"/>
      <c r="L47" s="215">
        <v>0</v>
      </c>
      <c r="M47" s="215">
        <v>0</v>
      </c>
      <c r="N47" s="214" t="s">
        <v>2172</v>
      </c>
    </row>
    <row r="48" spans="1:16" hidden="1">
      <c r="A48" s="214" t="s">
        <v>19</v>
      </c>
      <c r="C48" s="215" t="s">
        <v>2528</v>
      </c>
      <c r="D48" s="215" t="s">
        <v>2528</v>
      </c>
      <c r="E48" s="215" t="s">
        <v>2528</v>
      </c>
      <c r="F48" s="215" t="s">
        <v>2528</v>
      </c>
      <c r="G48" s="215" t="s">
        <v>2528</v>
      </c>
      <c r="H48" s="215" t="s">
        <v>2528</v>
      </c>
      <c r="I48" s="215" t="s">
        <v>2528</v>
      </c>
      <c r="J48" s="215" t="s">
        <v>2528</v>
      </c>
      <c r="K48" s="215" t="s">
        <v>2528</v>
      </c>
      <c r="L48" s="215">
        <v>0</v>
      </c>
      <c r="M48" s="215">
        <v>0</v>
      </c>
    </row>
    <row r="49" spans="1:13" hidden="1">
      <c r="A49" s="214" t="s">
        <v>20</v>
      </c>
      <c r="C49" s="215" t="s">
        <v>2528</v>
      </c>
      <c r="D49" s="215" t="s">
        <v>2528</v>
      </c>
      <c r="E49" s="215" t="s">
        <v>2528</v>
      </c>
      <c r="F49" s="215" t="s">
        <v>2528</v>
      </c>
      <c r="G49" s="215" t="s">
        <v>2528</v>
      </c>
      <c r="H49" s="215" t="s">
        <v>2528</v>
      </c>
      <c r="I49" s="215" t="s">
        <v>2528</v>
      </c>
      <c r="J49" s="215" t="s">
        <v>2528</v>
      </c>
      <c r="K49" s="215" t="s">
        <v>2528</v>
      </c>
      <c r="L49" s="215">
        <v>0</v>
      </c>
      <c r="M49" s="215">
        <v>0</v>
      </c>
    </row>
    <row r="50" spans="1:13" hidden="1">
      <c r="A50" s="214" t="s">
        <v>21</v>
      </c>
      <c r="C50" s="215" t="s">
        <v>2528</v>
      </c>
      <c r="D50" s="215" t="s">
        <v>2528</v>
      </c>
      <c r="E50" s="215" t="s">
        <v>2528</v>
      </c>
      <c r="F50" s="215" t="s">
        <v>2528</v>
      </c>
      <c r="G50" s="215" t="s">
        <v>2528</v>
      </c>
      <c r="H50" s="215" t="s">
        <v>2528</v>
      </c>
      <c r="I50" s="215" t="s">
        <v>2528</v>
      </c>
      <c r="J50" s="215" t="s">
        <v>2528</v>
      </c>
      <c r="K50" s="215" t="s">
        <v>2528</v>
      </c>
      <c r="L50" s="215">
        <v>0</v>
      </c>
      <c r="M50" s="215">
        <v>0</v>
      </c>
    </row>
    <row r="51" spans="1:13" hidden="1">
      <c r="A51" s="214" t="s">
        <v>22</v>
      </c>
      <c r="C51" s="215" t="s">
        <v>2528</v>
      </c>
      <c r="D51" s="215" t="s">
        <v>2528</v>
      </c>
      <c r="E51" s="215" t="s">
        <v>2528</v>
      </c>
      <c r="F51" s="215" t="s">
        <v>2528</v>
      </c>
      <c r="G51" s="215" t="s">
        <v>2528</v>
      </c>
      <c r="H51" s="215" t="s">
        <v>2528</v>
      </c>
      <c r="I51" s="215" t="s">
        <v>2528</v>
      </c>
      <c r="J51" s="215" t="s">
        <v>2528</v>
      </c>
      <c r="K51" s="215" t="s">
        <v>2528</v>
      </c>
      <c r="L51" s="215">
        <v>0</v>
      </c>
      <c r="M51" s="215">
        <v>0</v>
      </c>
    </row>
    <row r="52" spans="1:13" hidden="1">
      <c r="A52" s="214" t="s">
        <v>23</v>
      </c>
      <c r="C52" s="215" t="s">
        <v>2528</v>
      </c>
      <c r="D52" s="215" t="s">
        <v>2528</v>
      </c>
      <c r="E52" s="215" t="s">
        <v>2528</v>
      </c>
      <c r="F52" s="215" t="s">
        <v>2528</v>
      </c>
      <c r="G52" s="215" t="s">
        <v>2528</v>
      </c>
      <c r="H52" s="215" t="s">
        <v>2528</v>
      </c>
      <c r="I52" s="215" t="s">
        <v>2528</v>
      </c>
      <c r="J52" s="215" t="s">
        <v>2528</v>
      </c>
      <c r="K52" s="215" t="s">
        <v>2528</v>
      </c>
      <c r="L52" s="215">
        <v>0</v>
      </c>
      <c r="M52" s="215">
        <v>0</v>
      </c>
    </row>
    <row r="53" spans="1:13" ht="13.5" thickBot="1"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</row>
    <row r="54" spans="1:13">
      <c r="A54" s="214" t="s">
        <v>24</v>
      </c>
      <c r="C54" s="215">
        <v>0</v>
      </c>
      <c r="D54" s="215">
        <v>0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</row>
    <row r="55" spans="1:13" ht="13.5" thickBot="1"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</row>
    <row r="56" spans="1:13"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</row>
    <row r="57" spans="1:13" ht="13.5" thickBot="1">
      <c r="A57" s="214" t="s">
        <v>25</v>
      </c>
      <c r="C57" s="315">
        <v>460189879.26000005</v>
      </c>
      <c r="D57" s="315">
        <v>0</v>
      </c>
      <c r="E57" s="315">
        <v>249307113</v>
      </c>
      <c r="F57" s="315">
        <v>83125432.876665413</v>
      </c>
      <c r="G57" s="315">
        <v>25910860</v>
      </c>
      <c r="H57" s="315">
        <v>-39459798</v>
      </c>
      <c r="I57" s="315">
        <v>66366400</v>
      </c>
      <c r="J57" s="315">
        <v>-1133805</v>
      </c>
      <c r="K57" s="315">
        <v>-9536.8766654092797</v>
      </c>
      <c r="L57" s="315">
        <v>384106666</v>
      </c>
      <c r="M57" s="315">
        <v>76083213.26000005</v>
      </c>
    </row>
    <row r="59" spans="1:13">
      <c r="A59" s="214" t="s">
        <v>26</v>
      </c>
      <c r="F59" s="215">
        <v>11135800.439999999</v>
      </c>
      <c r="G59" s="214" t="s">
        <v>27</v>
      </c>
      <c r="I59" s="215">
        <v>10787998</v>
      </c>
    </row>
    <row r="60" spans="1:13" hidden="1">
      <c r="A60" s="214" t="s">
        <v>28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J47"/>
  <sheetViews>
    <sheetView zoomScale="85" workbookViewId="0"/>
  </sheetViews>
  <sheetFormatPr defaultRowHeight="12.75"/>
  <cols>
    <col min="1" max="1" width="13.42578125" style="214" customWidth="1"/>
    <col min="2" max="2" width="16.5703125" style="214" customWidth="1"/>
    <col min="3" max="3" width="14.7109375" style="214" customWidth="1"/>
    <col min="4" max="4" width="12.85546875" style="214" customWidth="1"/>
    <col min="5" max="5" width="8.7109375" style="214" customWidth="1"/>
    <col min="6" max="6" width="13" style="214" customWidth="1"/>
    <col min="7" max="7" width="12.42578125" style="214" customWidth="1"/>
    <col min="8" max="8" width="31.7109375" style="214" customWidth="1"/>
    <col min="9" max="9" width="14.42578125" style="214" bestFit="1" customWidth="1"/>
    <col min="10" max="10" width="14" style="214" customWidth="1"/>
    <col min="11" max="16384" width="9.140625" style="214"/>
  </cols>
  <sheetData>
    <row r="1" spans="1:10">
      <c r="A1" s="373" t="s">
        <v>2155</v>
      </c>
      <c r="B1" s="373"/>
      <c r="C1" s="373"/>
      <c r="D1" s="373"/>
      <c r="E1" s="373"/>
      <c r="F1" s="373"/>
      <c r="G1" s="373"/>
      <c r="H1" s="373"/>
      <c r="I1" s="373"/>
      <c r="J1" s="364" t="s">
        <v>2585</v>
      </c>
    </row>
    <row r="2" spans="1:10">
      <c r="A2" s="373" t="s">
        <v>2586</v>
      </c>
      <c r="B2" s="373"/>
      <c r="C2" s="373"/>
      <c r="D2" s="373"/>
      <c r="E2" s="373"/>
      <c r="F2" s="373"/>
      <c r="G2" s="373"/>
      <c r="H2" s="373"/>
      <c r="I2" s="373"/>
      <c r="J2" s="364" t="s">
        <v>2587</v>
      </c>
    </row>
    <row r="3" spans="1:10">
      <c r="A3" s="373" t="s">
        <v>2588</v>
      </c>
      <c r="B3" s="373"/>
      <c r="C3" s="373"/>
      <c r="D3" s="373"/>
      <c r="E3" s="373"/>
      <c r="F3" s="373"/>
      <c r="G3" s="373"/>
      <c r="H3" s="373"/>
      <c r="I3" s="373"/>
    </row>
    <row r="4" spans="1:10">
      <c r="A4" s="373" t="s">
        <v>2157</v>
      </c>
      <c r="B4" s="373"/>
      <c r="C4" s="373"/>
      <c r="D4" s="373"/>
      <c r="E4" s="373"/>
      <c r="F4" s="373"/>
      <c r="G4" s="373"/>
      <c r="H4" s="373"/>
      <c r="I4" s="373"/>
    </row>
    <row r="5" spans="1:10">
      <c r="A5" s="366"/>
      <c r="B5" s="366"/>
      <c r="C5" s="366"/>
      <c r="D5" s="366"/>
      <c r="E5" s="366"/>
      <c r="F5" s="366"/>
      <c r="G5" s="366"/>
      <c r="H5" s="366"/>
      <c r="I5" s="366"/>
    </row>
    <row r="6" spans="1:10">
      <c r="A6" s="214" t="s">
        <v>2528</v>
      </c>
    </row>
    <row r="7" spans="1:10">
      <c r="A7" s="134" t="s">
        <v>2589</v>
      </c>
      <c r="D7" s="135" t="s">
        <v>2590</v>
      </c>
      <c r="F7" s="134" t="s">
        <v>2591</v>
      </c>
      <c r="I7" s="135" t="s">
        <v>2590</v>
      </c>
      <c r="J7" s="135" t="s">
        <v>2592</v>
      </c>
    </row>
    <row r="9" spans="1:10">
      <c r="A9" s="214" t="s">
        <v>2593</v>
      </c>
      <c r="D9" s="215"/>
      <c r="F9" s="214" t="s">
        <v>2594</v>
      </c>
      <c r="I9" s="215">
        <v>-40354804.57</v>
      </c>
      <c r="J9" s="215">
        <v>-15566866</v>
      </c>
    </row>
    <row r="10" spans="1:10">
      <c r="A10" s="214" t="s">
        <v>2595</v>
      </c>
      <c r="D10" s="215">
        <v>-361323729.6856367</v>
      </c>
      <c r="F10" s="214" t="s">
        <v>2596</v>
      </c>
      <c r="I10" s="215">
        <v>-98610966.966629371</v>
      </c>
      <c r="J10" s="215">
        <v>-38039181</v>
      </c>
    </row>
    <row r="11" spans="1:10">
      <c r="A11" s="214" t="s">
        <v>2597</v>
      </c>
      <c r="D11" s="215">
        <v>105282720.02</v>
      </c>
      <c r="F11" s="214" t="s">
        <v>2598</v>
      </c>
      <c r="I11" s="215">
        <v>-652947962.47000003</v>
      </c>
      <c r="J11" s="215">
        <v>-251874677</v>
      </c>
    </row>
    <row r="12" spans="1:10">
      <c r="A12" s="214" t="s">
        <v>2599</v>
      </c>
      <c r="D12" s="215"/>
      <c r="F12" s="214" t="s">
        <v>2600</v>
      </c>
      <c r="I12" s="215">
        <v>-709612.83</v>
      </c>
      <c r="J12" s="215">
        <v>-273733</v>
      </c>
    </row>
    <row r="13" spans="1:10">
      <c r="A13" s="214" t="s">
        <v>2595</v>
      </c>
      <c r="D13" s="215">
        <v>-10113231.799999999</v>
      </c>
      <c r="F13" s="214" t="s">
        <v>2601</v>
      </c>
      <c r="I13" s="215">
        <v>-213341694.332104</v>
      </c>
      <c r="J13" s="215">
        <v>-82296559</v>
      </c>
    </row>
    <row r="14" spans="1:10">
      <c r="A14" s="214" t="s">
        <v>2597</v>
      </c>
      <c r="D14" s="215">
        <v>-1117787.5027269998</v>
      </c>
      <c r="F14" s="214" t="s">
        <v>2602</v>
      </c>
      <c r="I14" s="215">
        <v>-31705134.799999997</v>
      </c>
      <c r="J14" s="215">
        <v>-12230255.749099998</v>
      </c>
    </row>
    <row r="15" spans="1:10">
      <c r="A15" s="214" t="s">
        <v>2603</v>
      </c>
      <c r="D15" s="215"/>
      <c r="F15" s="214" t="s">
        <v>2604</v>
      </c>
      <c r="I15" s="215">
        <v>39106.149999999907</v>
      </c>
      <c r="J15" s="215">
        <v>15085</v>
      </c>
    </row>
    <row r="16" spans="1:10">
      <c r="A16" s="214" t="s">
        <v>2595</v>
      </c>
      <c r="D16" s="215">
        <v>-864956828.29000008</v>
      </c>
      <c r="F16" s="214" t="s">
        <v>2605</v>
      </c>
      <c r="I16" s="215">
        <v>-257116.55</v>
      </c>
      <c r="J16" s="215">
        <v>99183</v>
      </c>
    </row>
    <row r="17" spans="1:10">
      <c r="A17" s="214" t="s">
        <v>2597</v>
      </c>
      <c r="D17" s="215">
        <v>64011387.299999997</v>
      </c>
      <c r="F17" s="214" t="s">
        <v>2606</v>
      </c>
      <c r="I17" s="215">
        <v>-1049.326</v>
      </c>
      <c r="J17" s="215">
        <v>405</v>
      </c>
    </row>
    <row r="18" spans="1:10">
      <c r="A18" s="214" t="s">
        <v>2607</v>
      </c>
      <c r="D18" s="215">
        <v>0</v>
      </c>
      <c r="F18" s="214" t="s">
        <v>2608</v>
      </c>
      <c r="I18" s="215">
        <v>-802125654.00382745</v>
      </c>
      <c r="J18" s="215">
        <v>309419971</v>
      </c>
    </row>
    <row r="19" spans="1:10">
      <c r="A19" s="214" t="s">
        <v>2609</v>
      </c>
      <c r="D19" s="215">
        <v>-125997016.16999997</v>
      </c>
      <c r="F19" s="214" t="s">
        <v>2610</v>
      </c>
      <c r="I19" s="215">
        <v>-9778.48</v>
      </c>
      <c r="J19" s="215">
        <v>3772</v>
      </c>
    </row>
    <row r="20" spans="1:10">
      <c r="A20" s="214" t="s">
        <v>2611</v>
      </c>
      <c r="D20" s="215">
        <v>-4819648.9800000004</v>
      </c>
      <c r="F20" s="214" t="s">
        <v>2612</v>
      </c>
      <c r="I20" s="215">
        <v>-796761.74</v>
      </c>
      <c r="J20" s="215">
        <v>307351</v>
      </c>
    </row>
    <row r="21" spans="1:10">
      <c r="A21" s="214" t="s">
        <v>2613</v>
      </c>
      <c r="D21" s="215">
        <v>-2518968.0699999998</v>
      </c>
      <c r="F21" s="214" t="s">
        <v>2614</v>
      </c>
      <c r="I21" s="215">
        <v>756923.65299999993</v>
      </c>
      <c r="J21" s="215">
        <v>-291983</v>
      </c>
    </row>
    <row r="22" spans="1:10">
      <c r="A22" s="214" t="s">
        <v>2615</v>
      </c>
      <c r="D22" s="215">
        <v>-2.7625901566352695E-11</v>
      </c>
      <c r="F22" s="214" t="s">
        <v>2616</v>
      </c>
      <c r="I22" s="215">
        <v>0</v>
      </c>
      <c r="J22" s="215">
        <v>0</v>
      </c>
    </row>
    <row r="23" spans="1:10">
      <c r="A23" s="214" t="s">
        <v>2617</v>
      </c>
      <c r="D23" s="215">
        <v>-14728264.209999999</v>
      </c>
      <c r="F23" s="214" t="s">
        <v>2618</v>
      </c>
      <c r="I23" s="215">
        <v>-8530473.1799999997</v>
      </c>
      <c r="J23" s="215">
        <v>3290630</v>
      </c>
    </row>
    <row r="24" spans="1:10">
      <c r="D24" s="215"/>
      <c r="F24" s="214" t="s">
        <v>2619</v>
      </c>
      <c r="I24" s="215">
        <v>-181978.92</v>
      </c>
      <c r="J24" s="215">
        <v>70198</v>
      </c>
    </row>
    <row r="25" spans="1:10">
      <c r="F25" s="214" t="s">
        <v>2620</v>
      </c>
      <c r="I25" s="215">
        <v>0</v>
      </c>
      <c r="J25" s="215">
        <v>0</v>
      </c>
    </row>
    <row r="26" spans="1:10" hidden="1">
      <c r="D26" s="215"/>
      <c r="F26" s="214" t="s">
        <v>2621</v>
      </c>
      <c r="I26" s="215">
        <v>0</v>
      </c>
      <c r="J26" s="215">
        <v>0</v>
      </c>
    </row>
    <row r="27" spans="1:10">
      <c r="A27" s="214" t="s">
        <v>2622</v>
      </c>
      <c r="D27" s="215"/>
      <c r="F27" s="214" t="s">
        <v>2623</v>
      </c>
      <c r="I27" s="215">
        <v>-119471.8</v>
      </c>
      <c r="J27" s="215">
        <v>46086</v>
      </c>
    </row>
    <row r="28" spans="1:10">
      <c r="A28" s="214" t="s">
        <v>2624</v>
      </c>
      <c r="D28" s="215">
        <v>-14179424.535615385</v>
      </c>
      <c r="F28" s="214" t="s">
        <v>2625</v>
      </c>
      <c r="I28" s="215">
        <v>-9252.74</v>
      </c>
      <c r="J28" s="215">
        <v>3569</v>
      </c>
    </row>
    <row r="29" spans="1:10">
      <c r="A29" s="214" t="s">
        <v>2626</v>
      </c>
      <c r="D29" s="215">
        <v>-57877</v>
      </c>
      <c r="F29" s="214" t="s">
        <v>2627</v>
      </c>
      <c r="I29" s="215">
        <v>-39772382.774000004</v>
      </c>
      <c r="J29" s="215">
        <v>15342197</v>
      </c>
    </row>
    <row r="30" spans="1:10">
      <c r="A30" s="214" t="s">
        <v>2628</v>
      </c>
      <c r="D30" s="215">
        <v>-4521</v>
      </c>
      <c r="F30" s="214" t="s">
        <v>2629</v>
      </c>
      <c r="I30" s="215">
        <v>-31600125.685749996</v>
      </c>
      <c r="J30" s="215">
        <v>12189748</v>
      </c>
    </row>
    <row r="31" spans="1:10">
      <c r="A31" s="214" t="s">
        <v>2630</v>
      </c>
      <c r="D31" s="215">
        <v>-2036919</v>
      </c>
      <c r="F31" s="214" t="s">
        <v>2631</v>
      </c>
      <c r="G31" s="214" t="s">
        <v>3750</v>
      </c>
      <c r="I31" s="215">
        <v>-342102.92240323505</v>
      </c>
      <c r="J31" s="215">
        <v>131966</v>
      </c>
    </row>
    <row r="32" spans="1:10">
      <c r="A32" s="214" t="s">
        <v>2632</v>
      </c>
      <c r="D32" s="215">
        <v>-319850</v>
      </c>
      <c r="F32" s="214" t="s">
        <v>2633</v>
      </c>
      <c r="I32" s="215">
        <v>-66708361.043587178</v>
      </c>
      <c r="J32" s="215">
        <v>25732750</v>
      </c>
    </row>
    <row r="33" spans="1:10">
      <c r="A33" s="214" t="s">
        <v>2634</v>
      </c>
      <c r="D33" s="215">
        <v>-7802902.2020259555</v>
      </c>
      <c r="F33" s="214" t="s">
        <v>2635</v>
      </c>
      <c r="I33" s="215">
        <v>0</v>
      </c>
      <c r="J33" s="215">
        <v>0</v>
      </c>
    </row>
    <row r="34" spans="1:10">
      <c r="A34" s="214" t="s">
        <v>2636</v>
      </c>
      <c r="D34" s="215">
        <v>-335213</v>
      </c>
      <c r="F34" s="214" t="s">
        <v>2637</v>
      </c>
      <c r="I34" s="215">
        <v>-1504133</v>
      </c>
      <c r="J34" s="215">
        <v>580219</v>
      </c>
    </row>
    <row r="35" spans="1:10">
      <c r="A35" s="214" t="s">
        <v>2638</v>
      </c>
      <c r="D35" s="215">
        <v>-12446387</v>
      </c>
      <c r="F35" s="214" t="s">
        <v>2639</v>
      </c>
      <c r="I35" s="215">
        <v>6480124</v>
      </c>
      <c r="J35" s="215">
        <v>6480124</v>
      </c>
    </row>
    <row r="36" spans="1:10">
      <c r="A36" s="214" t="s">
        <v>2640</v>
      </c>
      <c r="D36" s="215">
        <v>-15102690</v>
      </c>
      <c r="I36" s="215"/>
      <c r="J36" s="215"/>
    </row>
    <row r="37" spans="1:10">
      <c r="A37" s="214" t="s">
        <v>2641</v>
      </c>
      <c r="D37" s="215">
        <v>-629</v>
      </c>
    </row>
    <row r="38" spans="1:10">
      <c r="A38" s="214" t="s">
        <v>2642</v>
      </c>
      <c r="D38" s="215">
        <v>34034</v>
      </c>
    </row>
    <row r="39" spans="1:10" hidden="1">
      <c r="A39" s="214" t="s">
        <v>2643</v>
      </c>
      <c r="D39" s="215">
        <v>0</v>
      </c>
    </row>
    <row r="40" spans="1:10">
      <c r="A40" s="214" t="s">
        <v>2644</v>
      </c>
      <c r="D40" s="215">
        <v>173403</v>
      </c>
    </row>
    <row r="41" spans="1:10">
      <c r="A41" s="214" t="s">
        <v>2645</v>
      </c>
      <c r="D41" s="214">
        <v>18592709</v>
      </c>
    </row>
    <row r="42" spans="1:10">
      <c r="A42" s="214" t="s">
        <v>2646</v>
      </c>
      <c r="D42" s="214">
        <v>-92377952</v>
      </c>
    </row>
    <row r="43" spans="1:10">
      <c r="A43" s="214" t="s">
        <v>2647</v>
      </c>
      <c r="D43" s="214">
        <v>92377952</v>
      </c>
    </row>
    <row r="44" spans="1:10">
      <c r="A44" s="214" t="s">
        <v>2648</v>
      </c>
      <c r="D44" s="214">
        <v>-47564500</v>
      </c>
    </row>
    <row r="45" spans="1:10">
      <c r="A45" s="214" t="s">
        <v>2649</v>
      </c>
      <c r="D45" s="214">
        <v>47564500</v>
      </c>
    </row>
    <row r="46" spans="1:10">
      <c r="A46" s="214" t="s">
        <v>2650</v>
      </c>
      <c r="D46" s="214">
        <v>-15837075</v>
      </c>
    </row>
    <row r="47" spans="1:10">
      <c r="A47" s="214" t="s">
        <v>2651</v>
      </c>
      <c r="D47" s="214">
        <v>15837075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R62"/>
  <sheetViews>
    <sheetView zoomScale="85" workbookViewId="0"/>
  </sheetViews>
  <sheetFormatPr defaultRowHeight="12.75"/>
  <cols>
    <col min="1" max="2" width="11" style="214" customWidth="1"/>
    <col min="3" max="3" width="15.7109375" style="214" customWidth="1"/>
    <col min="4" max="4" width="16" style="214" bestFit="1" customWidth="1"/>
    <col min="5" max="5" width="9.140625" style="214"/>
    <col min="6" max="7" width="11" style="214" customWidth="1"/>
    <col min="8" max="8" width="17.85546875" style="214" customWidth="1"/>
    <col min="9" max="9" width="17.140625" style="214" bestFit="1" customWidth="1"/>
    <col min="10" max="10" width="12.42578125" style="214" bestFit="1" customWidth="1"/>
    <col min="11" max="16384" width="9.140625" style="214"/>
  </cols>
  <sheetData>
    <row r="1" spans="1:10">
      <c r="J1" s="364" t="s">
        <v>2488</v>
      </c>
    </row>
    <row r="2" spans="1:10">
      <c r="A2" s="365" t="s">
        <v>2155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0">
      <c r="A3" s="365" t="s">
        <v>2489</v>
      </c>
      <c r="B3" s="365"/>
      <c r="C3" s="365"/>
      <c r="D3" s="365"/>
      <c r="E3" s="365"/>
      <c r="F3" s="365"/>
      <c r="G3" s="365"/>
      <c r="H3" s="365"/>
      <c r="I3" s="365"/>
      <c r="J3" s="365"/>
    </row>
    <row r="4" spans="1:10">
      <c r="A4" s="365" t="s">
        <v>2157</v>
      </c>
      <c r="B4" s="365"/>
      <c r="C4" s="365"/>
      <c r="D4" s="365"/>
      <c r="E4" s="365"/>
      <c r="F4" s="365"/>
      <c r="G4" s="365"/>
      <c r="H4" s="365"/>
      <c r="I4" s="365"/>
      <c r="J4" s="365"/>
    </row>
    <row r="5" spans="1:10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0">
      <c r="A6" s="214" t="s">
        <v>2490</v>
      </c>
      <c r="F6" s="214" t="s">
        <v>2491</v>
      </c>
    </row>
    <row r="7" spans="1:10">
      <c r="F7" s="214" t="s">
        <v>2492</v>
      </c>
    </row>
    <row r="8" spans="1:10">
      <c r="A8" s="214" t="s">
        <v>2493</v>
      </c>
      <c r="D8" s="215">
        <v>168246585.33000019</v>
      </c>
      <c r="F8" s="213" t="s">
        <v>2494</v>
      </c>
    </row>
    <row r="9" spans="1:10">
      <c r="A9" s="214" t="s">
        <v>2495</v>
      </c>
      <c r="D9" s="215">
        <v>3173313.4</v>
      </c>
    </row>
    <row r="10" spans="1:10" ht="13.5" thickBot="1">
      <c r="A10" s="214" t="s">
        <v>2496</v>
      </c>
      <c r="D10" s="315">
        <v>63210043.750000007</v>
      </c>
    </row>
    <row r="11" spans="1:10">
      <c r="D11" s="215"/>
      <c r="F11" s="214" t="s">
        <v>2497</v>
      </c>
    </row>
    <row r="12" spans="1:10">
      <c r="A12" s="214" t="s">
        <v>2498</v>
      </c>
      <c r="D12" s="215">
        <v>234629942.4800002</v>
      </c>
      <c r="F12" s="214" t="s">
        <v>2499</v>
      </c>
    </row>
    <row r="13" spans="1:10" ht="13.5" thickBot="1">
      <c r="A13" s="214" t="s">
        <v>2500</v>
      </c>
      <c r="D13" s="315">
        <v>57314469.379999995</v>
      </c>
    </row>
    <row r="14" spans="1:10">
      <c r="A14" s="214" t="s">
        <v>2501</v>
      </c>
    </row>
    <row r="15" spans="1:10" ht="13.5" thickBot="1">
      <c r="A15" s="214" t="s">
        <v>2502</v>
      </c>
      <c r="D15" s="367">
        <v>4.0937296465990629</v>
      </c>
      <c r="E15" s="214" t="s">
        <v>2503</v>
      </c>
      <c r="F15" s="214" t="s">
        <v>2504</v>
      </c>
      <c r="I15" s="215">
        <v>662318915.20076466</v>
      </c>
    </row>
    <row r="16" spans="1:10">
      <c r="F16" s="214" t="s">
        <v>2505</v>
      </c>
      <c r="I16" s="215">
        <v>16531399</v>
      </c>
    </row>
    <row r="17" spans="1:10">
      <c r="A17" s="214" t="s">
        <v>2506</v>
      </c>
      <c r="F17" s="214" t="s">
        <v>2507</v>
      </c>
      <c r="I17" s="215">
        <v>53369489</v>
      </c>
    </row>
    <row r="18" spans="1:10" ht="13.5" thickBot="1">
      <c r="F18" s="214" t="s">
        <v>2508</v>
      </c>
      <c r="I18" s="315">
        <v>602338018</v>
      </c>
    </row>
    <row r="19" spans="1:10">
      <c r="A19" s="214" t="s">
        <v>2493</v>
      </c>
      <c r="D19" s="215">
        <v>168246585.33000019</v>
      </c>
      <c r="I19" s="215"/>
    </row>
    <row r="20" spans="1:10" ht="13.5" thickBot="1">
      <c r="A20" s="214" t="s">
        <v>2509</v>
      </c>
      <c r="D20" s="215">
        <v>-7962487.04</v>
      </c>
      <c r="F20" s="214" t="s">
        <v>2498</v>
      </c>
      <c r="I20" s="315">
        <v>1334557821.2007647</v>
      </c>
    </row>
    <row r="21" spans="1:10" ht="13.5" thickBot="1">
      <c r="A21" s="214" t="s">
        <v>2496</v>
      </c>
      <c r="D21" s="315">
        <v>63210043.750000007</v>
      </c>
    </row>
    <row r="22" spans="1:10" ht="13.5" thickBot="1">
      <c r="D22" s="215"/>
      <c r="F22" s="214" t="s">
        <v>2510</v>
      </c>
      <c r="I22" s="368">
        <v>0.496283416633717</v>
      </c>
    </row>
    <row r="23" spans="1:10">
      <c r="A23" s="214" t="s">
        <v>2498</v>
      </c>
      <c r="D23" s="215">
        <v>223494142.0400002</v>
      </c>
      <c r="I23" s="260"/>
    </row>
    <row r="24" spans="1:10" ht="13.5" thickBot="1">
      <c r="A24" s="214" t="s">
        <v>2500</v>
      </c>
      <c r="D24" s="315">
        <v>57314469.379999995</v>
      </c>
      <c r="F24" s="214" t="s">
        <v>2511</v>
      </c>
      <c r="I24" s="368">
        <v>1.2387173292443725E-2</v>
      </c>
    </row>
    <row r="25" spans="1:10">
      <c r="A25" s="214" t="s">
        <v>2501</v>
      </c>
    </row>
    <row r="26" spans="1:10" ht="13.5" thickBot="1">
      <c r="A26" s="214" t="s">
        <v>2512</v>
      </c>
      <c r="D26" s="367">
        <v>3.8994366423985243</v>
      </c>
      <c r="E26" s="214" t="s">
        <v>2503</v>
      </c>
    </row>
    <row r="27" spans="1:10">
      <c r="F27" s="214" t="s">
        <v>2513</v>
      </c>
    </row>
    <row r="28" spans="1:10">
      <c r="A28" s="214" t="s">
        <v>2514</v>
      </c>
      <c r="F28" s="214" t="s">
        <v>2515</v>
      </c>
    </row>
    <row r="29" spans="1:10">
      <c r="A29" s="214" t="s">
        <v>2516</v>
      </c>
      <c r="I29" s="214" t="s">
        <v>2517</v>
      </c>
      <c r="J29" s="214" t="s">
        <v>2518</v>
      </c>
    </row>
    <row r="30" spans="1:10">
      <c r="I30" s="214" t="s">
        <v>2519</v>
      </c>
      <c r="J30" s="214" t="s">
        <v>2520</v>
      </c>
    </row>
    <row r="31" spans="1:10">
      <c r="F31" s="214" t="s">
        <v>2521</v>
      </c>
      <c r="G31" s="214" t="s">
        <v>3750</v>
      </c>
    </row>
    <row r="32" spans="1:10">
      <c r="A32" s="214" t="s">
        <v>2495</v>
      </c>
      <c r="D32" s="215">
        <v>3173313.4</v>
      </c>
      <c r="F32" s="214" t="s">
        <v>2522</v>
      </c>
      <c r="I32" s="260">
        <v>4.9217316300000001E-2</v>
      </c>
      <c r="J32" s="260">
        <v>4.9217316300000001E-2</v>
      </c>
    </row>
    <row r="33" spans="1:18">
      <c r="A33" s="214" t="s">
        <v>2523</v>
      </c>
      <c r="D33" s="278">
        <v>0.61424999999999996</v>
      </c>
      <c r="J33" s="369"/>
    </row>
    <row r="34" spans="1:18">
      <c r="F34" s="214" t="s">
        <v>2524</v>
      </c>
    </row>
    <row r="35" spans="1:18">
      <c r="A35" s="214" t="s">
        <v>2525</v>
      </c>
      <c r="D35" s="215">
        <v>1949207.7559499999</v>
      </c>
      <c r="F35" s="214" t="s">
        <v>2526</v>
      </c>
    </row>
    <row r="36" spans="1:18" ht="13.5" thickBot="1">
      <c r="A36" s="214" t="s">
        <v>2509</v>
      </c>
      <c r="D36" s="315">
        <v>7962487.04</v>
      </c>
    </row>
    <row r="37" spans="1:18">
      <c r="F37" s="214" t="s">
        <v>2527</v>
      </c>
      <c r="I37" s="277">
        <v>-1.9220133399999999</v>
      </c>
      <c r="J37" s="277">
        <v>-1.9220133354</v>
      </c>
      <c r="L37" s="370">
        <v>-2.11</v>
      </c>
      <c r="M37" s="243">
        <v>-1.92</v>
      </c>
      <c r="N37" s="243">
        <v>-1.92</v>
      </c>
      <c r="P37" s="370">
        <v>2.1116467473</v>
      </c>
      <c r="Q37" s="370" t="s">
        <v>2528</v>
      </c>
      <c r="R37" s="370" t="s">
        <v>2528</v>
      </c>
    </row>
    <row r="38" spans="1:18" ht="13.5" thickBot="1">
      <c r="A38" s="214" t="s">
        <v>2498</v>
      </c>
      <c r="D38" s="315">
        <v>9911694.7959499992</v>
      </c>
      <c r="F38" s="214" t="s">
        <v>2529</v>
      </c>
      <c r="I38" s="277">
        <v>-3.3183599999999998E-3</v>
      </c>
      <c r="J38" s="277">
        <v>-3.3183636000000002E-3</v>
      </c>
      <c r="L38" s="370">
        <v>0</v>
      </c>
      <c r="M38" s="243">
        <v>0</v>
      </c>
      <c r="N38" s="243">
        <v>0</v>
      </c>
      <c r="P38" s="370">
        <v>-4.7352198E-3</v>
      </c>
      <c r="Q38" s="370" t="s">
        <v>2528</v>
      </c>
      <c r="R38" s="370" t="s">
        <v>2528</v>
      </c>
    </row>
    <row r="39" spans="1:18">
      <c r="D39" s="215"/>
      <c r="F39" s="214" t="s">
        <v>2530</v>
      </c>
      <c r="I39" s="277">
        <v>-0.22108012000000002</v>
      </c>
      <c r="J39" s="277">
        <v>-0.2210801245</v>
      </c>
      <c r="L39" s="370">
        <v>-0.34</v>
      </c>
      <c r="M39" s="243">
        <v>-0.22</v>
      </c>
      <c r="N39" s="243">
        <v>-0.22</v>
      </c>
      <c r="P39" s="370">
        <v>0.3441411586</v>
      </c>
      <c r="Q39" s="370" t="s">
        <v>2528</v>
      </c>
      <c r="R39" s="370" t="s">
        <v>2528</v>
      </c>
    </row>
    <row r="40" spans="1:18">
      <c r="A40" s="214" t="s">
        <v>2531</v>
      </c>
      <c r="F40" s="214" t="s">
        <v>2532</v>
      </c>
      <c r="I40" s="277">
        <v>-9.0480099999999994E-2</v>
      </c>
      <c r="J40" s="277">
        <v>-9.0480102100000001E-2</v>
      </c>
      <c r="L40" s="370">
        <v>-7.0000000000000007E-2</v>
      </c>
      <c r="M40" s="243">
        <v>-0.09</v>
      </c>
      <c r="N40" s="243">
        <v>-0.09</v>
      </c>
      <c r="P40" s="370">
        <v>7.4620951399999996E-2</v>
      </c>
      <c r="Q40" s="370" t="s">
        <v>2528</v>
      </c>
      <c r="R40" s="370" t="s">
        <v>2528</v>
      </c>
    </row>
    <row r="41" spans="1:18" ht="13.5" thickBot="1">
      <c r="A41" s="214" t="s">
        <v>2533</v>
      </c>
      <c r="D41" s="315">
        <v>107902929.3500002</v>
      </c>
      <c r="F41" s="214" t="s">
        <v>2534</v>
      </c>
      <c r="I41" s="277" t="s">
        <v>2528</v>
      </c>
      <c r="J41" s="277" t="s">
        <v>2528</v>
      </c>
      <c r="L41" s="370"/>
      <c r="M41" s="243"/>
      <c r="N41" s="243"/>
      <c r="P41" s="370">
        <v>4.923749978</v>
      </c>
      <c r="Q41" s="370"/>
      <c r="R41" s="370"/>
    </row>
    <row r="42" spans="1:18" ht="13.5" thickBot="1">
      <c r="A42" s="214" t="s">
        <v>2535</v>
      </c>
      <c r="F42" s="214" t="s">
        <v>2536</v>
      </c>
      <c r="I42" s="367">
        <v>-2.198021E-2</v>
      </c>
      <c r="J42" s="367">
        <v>-2.1980212200000002E-2</v>
      </c>
      <c r="L42" s="370">
        <v>-0.11</v>
      </c>
      <c r="M42" s="243">
        <v>-0.02</v>
      </c>
      <c r="N42" s="243">
        <v>-0.02</v>
      </c>
      <c r="P42" s="370" t="s">
        <v>2528</v>
      </c>
      <c r="Q42" s="370" t="s">
        <v>2528</v>
      </c>
      <c r="R42" s="370" t="s">
        <v>2528</v>
      </c>
    </row>
    <row r="43" spans="1:18" ht="13.5" thickBot="1">
      <c r="A43" s="214" t="s">
        <v>2537</v>
      </c>
      <c r="D43" s="368">
        <v>9.1857513560172688E-2</v>
      </c>
      <c r="I43" s="277"/>
      <c r="J43" s="277"/>
      <c r="M43" s="243"/>
      <c r="N43" s="243"/>
      <c r="P43" s="370" t="s">
        <v>2528</v>
      </c>
      <c r="Q43" s="370"/>
      <c r="R43" s="370"/>
    </row>
    <row r="44" spans="1:18" ht="13.5" thickBot="1">
      <c r="F44" s="214" t="s">
        <v>2538</v>
      </c>
      <c r="I44" s="367">
        <v>-2.2588721300000003</v>
      </c>
      <c r="J44" s="367">
        <v>-2.2588721377999996</v>
      </c>
      <c r="L44" s="243">
        <v>-2.63</v>
      </c>
      <c r="M44" s="243">
        <v>-2.2599999999999998</v>
      </c>
      <c r="N44" s="243">
        <v>-2.2599999999999998</v>
      </c>
      <c r="P44" s="370" t="s">
        <v>2528</v>
      </c>
      <c r="Q44" s="370" t="s">
        <v>2528</v>
      </c>
      <c r="R44" s="370" t="s">
        <v>2528</v>
      </c>
    </row>
    <row r="45" spans="1:18">
      <c r="A45" s="214" t="s">
        <v>2539</v>
      </c>
      <c r="I45" s="277"/>
      <c r="J45" s="277"/>
      <c r="M45" s="243"/>
      <c r="N45" s="243"/>
      <c r="P45" s="370">
        <v>0.1128510631</v>
      </c>
      <c r="Q45" s="370"/>
      <c r="R45" s="370"/>
    </row>
    <row r="46" spans="1:18">
      <c r="F46" s="214" t="s">
        <v>2498</v>
      </c>
      <c r="I46" s="277">
        <v>2.6628594999999997</v>
      </c>
      <c r="J46" s="277">
        <v>2.6628594922000004</v>
      </c>
      <c r="M46" s="243">
        <v>2.66</v>
      </c>
      <c r="N46" s="243">
        <v>2.66</v>
      </c>
      <c r="P46" s="243"/>
      <c r="Q46" s="370" t="s">
        <v>2528</v>
      </c>
      <c r="R46" s="370" t="s">
        <v>2528</v>
      </c>
    </row>
    <row r="47" spans="1:18" ht="13.5" thickBot="1">
      <c r="A47" s="214" t="s">
        <v>2540</v>
      </c>
      <c r="D47" s="215">
        <v>114105429.35000004</v>
      </c>
      <c r="F47" s="214" t="s">
        <v>2541</v>
      </c>
      <c r="I47" s="367">
        <v>39.002545329999997</v>
      </c>
      <c r="J47" s="367">
        <v>39.002545330899999</v>
      </c>
      <c r="M47" s="243">
        <v>39</v>
      </c>
      <c r="N47" s="243">
        <v>39</v>
      </c>
      <c r="P47" s="243"/>
      <c r="Q47" s="370" t="s">
        <v>2528</v>
      </c>
      <c r="R47" s="370" t="s">
        <v>2528</v>
      </c>
    </row>
    <row r="48" spans="1:18">
      <c r="A48" s="214" t="s">
        <v>2542</v>
      </c>
      <c r="D48" s="215">
        <v>-6202500.0000000047</v>
      </c>
      <c r="M48" s="243"/>
      <c r="N48" s="243"/>
      <c r="Q48" s="370"/>
      <c r="R48" s="370"/>
    </row>
    <row r="49" spans="1:18" ht="13.5" thickBot="1">
      <c r="A49" s="214" t="s">
        <v>2543</v>
      </c>
      <c r="D49" s="215">
        <v>-105725000</v>
      </c>
      <c r="F49" s="214" t="s">
        <v>2544</v>
      </c>
      <c r="I49" s="368">
        <v>6.8273992824560092E-2</v>
      </c>
      <c r="J49" s="368">
        <v>6.8273992622997715E-2</v>
      </c>
      <c r="M49" s="278">
        <v>6.83E-2</v>
      </c>
      <c r="N49" s="278">
        <v>6.83E-2</v>
      </c>
      <c r="Q49" s="370" t="s">
        <v>2528</v>
      </c>
      <c r="R49" s="370" t="s">
        <v>2528</v>
      </c>
    </row>
    <row r="50" spans="1:18">
      <c r="A50" s="214" t="s">
        <v>2545</v>
      </c>
      <c r="D50" s="215">
        <v>-11135800.439999999</v>
      </c>
    </row>
    <row r="51" spans="1:18">
      <c r="A51" s="214" t="s">
        <v>2546</v>
      </c>
      <c r="D51" s="215">
        <v>134790028.13999999</v>
      </c>
      <c r="I51" s="287"/>
    </row>
    <row r="52" spans="1:18">
      <c r="A52" s="214" t="s">
        <v>2547</v>
      </c>
      <c r="D52" s="215">
        <v>92581584.150000006</v>
      </c>
    </row>
    <row r="53" spans="1:18">
      <c r="A53" s="214" t="s">
        <v>2548</v>
      </c>
      <c r="D53" s="215">
        <v>0</v>
      </c>
    </row>
    <row r="54" spans="1:18" ht="13.5" thickBot="1">
      <c r="A54" s="214" t="s">
        <v>2549</v>
      </c>
      <c r="D54" s="315">
        <v>-41383866.13000001</v>
      </c>
    </row>
    <row r="55" spans="1:18">
      <c r="D55" s="215"/>
    </row>
    <row r="56" spans="1:18">
      <c r="A56" s="214" t="s">
        <v>2550</v>
      </c>
      <c r="D56" s="215">
        <v>177029875.07000005</v>
      </c>
    </row>
    <row r="57" spans="1:18">
      <c r="D57" s="215"/>
    </row>
    <row r="58" spans="1:18">
      <c r="A58" s="214" t="s">
        <v>2551</v>
      </c>
    </row>
    <row r="59" spans="1:18" ht="13.5" thickBot="1">
      <c r="A59" s="214" t="s">
        <v>2552</v>
      </c>
      <c r="D59" s="315">
        <v>336117265.78000003</v>
      </c>
      <c r="E59" s="371"/>
    </row>
    <row r="61" spans="1:18" ht="13.5" thickBot="1">
      <c r="A61" s="214" t="s">
        <v>2553</v>
      </c>
      <c r="D61" s="368">
        <v>0.52669081030152143</v>
      </c>
    </row>
    <row r="62" spans="1:18">
      <c r="D62" s="372"/>
    </row>
  </sheetData>
  <mergeCells count="3">
    <mergeCell ref="A2:J2"/>
    <mergeCell ref="A3:J3"/>
    <mergeCell ref="A4:J4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292</vt:i4>
      </vt:variant>
    </vt:vector>
  </HeadingPairs>
  <TitlesOfParts>
    <vt:vector size="310" baseType="lpstr">
      <vt:lpstr>Sch 2, 3 of 3</vt:lpstr>
      <vt:lpstr>MFR G-7 TY</vt:lpstr>
      <vt:lpstr>Int Synch</vt:lpstr>
      <vt:lpstr>RRCOMB3</vt:lpstr>
      <vt:lpstr>RRCOMB4</vt:lpstr>
      <vt:lpstr>RRCOMB2</vt:lpstr>
      <vt:lpstr>MFR G-8 TY</vt:lpstr>
      <vt:lpstr>MFR G-9 TY</vt:lpstr>
      <vt:lpstr>MFR G-11 TY</vt:lpstr>
      <vt:lpstr>Juris Rev Backup</vt:lpstr>
      <vt:lpstr>Sch 4</vt:lpstr>
      <vt:lpstr>Sch 1</vt:lpstr>
      <vt:lpstr>Sch 2, 1 of 3</vt:lpstr>
      <vt:lpstr>Sch 2, 2 of 3</vt:lpstr>
      <vt:lpstr>Sch 3, 1 of 3</vt:lpstr>
      <vt:lpstr>Sch 3, 2 of 3</vt:lpstr>
      <vt:lpstr>Sch 3, 3 of 3</vt:lpstr>
      <vt:lpstr>Sch 5</vt:lpstr>
      <vt:lpstr>_12MOUPSINT</vt:lpstr>
      <vt:lpstr>_12MPPCCTX</vt:lpstr>
      <vt:lpstr>_12MTDBRR</vt:lpstr>
      <vt:lpstr>_12MTDCONSREV</vt:lpstr>
      <vt:lpstr>_12MTDCRTX</vt:lpstr>
      <vt:lpstr>_12MTDFFR</vt:lpstr>
      <vt:lpstr>_12MTDNFR</vt:lpstr>
      <vt:lpstr>_12MTDOOR</vt:lpstr>
      <vt:lpstr>_12MTDORREV</vt:lpstr>
      <vt:lpstr>_12MTDPPCCOUR</vt:lpstr>
      <vt:lpstr>_12MTDPPCCREV</vt:lpstr>
      <vt:lpstr>_12MTDRET</vt:lpstr>
      <vt:lpstr>_12MTDREVTX</vt:lpstr>
      <vt:lpstr>_12MTDSCHE</vt:lpstr>
      <vt:lpstr>_12MTDTFE</vt:lpstr>
      <vt:lpstr>_12MTDUPS</vt:lpstr>
      <vt:lpstr>_12MTDUPSNF</vt:lpstr>
      <vt:lpstr>_12MTDWHOL</vt:lpstr>
      <vt:lpstr>_12MTDWSFR</vt:lpstr>
      <vt:lpstr>_12MUOREXP</vt:lpstr>
      <vt:lpstr>_13M_A_D3FL</vt:lpstr>
      <vt:lpstr>_13MA3ITC</vt:lpstr>
      <vt:lpstr>_13MA4ITC</vt:lpstr>
      <vt:lpstr>_13MAAPWR</vt:lpstr>
      <vt:lpstr>_13MACDP</vt:lpstr>
      <vt:lpstr>_13MACEQ</vt:lpstr>
      <vt:lpstr>_13MACWIP</vt:lpstr>
      <vt:lpstr>_13MADANIEL</vt:lpstr>
      <vt:lpstr>_13MADCCDEPR</vt:lpstr>
      <vt:lpstr>_13MADECTRAN</vt:lpstr>
      <vt:lpstr>_13MADFTX</vt:lpstr>
      <vt:lpstr>_13MAIDCC</vt:lpstr>
      <vt:lpstr>_13MAINTBCWIP</vt:lpstr>
      <vt:lpstr>_13MALLDEPR</vt:lpstr>
      <vt:lpstr>_13MALLNIBCWIP</vt:lpstr>
      <vt:lpstr>_13MALLPIS</vt:lpstr>
      <vt:lpstr>_13MALM</vt:lpstr>
      <vt:lpstr>_13MANNUP</vt:lpstr>
      <vt:lpstr>_13MAPHFU</vt:lpstr>
      <vt:lpstr>_13MAPIS3FL</vt:lpstr>
      <vt:lpstr>_13MAPRSK</vt:lpstr>
      <vt:lpstr>_13MASCH_A_D</vt:lpstr>
      <vt:lpstr>_13MASCHINV</vt:lpstr>
      <vt:lpstr>_13MASEPTRAN</vt:lpstr>
      <vt:lpstr>_13MAUDR</vt:lpstr>
      <vt:lpstr>_13MAUPIS</vt:lpstr>
      <vt:lpstr>_13MBUSDEVA_D</vt:lpstr>
      <vt:lpstr>_13MBUSDVINV</vt:lpstr>
      <vt:lpstr>_13MNVYHSA_D</vt:lpstr>
      <vt:lpstr>_13MNVYHSINV</vt:lpstr>
      <vt:lpstr>_13NUTAD</vt:lpstr>
      <vt:lpstr>_13NUTPS</vt:lpstr>
      <vt:lpstr>_13PBEQUITY</vt:lpstr>
      <vt:lpstr>_13PBSTDT</vt:lpstr>
      <vt:lpstr>_13PHFUSODFM</vt:lpstr>
      <vt:lpstr>_88TAXREFADJ</vt:lpstr>
      <vt:lpstr>_M2</vt:lpstr>
      <vt:lpstr>_PG1</vt:lpstr>
      <vt:lpstr>_PG2</vt:lpstr>
      <vt:lpstr>_PG3</vt:lpstr>
      <vt:lpstr>_PG4</vt:lpstr>
      <vt:lpstr>_SCH1</vt:lpstr>
      <vt:lpstr>_SYS1</vt:lpstr>
      <vt:lpstr>_SYS2</vt:lpstr>
      <vt:lpstr>AFUDCT</vt:lpstr>
      <vt:lpstr>AINTSYNC</vt:lpstr>
      <vt:lpstr>ANALYS1</vt:lpstr>
      <vt:lpstr>ANALYS2</vt:lpstr>
      <vt:lpstr>ANLY1</vt:lpstr>
      <vt:lpstr>ANLY2</vt:lpstr>
      <vt:lpstr>APPLDEPR</vt:lpstr>
      <vt:lpstr>APPLINVT</vt:lpstr>
      <vt:lpstr>BALSHEXCD</vt:lpstr>
      <vt:lpstr>CABALSH</vt:lpstr>
      <vt:lpstr>CAPINBASE</vt:lpstr>
      <vt:lpstr>CARBI</vt:lpstr>
      <vt:lpstr>CDIV</vt:lpstr>
      <vt:lpstr>CLBALSH</vt:lpstr>
      <vt:lpstr>CLCSI</vt:lpstr>
      <vt:lpstr>CLITDFE</vt:lpstr>
      <vt:lpstr>CLRBI</vt:lpstr>
      <vt:lpstr>CMJURROE</vt:lpstr>
      <vt:lpstr>COMEQUITY</vt:lpstr>
      <vt:lpstr>COMMEQ13MA</vt:lpstr>
      <vt:lpstr>Competetive_Prem_Transactions</vt:lpstr>
      <vt:lpstr>CSTRTNB</vt:lpstr>
      <vt:lpstr>CSTRTPS</vt:lpstr>
      <vt:lpstr>Database</vt:lpstr>
      <vt:lpstr>Database_MI</vt:lpstr>
      <vt:lpstr>DCCSI</vt:lpstr>
      <vt:lpstr>DCITDFE</vt:lpstr>
      <vt:lpstr>DCRBI</vt:lpstr>
      <vt:lpstr>DDRBI</vt:lpstr>
      <vt:lpstr>DEFTAXN</vt:lpstr>
      <vt:lpstr>DEFTX13MA</vt:lpstr>
      <vt:lpstr>DEFTXCR</vt:lpstr>
      <vt:lpstr>DEFTXDR</vt:lpstr>
      <vt:lpstr>DEP_A</vt:lpstr>
      <vt:lpstr>RRCOMB3!ECONPROF</vt:lpstr>
      <vt:lpstr>ECONPROF</vt:lpstr>
      <vt:lpstr>ERCNOI</vt:lpstr>
      <vt:lpstr>ERCRB</vt:lpstr>
      <vt:lpstr>FININT</vt:lpstr>
      <vt:lpstr>FININTEG</vt:lpstr>
      <vt:lpstr>FININTG</vt:lpstr>
      <vt:lpstr>FPSCADJROE</vt:lpstr>
      <vt:lpstr>FPSCAJOE</vt:lpstr>
      <vt:lpstr>FPSCAJOR</vt:lpstr>
      <vt:lpstr>FPSCAJPIS</vt:lpstr>
      <vt:lpstr>FPSCAJWC</vt:lpstr>
      <vt:lpstr>FPSCCWIP</vt:lpstr>
      <vt:lpstr>FPSCPHFU</vt:lpstr>
      <vt:lpstr>GSUSETTLE</vt:lpstr>
      <vt:lpstr>INCONSEXP</vt:lpstr>
      <vt:lpstr>ITC13MA</vt:lpstr>
      <vt:lpstr>ITCF</vt:lpstr>
      <vt:lpstr>JURCOMEQRA</vt:lpstr>
      <vt:lpstr>JURCWIP</vt:lpstr>
      <vt:lpstr>JURETURN</vt:lpstr>
      <vt:lpstr>JUREXP</vt:lpstr>
      <vt:lpstr>JURNPIS</vt:lpstr>
      <vt:lpstr>JURPHFU</vt:lpstr>
      <vt:lpstr>JURREV</vt:lpstr>
      <vt:lpstr>JURROE</vt:lpstr>
      <vt:lpstr>JURWC</vt:lpstr>
      <vt:lpstr>LTDCSI</vt:lpstr>
      <vt:lpstr>MACROS</vt:lpstr>
      <vt:lpstr>MEMO</vt:lpstr>
      <vt:lpstr>MONFUELSAV</vt:lpstr>
      <vt:lpstr>NBCSTRATE</vt:lpstr>
      <vt:lpstr>NETBONDS13MA</vt:lpstr>
      <vt:lpstr>NIBPSTK</vt:lpstr>
      <vt:lpstr>NPISRBI</vt:lpstr>
      <vt:lpstr>NPSITDFE</vt:lpstr>
      <vt:lpstr>OOREV</vt:lpstr>
      <vt:lpstr>ORRBI</vt:lpstr>
      <vt:lpstr>OTHERFDS</vt:lpstr>
      <vt:lpstr>PAGE1_2</vt:lpstr>
      <vt:lpstr>PAGE1_3</vt:lpstr>
      <vt:lpstr>PAGE1_4</vt:lpstr>
      <vt:lpstr>PAGE10_2</vt:lpstr>
      <vt:lpstr>PAGE10_3</vt:lpstr>
      <vt:lpstr>PAGE11_2</vt:lpstr>
      <vt:lpstr>PAGE11_3</vt:lpstr>
      <vt:lpstr>PAGE12_2</vt:lpstr>
      <vt:lpstr>PAGE12_3</vt:lpstr>
      <vt:lpstr>PAGE13_2</vt:lpstr>
      <vt:lpstr>PAGE13_3</vt:lpstr>
      <vt:lpstr>PAGE14_3</vt:lpstr>
      <vt:lpstr>PAGE15_3</vt:lpstr>
      <vt:lpstr>PAGE16_3</vt:lpstr>
      <vt:lpstr>PAGE17_3</vt:lpstr>
      <vt:lpstr>PAGE18</vt:lpstr>
      <vt:lpstr>PAGE18A</vt:lpstr>
      <vt:lpstr>PAGE19</vt:lpstr>
      <vt:lpstr>PAGE2_2</vt:lpstr>
      <vt:lpstr>PAGE2_3</vt:lpstr>
      <vt:lpstr>PAGE2_4</vt:lpstr>
      <vt:lpstr>PAGE20</vt:lpstr>
      <vt:lpstr>PAGE21</vt:lpstr>
      <vt:lpstr>PAGE22</vt:lpstr>
      <vt:lpstr>PAGE23</vt:lpstr>
      <vt:lpstr>PAGE24</vt:lpstr>
      <vt:lpstr>PAGE25</vt:lpstr>
      <vt:lpstr>PAGE26</vt:lpstr>
      <vt:lpstr>PAGE27</vt:lpstr>
      <vt:lpstr>PAGE28</vt:lpstr>
      <vt:lpstr>PAGE29</vt:lpstr>
      <vt:lpstr>PAGE3_2</vt:lpstr>
      <vt:lpstr>PAGE3_3</vt:lpstr>
      <vt:lpstr>PAGE3_4</vt:lpstr>
      <vt:lpstr>PAGE30</vt:lpstr>
      <vt:lpstr>PAGE31</vt:lpstr>
      <vt:lpstr>PAGE32</vt:lpstr>
      <vt:lpstr>PAGE4_2</vt:lpstr>
      <vt:lpstr>PAGE4_3</vt:lpstr>
      <vt:lpstr>PAGE4_4</vt:lpstr>
      <vt:lpstr>PAGE5_2</vt:lpstr>
      <vt:lpstr>PAGE5_3</vt:lpstr>
      <vt:lpstr>PAGE5_4</vt:lpstr>
      <vt:lpstr>PAGE6_2</vt:lpstr>
      <vt:lpstr>PAGE6_3</vt:lpstr>
      <vt:lpstr>PAGE6_4</vt:lpstr>
      <vt:lpstr>PAGE7_2</vt:lpstr>
      <vt:lpstr>PAGE7_3</vt:lpstr>
      <vt:lpstr>PAGE8_2</vt:lpstr>
      <vt:lpstr>PAGE8_3</vt:lpstr>
      <vt:lpstr>PAGE9_2</vt:lpstr>
      <vt:lpstr>PAGE9_3</vt:lpstr>
      <vt:lpstr>PCCSI</vt:lpstr>
      <vt:lpstr>PDIV</vt:lpstr>
      <vt:lpstr>PE_A_D3FL</vt:lpstr>
      <vt:lpstr>PE3ITC</vt:lpstr>
      <vt:lpstr>PE4ITC</vt:lpstr>
      <vt:lpstr>PEBUSDV_A_D</vt:lpstr>
      <vt:lpstr>PEBUSDVINV</vt:lpstr>
      <vt:lpstr>PECOMEQ</vt:lpstr>
      <vt:lpstr>PECSBONDS</vt:lpstr>
      <vt:lpstr>PECSCRB</vt:lpstr>
      <vt:lpstr>PECSCRPS</vt:lpstr>
      <vt:lpstr>PECSCUSDEP</vt:lpstr>
      <vt:lpstr>PECSPRSTK</vt:lpstr>
      <vt:lpstr>PECSSTD</vt:lpstr>
      <vt:lpstr>PECWIP</vt:lpstr>
      <vt:lpstr>PEDANIEL</vt:lpstr>
      <vt:lpstr>PEDEFTX</vt:lpstr>
      <vt:lpstr>PEDEP</vt:lpstr>
      <vt:lpstr>PEDEPR</vt:lpstr>
      <vt:lpstr>PEEXDCCDEPR</vt:lpstr>
      <vt:lpstr>PEEXDCCINV</vt:lpstr>
      <vt:lpstr>PEEXINCWIP</vt:lpstr>
      <vt:lpstr>PEEXLLCWIP</vt:lpstr>
      <vt:lpstr>PEEXLLDEPR</vt:lpstr>
      <vt:lpstr>PEEXLLPIS</vt:lpstr>
      <vt:lpstr>PEEXSSDEPR</vt:lpstr>
      <vt:lpstr>PEEXSSINV</vt:lpstr>
      <vt:lpstr>PEINTSYNC</vt:lpstr>
      <vt:lpstr>PEJURBCR</vt:lpstr>
      <vt:lpstr>PEJURPSCR</vt:lpstr>
      <vt:lpstr>PELM</vt:lpstr>
      <vt:lpstr>PENETBOND</vt:lpstr>
      <vt:lpstr>PENTAD</vt:lpstr>
      <vt:lpstr>PENTPIS</vt:lpstr>
      <vt:lpstr>PENVYHSA_D</vt:lpstr>
      <vt:lpstr>PENVYHSINV</vt:lpstr>
      <vt:lpstr>PEPBEQUITY</vt:lpstr>
      <vt:lpstr>PEPBSTDT</vt:lpstr>
      <vt:lpstr>PEPHFU</vt:lpstr>
      <vt:lpstr>PEPHFUSOD</vt:lpstr>
      <vt:lpstr>PEPIS</vt:lpstr>
      <vt:lpstr>PEPIS3FL</vt:lpstr>
      <vt:lpstr>PEPREFR</vt:lpstr>
      <vt:lpstr>PERROR</vt:lpstr>
      <vt:lpstr>PESCH_A_D</vt:lpstr>
      <vt:lpstr>PESCHINV</vt:lpstr>
      <vt:lpstr>PESTD</vt:lpstr>
      <vt:lpstr>PEUPSFUEL</vt:lpstr>
      <vt:lpstr>PPCCEXP</vt:lpstr>
      <vt:lpstr>PRECSTRATE</vt:lpstr>
      <vt:lpstr>PRESTK13MA</vt:lpstr>
      <vt:lpstr>'Juris Rev Backup'!Print_Area</vt:lpstr>
      <vt:lpstr>'MFR G-11 TY'!Print_Area</vt:lpstr>
      <vt:lpstr>'MFR G-7 TY'!Print_Area</vt:lpstr>
      <vt:lpstr>'MFR G-8 TY'!Print_Area</vt:lpstr>
      <vt:lpstr>'MFR G-9 TY'!Print_Area</vt:lpstr>
      <vt:lpstr>RRCOMB2!Print_Area</vt:lpstr>
      <vt:lpstr>RRCOMB3!Print_Area</vt:lpstr>
      <vt:lpstr>RRCOMB4!Print_Area</vt:lpstr>
      <vt:lpstr>RRCOMB3!Print_Area_MI</vt:lpstr>
      <vt:lpstr>PRORATA</vt:lpstr>
      <vt:lpstr>RBADJ</vt:lpstr>
      <vt:lpstr>RBRR</vt:lpstr>
      <vt:lpstr>REMSCHER</vt:lpstr>
      <vt:lpstr>REMSCHRTX</vt:lpstr>
      <vt:lpstr>RETURN</vt:lpstr>
      <vt:lpstr>RETURNS</vt:lpstr>
      <vt:lpstr>REVTX12M</vt:lpstr>
      <vt:lpstr>RFCR</vt:lpstr>
      <vt:lpstr>ROE</vt:lpstr>
      <vt:lpstr>ROREC</vt:lpstr>
      <vt:lpstr>SCHALCO_M</vt:lpstr>
      <vt:lpstr>SCHAMORTPROP</vt:lpstr>
      <vt:lpstr>SCHCAPEQLADJ</vt:lpstr>
      <vt:lpstr>SCHERERREV</vt:lpstr>
      <vt:lpstr>SCHOTHRTX</vt:lpstr>
      <vt:lpstr>SCHPROPINS</vt:lpstr>
      <vt:lpstr>SCHRADIT</vt:lpstr>
      <vt:lpstr>SCHTRANSRNTL</vt:lpstr>
      <vt:lpstr>SEEF</vt:lpstr>
      <vt:lpstr>SEEOE_C</vt:lpstr>
      <vt:lpstr>STATION</vt:lpstr>
      <vt:lpstr>RRCOMB3!STRIP</vt:lpstr>
      <vt:lpstr>SUM</vt:lpstr>
      <vt:lpstr>SUMMARY</vt:lpstr>
      <vt:lpstr>RRCOMB3!SYSADJCON</vt:lpstr>
      <vt:lpstr>SYSADJCON</vt:lpstr>
      <vt:lpstr>UPSA_G</vt:lpstr>
      <vt:lpstr>UPSADA</vt:lpstr>
      <vt:lpstr>UPSAMRTITC</vt:lpstr>
      <vt:lpstr>UPSDEPR</vt:lpstr>
      <vt:lpstr>UPSFUEL</vt:lpstr>
      <vt:lpstr>UPSNOI</vt:lpstr>
      <vt:lpstr>UPSNOI1</vt:lpstr>
      <vt:lpstr>UPSNOITEST</vt:lpstr>
      <vt:lpstr>UPSOE_C</vt:lpstr>
      <vt:lpstr>UPSOT</vt:lpstr>
      <vt:lpstr>UPSPLIS</vt:lpstr>
      <vt:lpstr>UPSPRODNOF</vt:lpstr>
      <vt:lpstr>UPSTAXADJ</vt:lpstr>
      <vt:lpstr>UPSTRANS</vt:lpstr>
      <vt:lpstr>VARO_M</vt:lpstr>
      <vt:lpstr>Z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jjmason</dc:creator>
  <cp:lastModifiedBy>Josh Mason</cp:lastModifiedBy>
  <cp:lastPrinted>2011-07-02T22:47:52Z</cp:lastPrinted>
  <dcterms:created xsi:type="dcterms:W3CDTF">2011-05-25T18:14:58Z</dcterms:created>
  <dcterms:modified xsi:type="dcterms:W3CDTF">2011-09-23T21:13:45Z</dcterms:modified>
</cp:coreProperties>
</file>