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27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18.xml" ContentType="application/vnd.openxmlformats-officedocument.spreadsheetml.comments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comments2.xml" ContentType="application/vnd.openxmlformats-officedocument.spreadsheetml.comments+xml"/>
  <Override PartName="/xl/comments16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comments14.xml" ContentType="application/vnd.openxmlformats-officedocument.spreadsheetml.comments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comments10.xml" ContentType="application/vnd.openxmlformats-officedocument.spreadsheetml.comment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comments7.xml" ContentType="application/vnd.openxmlformats-officedocument.spreadsheetml.comments+xml"/>
  <Override PartName="/xl/drawings/drawing5.xml" ContentType="application/vnd.openxmlformats-officedocument.drawing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17.xml" ContentType="application/vnd.openxmlformats-officedocument.spreadsheetml.comments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comments6.xml" ContentType="application/vnd.openxmlformats-officedocument.spreadsheetml.comments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externalLinks/externalLink2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4008" windowWidth="15480" windowHeight="4020" tabRatio="861"/>
  </bookViews>
  <sheets>
    <sheet name="P6 Summary Plan Forecast_Jan" sheetId="23" r:id="rId1"/>
    <sheet name="P6 Summary Plan Forecast_Feb" sheetId="35" r:id="rId2"/>
    <sheet name="P6 Summary Plan Forecast_Mar" sheetId="36" r:id="rId3"/>
    <sheet name="P6 Summary Plan Forecast_April" sheetId="44" r:id="rId4"/>
    <sheet name="P6 Summary Plan Forecast_May" sheetId="48" r:id="rId5"/>
    <sheet name="Jan_prices" sheetId="30" r:id="rId6"/>
    <sheet name="Feb_Prices" sheetId="39" r:id="rId7"/>
    <sheet name="Mar_Prices" sheetId="43" r:id="rId8"/>
    <sheet name="April_Prices" sheetId="47" r:id="rId9"/>
    <sheet name="P6 Summary Plan Forecast_Dec" sheetId="61" r:id="rId10"/>
    <sheet name="May_Prices" sheetId="51" r:id="rId11"/>
    <sheet name="P6 Summary Plan Forecast_Nov" sheetId="60" r:id="rId12"/>
    <sheet name="P6 Summary Plan Forecast_Oct" sheetId="59" r:id="rId13"/>
    <sheet name="June_Prices" sheetId="55" r:id="rId14"/>
    <sheet name="P6 Summary Plan Forecast_Sep" sheetId="58" r:id="rId15"/>
    <sheet name="P6 Summary Plan Forecast_Aug" sheetId="57" r:id="rId16"/>
    <sheet name="P6 Summary Plan Forecast_July" sheetId="56" r:id="rId17"/>
    <sheet name="P6 Summary Plan Forecast_June" sheetId="52" r:id="rId18"/>
    <sheet name="Summary Plan Retail Delivered" sheetId="22" r:id="rId19"/>
    <sheet name="Growth Plan" sheetId="12" r:id="rId20"/>
    <sheet name="Variance Plan" sheetId="6" r:id="rId21"/>
    <sheet name="JUNE_SAP_impact " sheetId="53" r:id="rId22"/>
    <sheet name="june_data (2)" sheetId="54" r:id="rId23"/>
    <sheet name="MAY_SAP_impact " sheetId="50" r:id="rId24"/>
    <sheet name="may_data (2)" sheetId="49" r:id="rId25"/>
    <sheet name="Jan_SAP_impact" sheetId="33" r:id="rId26"/>
    <sheet name="Feb_SAP_impact " sheetId="37" r:id="rId27"/>
    <sheet name="Mar_SAP_impact" sheetId="42" r:id="rId28"/>
    <sheet name="Apr_SAP_impact" sheetId="46" r:id="rId29"/>
    <sheet name="est. employment" sheetId="31" r:id="rId30"/>
    <sheet name="Inactive_meter_ratio" sheetId="16" r:id="rId31"/>
    <sheet name="Actual CPI for Energy" sheetId="5" r:id="rId32"/>
    <sheet name="CPI_energy" sheetId="29" r:id="rId33"/>
    <sheet name="jan_data (2)" sheetId="34" r:id="rId34"/>
    <sheet name="leap_day" sheetId="40" r:id="rId35"/>
    <sheet name="Feb_data (2)" sheetId="38" r:id="rId36"/>
    <sheet name="mar_data (2)" sheetId="41" r:id="rId37"/>
    <sheet name="apr_data(2)" sheetId="45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lausetq">[1]SOEF!$L$28</definedName>
    <definedName name="aclausety">[1]SOEF!$P$28</definedName>
    <definedName name="acustgrowtq">[1]SOEF!$L$14</definedName>
    <definedName name="acustgrowty">[1]SOEF!$P$14</definedName>
    <definedName name="adeprtq">[1]SOEF!$L$22</definedName>
    <definedName name="adeprty">[1]SOEF!$P$22</definedName>
    <definedName name="adivtm" localSheetId="22">[1]SOEF!#REF!</definedName>
    <definedName name="adivtm" localSheetId="21">[1]SOEF!#REF!</definedName>
    <definedName name="adivtm" localSheetId="24">[1]SOEF!#REF!</definedName>
    <definedName name="adivtm" localSheetId="23">[1]SOEF!#REF!</definedName>
    <definedName name="adivtm" localSheetId="3">[1]SOEF!#REF!</definedName>
    <definedName name="adivtm" localSheetId="15">[1]SOEF!#REF!</definedName>
    <definedName name="adivtm" localSheetId="9">[1]SOEF!#REF!</definedName>
    <definedName name="adivtm" localSheetId="16">[1]SOEF!#REF!</definedName>
    <definedName name="adivtm" localSheetId="17">[1]SOEF!#REF!</definedName>
    <definedName name="adivtm" localSheetId="4">[1]SOEF!#REF!</definedName>
    <definedName name="adivtm" localSheetId="11">[1]SOEF!#REF!</definedName>
    <definedName name="adivtm" localSheetId="12">[1]SOEF!#REF!</definedName>
    <definedName name="adivtm" localSheetId="14">[1]SOEF!#REF!</definedName>
    <definedName name="adivtm">[1]SOEF!#REF!</definedName>
    <definedName name="adivtq" localSheetId="22">[1]SOEF!#REF!</definedName>
    <definedName name="adivtq" localSheetId="21">[1]SOEF!#REF!</definedName>
    <definedName name="adivtq" localSheetId="24">[1]SOEF!#REF!</definedName>
    <definedName name="adivtq" localSheetId="23">[1]SOEF!#REF!</definedName>
    <definedName name="adivtq" localSheetId="3">[1]SOEF!#REF!</definedName>
    <definedName name="adivtq" localSheetId="15">[1]SOEF!#REF!</definedName>
    <definedName name="adivtq" localSheetId="9">[1]SOEF!#REF!</definedName>
    <definedName name="adivtq" localSheetId="16">[1]SOEF!#REF!</definedName>
    <definedName name="adivtq" localSheetId="17">[1]SOEF!#REF!</definedName>
    <definedName name="adivtq" localSheetId="4">[1]SOEF!#REF!</definedName>
    <definedName name="adivtq" localSheetId="11">[1]SOEF!#REF!</definedName>
    <definedName name="adivtq" localSheetId="12">[1]SOEF!#REF!</definedName>
    <definedName name="adivtq" localSheetId="14">[1]SOEF!#REF!</definedName>
    <definedName name="adivtq">[1]SOEF!#REF!</definedName>
    <definedName name="adivty" localSheetId="22">[1]SOEF!#REF!</definedName>
    <definedName name="adivty" localSheetId="21">[1]SOEF!#REF!</definedName>
    <definedName name="adivty" localSheetId="24">[1]SOEF!#REF!</definedName>
    <definedName name="adivty" localSheetId="23">[1]SOEF!#REF!</definedName>
    <definedName name="adivty" localSheetId="3">[1]SOEF!#REF!</definedName>
    <definedName name="adivty" localSheetId="15">[1]SOEF!#REF!</definedName>
    <definedName name="adivty" localSheetId="9">[1]SOEF!#REF!</definedName>
    <definedName name="adivty" localSheetId="16">[1]SOEF!#REF!</definedName>
    <definedName name="adivty" localSheetId="17">[1]SOEF!#REF!</definedName>
    <definedName name="adivty" localSheetId="4">[1]SOEF!#REF!</definedName>
    <definedName name="adivty" localSheetId="11">[1]SOEF!#REF!</definedName>
    <definedName name="adivty" localSheetId="12">[1]SOEF!#REF!</definedName>
    <definedName name="adivty" localSheetId="14">[1]SOEF!#REF!</definedName>
    <definedName name="adivty">[1]SOEF!#REF!</definedName>
    <definedName name="ainctaxtq">[1]SOEF!$L$33</definedName>
    <definedName name="ainctaxty">[1]SOEF!$P$33</definedName>
    <definedName name="ainttq">[1]SOEF!$L$23</definedName>
    <definedName name="aintty">[1]SOEF!$P$23</definedName>
    <definedName name="ao_mtq">[1]SOEF!$L$21</definedName>
    <definedName name="ao_mty">[1]SOEF!$P$21</definedName>
    <definedName name="aothtaxtq">[1]SOEF!$L$29</definedName>
    <definedName name="aothtaxty">[1]SOEF!$P$29</definedName>
    <definedName name="apricemixtq">[1]SOEF!$L$17</definedName>
    <definedName name="apricemixty">[1]SOEF!$P$17</definedName>
    <definedName name="arevtm" localSheetId="22">[1]SOEF!#REF!</definedName>
    <definedName name="arevtm" localSheetId="21">[1]SOEF!#REF!</definedName>
    <definedName name="arevtm" localSheetId="24">[1]SOEF!#REF!</definedName>
    <definedName name="arevtm" localSheetId="23">[1]SOEF!#REF!</definedName>
    <definedName name="arevtm" localSheetId="3">[1]SOEF!#REF!</definedName>
    <definedName name="arevtm" localSheetId="15">[1]SOEF!#REF!</definedName>
    <definedName name="arevtm" localSheetId="9">[1]SOEF!#REF!</definedName>
    <definedName name="arevtm" localSheetId="16">[1]SOEF!#REF!</definedName>
    <definedName name="arevtm" localSheetId="17">[1]SOEF!#REF!</definedName>
    <definedName name="arevtm" localSheetId="4">[1]SOEF!#REF!</definedName>
    <definedName name="arevtm" localSheetId="11">[1]SOEF!#REF!</definedName>
    <definedName name="arevtm" localSheetId="12">[1]SOEF!#REF!</definedName>
    <definedName name="arevtm" localSheetId="14">[1]SOEF!#REF!</definedName>
    <definedName name="arevtm">[1]SOEF!#REF!</definedName>
    <definedName name="arevtq" localSheetId="22">[1]SOEF!#REF!</definedName>
    <definedName name="arevtq" localSheetId="21">[1]SOEF!#REF!</definedName>
    <definedName name="arevtq" localSheetId="24">[1]SOEF!#REF!</definedName>
    <definedName name="arevtq" localSheetId="23">[1]SOEF!#REF!</definedName>
    <definedName name="arevtq" localSheetId="3">[1]SOEF!#REF!</definedName>
    <definedName name="arevtq" localSheetId="15">[1]SOEF!#REF!</definedName>
    <definedName name="arevtq" localSheetId="9">[1]SOEF!#REF!</definedName>
    <definedName name="arevtq" localSheetId="16">[1]SOEF!#REF!</definedName>
    <definedName name="arevtq" localSheetId="17">[1]SOEF!#REF!</definedName>
    <definedName name="arevtq" localSheetId="4">[1]SOEF!#REF!</definedName>
    <definedName name="arevtq" localSheetId="11">[1]SOEF!#REF!</definedName>
    <definedName name="arevtq" localSheetId="12">[1]SOEF!#REF!</definedName>
    <definedName name="arevtq" localSheetId="14">[1]SOEF!#REF!</definedName>
    <definedName name="arevtq">[1]SOEF!#REF!</definedName>
    <definedName name="arevty" localSheetId="22">[1]SOEF!#REF!</definedName>
    <definedName name="arevty" localSheetId="21">[1]SOEF!#REF!</definedName>
    <definedName name="arevty" localSheetId="24">[1]SOEF!#REF!</definedName>
    <definedName name="arevty" localSheetId="23">[1]SOEF!#REF!</definedName>
    <definedName name="arevty" localSheetId="3">[1]SOEF!#REF!</definedName>
    <definedName name="arevty" localSheetId="15">[1]SOEF!#REF!</definedName>
    <definedName name="arevty" localSheetId="9">[1]SOEF!#REF!</definedName>
    <definedName name="arevty" localSheetId="16">[1]SOEF!#REF!</definedName>
    <definedName name="arevty" localSheetId="17">[1]SOEF!#REF!</definedName>
    <definedName name="arevty" localSheetId="4">[1]SOEF!#REF!</definedName>
    <definedName name="arevty" localSheetId="11">[1]SOEF!#REF!</definedName>
    <definedName name="arevty" localSheetId="12">[1]SOEF!#REF!</definedName>
    <definedName name="arevty" localSheetId="14">[1]SOEF!#REF!</definedName>
    <definedName name="arevty">[1]SOEF!#REF!</definedName>
    <definedName name="atax_adjtq">[1]SOEF!$L$32</definedName>
    <definedName name="atax_adjty">[1]SOEF!$P$32</definedName>
    <definedName name="ausagetq">[1]SOEF!$L$16</definedName>
    <definedName name="ausagety">[1]SOEF!$P$16</definedName>
    <definedName name="base_revenue_eps_ty" localSheetId="22">#REF!</definedName>
    <definedName name="base_revenue_eps_ty" localSheetId="21">#REF!</definedName>
    <definedName name="base_revenue_eps_ty" localSheetId="24">#REF!</definedName>
    <definedName name="base_revenue_eps_ty" localSheetId="23">#REF!</definedName>
    <definedName name="base_revenue_eps_ty" localSheetId="3">#REF!</definedName>
    <definedName name="base_revenue_eps_ty" localSheetId="15">#REF!</definedName>
    <definedName name="base_revenue_eps_ty" localSheetId="9">#REF!</definedName>
    <definedName name="base_revenue_eps_ty" localSheetId="16">#REF!</definedName>
    <definedName name="base_revenue_eps_ty" localSheetId="17">#REF!</definedName>
    <definedName name="base_revenue_eps_ty" localSheetId="4">#REF!</definedName>
    <definedName name="base_revenue_eps_ty" localSheetId="11">#REF!</definedName>
    <definedName name="base_revenue_eps_ty" localSheetId="12">#REF!</definedName>
    <definedName name="base_revenue_eps_ty" localSheetId="14">#REF!</definedName>
    <definedName name="base_revenue_eps_ty">#REF!</definedName>
    <definedName name="base_revenue_tq" localSheetId="22">#REF!</definedName>
    <definedName name="base_revenue_tq" localSheetId="21">#REF!</definedName>
    <definedName name="base_revenue_tq" localSheetId="24">#REF!</definedName>
    <definedName name="base_revenue_tq" localSheetId="23">#REF!</definedName>
    <definedName name="base_revenue_tq" localSheetId="3">#REF!</definedName>
    <definedName name="base_revenue_tq" localSheetId="15">#REF!</definedName>
    <definedName name="base_revenue_tq" localSheetId="9">#REF!</definedName>
    <definedName name="base_revenue_tq" localSheetId="16">#REF!</definedName>
    <definedName name="base_revenue_tq" localSheetId="17">#REF!</definedName>
    <definedName name="base_revenue_tq" localSheetId="4">#REF!</definedName>
    <definedName name="base_revenue_tq" localSheetId="11">#REF!</definedName>
    <definedName name="base_revenue_tq" localSheetId="12">#REF!</definedName>
    <definedName name="base_revenue_tq" localSheetId="14">#REF!</definedName>
    <definedName name="base_revenue_tq">#REF!</definedName>
    <definedName name="base_revenue_ty" localSheetId="22">#REF!</definedName>
    <definedName name="base_revenue_ty" localSheetId="21">#REF!</definedName>
    <definedName name="base_revenue_ty" localSheetId="24">#REF!</definedName>
    <definedName name="base_revenue_ty" localSheetId="23">#REF!</definedName>
    <definedName name="base_revenue_ty" localSheetId="3">#REF!</definedName>
    <definedName name="base_revenue_ty" localSheetId="15">#REF!</definedName>
    <definedName name="base_revenue_ty" localSheetId="9">#REF!</definedName>
    <definedName name="base_revenue_ty" localSheetId="16">#REF!</definedName>
    <definedName name="base_revenue_ty" localSheetId="17">#REF!</definedName>
    <definedName name="base_revenue_ty" localSheetId="4">#REF!</definedName>
    <definedName name="base_revenue_ty" localSheetId="11">#REF!</definedName>
    <definedName name="base_revenue_ty" localSheetId="12">#REF!</definedName>
    <definedName name="base_revenue_ty" localSheetId="14">#REF!</definedName>
    <definedName name="base_revenue_ty">#REF!</definedName>
    <definedName name="bdivtm" localSheetId="22">[1]SOEF!#REF!</definedName>
    <definedName name="bdivtm" localSheetId="21">[1]SOEF!#REF!</definedName>
    <definedName name="bdivtm" localSheetId="24">[1]SOEF!#REF!</definedName>
    <definedName name="bdivtm" localSheetId="23">[1]SOEF!#REF!</definedName>
    <definedName name="bdivtm" localSheetId="3">[1]SOEF!#REF!</definedName>
    <definedName name="bdivtm" localSheetId="15">[1]SOEF!#REF!</definedName>
    <definedName name="bdivtm" localSheetId="9">[1]SOEF!#REF!</definedName>
    <definedName name="bdivtm" localSheetId="16">[1]SOEF!#REF!</definedName>
    <definedName name="bdivtm" localSheetId="17">[1]SOEF!#REF!</definedName>
    <definedName name="bdivtm" localSheetId="4">[1]SOEF!#REF!</definedName>
    <definedName name="bdivtm" localSheetId="11">[1]SOEF!#REF!</definedName>
    <definedName name="bdivtm" localSheetId="12">[1]SOEF!#REF!</definedName>
    <definedName name="bdivtm" localSheetId="14">[1]SOEF!#REF!</definedName>
    <definedName name="bdivtm">[1]SOEF!#REF!</definedName>
    <definedName name="bdivtq" localSheetId="22">[1]SOEF!#REF!</definedName>
    <definedName name="bdivtq" localSheetId="21">[1]SOEF!#REF!</definedName>
    <definedName name="bdivtq" localSheetId="24">[1]SOEF!#REF!</definedName>
    <definedName name="bdivtq" localSheetId="23">[1]SOEF!#REF!</definedName>
    <definedName name="bdivtq" localSheetId="3">[1]SOEF!#REF!</definedName>
    <definedName name="bdivtq" localSheetId="15">[1]SOEF!#REF!</definedName>
    <definedName name="bdivtq" localSheetId="9">[1]SOEF!#REF!</definedName>
    <definedName name="bdivtq" localSheetId="16">[1]SOEF!#REF!</definedName>
    <definedName name="bdivtq" localSheetId="17">[1]SOEF!#REF!</definedName>
    <definedName name="bdivtq" localSheetId="4">[1]SOEF!#REF!</definedName>
    <definedName name="bdivtq" localSheetId="11">[1]SOEF!#REF!</definedName>
    <definedName name="bdivtq" localSheetId="12">[1]SOEF!#REF!</definedName>
    <definedName name="bdivtq" localSheetId="14">[1]SOEF!#REF!</definedName>
    <definedName name="bdivtq">[1]SOEF!#REF!</definedName>
    <definedName name="bdivty" localSheetId="22">[1]SOEF!#REF!</definedName>
    <definedName name="bdivty" localSheetId="21">[1]SOEF!#REF!</definedName>
    <definedName name="bdivty" localSheetId="24">[1]SOEF!#REF!</definedName>
    <definedName name="bdivty" localSheetId="23">[1]SOEF!#REF!</definedName>
    <definedName name="bdivty" localSheetId="3">[1]SOEF!#REF!</definedName>
    <definedName name="bdivty" localSheetId="15">[1]SOEF!#REF!</definedName>
    <definedName name="bdivty" localSheetId="9">[1]SOEF!#REF!</definedName>
    <definedName name="bdivty" localSheetId="16">[1]SOEF!#REF!</definedName>
    <definedName name="bdivty" localSheetId="17">[1]SOEF!#REF!</definedName>
    <definedName name="bdivty" localSheetId="4">[1]SOEF!#REF!</definedName>
    <definedName name="bdivty" localSheetId="11">[1]SOEF!#REF!</definedName>
    <definedName name="bdivty" localSheetId="12">[1]SOEF!#REF!</definedName>
    <definedName name="bdivty" localSheetId="14">[1]SOEF!#REF!</definedName>
    <definedName name="bdivty">[1]SOEF!#REF!</definedName>
    <definedName name="brevtm" localSheetId="22">[1]SOEF!#REF!</definedName>
    <definedName name="brevtm" localSheetId="21">[1]SOEF!#REF!</definedName>
    <definedName name="brevtm" localSheetId="24">[1]SOEF!#REF!</definedName>
    <definedName name="brevtm" localSheetId="23">[1]SOEF!#REF!</definedName>
    <definedName name="brevtm" localSheetId="3">[1]SOEF!#REF!</definedName>
    <definedName name="brevtm" localSheetId="15">[1]SOEF!#REF!</definedName>
    <definedName name="brevtm" localSheetId="9">[1]SOEF!#REF!</definedName>
    <definedName name="brevtm" localSheetId="16">[1]SOEF!#REF!</definedName>
    <definedName name="brevtm" localSheetId="17">[1]SOEF!#REF!</definedName>
    <definedName name="brevtm" localSheetId="4">[1]SOEF!#REF!</definedName>
    <definedName name="brevtm" localSheetId="11">[1]SOEF!#REF!</definedName>
    <definedName name="brevtm" localSheetId="12">[1]SOEF!#REF!</definedName>
    <definedName name="brevtm" localSheetId="14">[1]SOEF!#REF!</definedName>
    <definedName name="brevtm">[1]SOEF!#REF!</definedName>
    <definedName name="brevtq" localSheetId="22">[1]SOEF!#REF!</definedName>
    <definedName name="brevtq" localSheetId="21">[1]SOEF!#REF!</definedName>
    <definedName name="brevtq" localSheetId="24">[1]SOEF!#REF!</definedName>
    <definedName name="brevtq" localSheetId="23">[1]SOEF!#REF!</definedName>
    <definedName name="brevtq" localSheetId="3">[1]SOEF!#REF!</definedName>
    <definedName name="brevtq" localSheetId="15">[1]SOEF!#REF!</definedName>
    <definedName name="brevtq" localSheetId="9">[1]SOEF!#REF!</definedName>
    <definedName name="brevtq" localSheetId="16">[1]SOEF!#REF!</definedName>
    <definedName name="brevtq" localSheetId="17">[1]SOEF!#REF!</definedName>
    <definedName name="brevtq" localSheetId="4">[1]SOEF!#REF!</definedName>
    <definedName name="brevtq" localSheetId="11">[1]SOEF!#REF!</definedName>
    <definedName name="brevtq" localSheetId="12">[1]SOEF!#REF!</definedName>
    <definedName name="brevtq" localSheetId="14">[1]SOEF!#REF!</definedName>
    <definedName name="brevtq">[1]SOEF!#REF!</definedName>
    <definedName name="brevty" localSheetId="22">[1]SOEF!#REF!</definedName>
    <definedName name="brevty" localSheetId="21">[1]SOEF!#REF!</definedName>
    <definedName name="brevty" localSheetId="24">[1]SOEF!#REF!</definedName>
    <definedName name="brevty" localSheetId="23">[1]SOEF!#REF!</definedName>
    <definedName name="brevty" localSheetId="3">[1]SOEF!#REF!</definedName>
    <definedName name="brevty" localSheetId="15">[1]SOEF!#REF!</definedName>
    <definedName name="brevty" localSheetId="9">[1]SOEF!#REF!</definedName>
    <definedName name="brevty" localSheetId="16">[1]SOEF!#REF!</definedName>
    <definedName name="brevty" localSheetId="17">[1]SOEF!#REF!</definedName>
    <definedName name="brevty" localSheetId="4">[1]SOEF!#REF!</definedName>
    <definedName name="brevty" localSheetId="11">[1]SOEF!#REF!</definedName>
    <definedName name="brevty" localSheetId="12">[1]SOEF!#REF!</definedName>
    <definedName name="brevty" localSheetId="14">[1]SOEF!#REF!</definedName>
    <definedName name="brevty">[1]SOEF!#REF!</definedName>
    <definedName name="customer_growth_eps_tq" localSheetId="22">#REF!</definedName>
    <definedName name="customer_growth_eps_tq" localSheetId="21">#REF!</definedName>
    <definedName name="customer_growth_eps_tq" localSheetId="24">#REF!</definedName>
    <definedName name="customer_growth_eps_tq" localSheetId="23">#REF!</definedName>
    <definedName name="customer_growth_eps_tq" localSheetId="15">#REF!</definedName>
    <definedName name="customer_growth_eps_tq" localSheetId="9">#REF!</definedName>
    <definedName name="customer_growth_eps_tq" localSheetId="16">#REF!</definedName>
    <definedName name="customer_growth_eps_tq" localSheetId="17">#REF!</definedName>
    <definedName name="customer_growth_eps_tq" localSheetId="4">#REF!</definedName>
    <definedName name="customer_growth_eps_tq" localSheetId="11">#REF!</definedName>
    <definedName name="customer_growth_eps_tq" localSheetId="12">#REF!</definedName>
    <definedName name="customer_growth_eps_tq" localSheetId="14">#REF!</definedName>
    <definedName name="customer_growth_eps_tq">#REF!</definedName>
    <definedName name="customer_growth_eps_ty" localSheetId="22">#REF!</definedName>
    <definedName name="customer_growth_eps_ty" localSheetId="21">#REF!</definedName>
    <definedName name="customer_growth_eps_ty" localSheetId="24">#REF!</definedName>
    <definedName name="customer_growth_eps_ty" localSheetId="23">#REF!</definedName>
    <definedName name="customer_growth_eps_ty" localSheetId="15">#REF!</definedName>
    <definedName name="customer_growth_eps_ty" localSheetId="9">#REF!</definedName>
    <definedName name="customer_growth_eps_ty" localSheetId="16">#REF!</definedName>
    <definedName name="customer_growth_eps_ty" localSheetId="17">#REF!</definedName>
    <definedName name="customer_growth_eps_ty" localSheetId="4">#REF!</definedName>
    <definedName name="customer_growth_eps_ty" localSheetId="11">#REF!</definedName>
    <definedName name="customer_growth_eps_ty" localSheetId="12">#REF!</definedName>
    <definedName name="customer_growth_eps_ty" localSheetId="14">#REF!</definedName>
    <definedName name="customer_growth_eps_ty">#REF!</definedName>
    <definedName name="customer_growth_tq" localSheetId="22">#REF!</definedName>
    <definedName name="customer_growth_tq" localSheetId="21">#REF!</definedName>
    <definedName name="customer_growth_tq" localSheetId="24">#REF!</definedName>
    <definedName name="customer_growth_tq" localSheetId="23">#REF!</definedName>
    <definedName name="customer_growth_tq" localSheetId="15">#REF!</definedName>
    <definedName name="customer_growth_tq" localSheetId="9">#REF!</definedName>
    <definedName name="customer_growth_tq" localSheetId="16">#REF!</definedName>
    <definedName name="customer_growth_tq" localSheetId="17">#REF!</definedName>
    <definedName name="customer_growth_tq" localSheetId="4">#REF!</definedName>
    <definedName name="customer_growth_tq" localSheetId="11">#REF!</definedName>
    <definedName name="customer_growth_tq" localSheetId="12">#REF!</definedName>
    <definedName name="customer_growth_tq" localSheetId="14">#REF!</definedName>
    <definedName name="customer_growth_tq">#REF!</definedName>
    <definedName name="DEPREC" localSheetId="22">#REF!</definedName>
    <definedName name="DEPREC" localSheetId="21">#REF!</definedName>
    <definedName name="DEPREC" localSheetId="15">#REF!</definedName>
    <definedName name="DEPREC" localSheetId="9">#REF!</definedName>
    <definedName name="DEPREC" localSheetId="16">#REF!</definedName>
    <definedName name="DEPREC" localSheetId="17">#REF!</definedName>
    <definedName name="DEPREC" localSheetId="11">#REF!</definedName>
    <definedName name="DEPREC" localSheetId="12">#REF!</definedName>
    <definedName name="DEPREC" localSheetId="14">#REF!</definedName>
    <definedName name="DEPREC">#REF!</definedName>
    <definedName name="deprec_eps_ty" localSheetId="22">#REF!</definedName>
    <definedName name="deprec_eps_ty" localSheetId="21">#REF!</definedName>
    <definedName name="deprec_eps_ty" localSheetId="24">#REF!</definedName>
    <definedName name="deprec_eps_ty" localSheetId="23">#REF!</definedName>
    <definedName name="deprec_eps_ty" localSheetId="3">#REF!</definedName>
    <definedName name="deprec_eps_ty" localSheetId="15">#REF!</definedName>
    <definedName name="deprec_eps_ty" localSheetId="9">#REF!</definedName>
    <definedName name="deprec_eps_ty" localSheetId="16">#REF!</definedName>
    <definedName name="deprec_eps_ty" localSheetId="17">#REF!</definedName>
    <definedName name="deprec_eps_ty" localSheetId="4">#REF!</definedName>
    <definedName name="deprec_eps_ty" localSheetId="11">#REF!</definedName>
    <definedName name="deprec_eps_ty" localSheetId="12">#REF!</definedName>
    <definedName name="deprec_eps_ty" localSheetId="14">#REF!</definedName>
    <definedName name="deprec_eps_ty">#REF!</definedName>
    <definedName name="deprec_tq" localSheetId="22">#REF!</definedName>
    <definedName name="deprec_tq" localSheetId="21">#REF!</definedName>
    <definedName name="deprec_tq" localSheetId="24">#REF!</definedName>
    <definedName name="deprec_tq" localSheetId="23">#REF!</definedName>
    <definedName name="deprec_tq" localSheetId="3">#REF!</definedName>
    <definedName name="deprec_tq" localSheetId="15">#REF!</definedName>
    <definedName name="deprec_tq" localSheetId="9">#REF!</definedName>
    <definedName name="deprec_tq" localSheetId="16">#REF!</definedName>
    <definedName name="deprec_tq" localSheetId="17">#REF!</definedName>
    <definedName name="deprec_tq" localSheetId="4">#REF!</definedName>
    <definedName name="deprec_tq" localSheetId="11">#REF!</definedName>
    <definedName name="deprec_tq" localSheetId="12">#REF!</definedName>
    <definedName name="deprec_tq" localSheetId="14">#REF!</definedName>
    <definedName name="deprec_tq">#REF!</definedName>
    <definedName name="deprec_ty" localSheetId="22">#REF!</definedName>
    <definedName name="deprec_ty" localSheetId="21">#REF!</definedName>
    <definedName name="deprec_ty" localSheetId="24">#REF!</definedName>
    <definedName name="deprec_ty" localSheetId="23">#REF!</definedName>
    <definedName name="deprec_ty" localSheetId="3">#REF!</definedName>
    <definedName name="deprec_ty" localSheetId="15">#REF!</definedName>
    <definedName name="deprec_ty" localSheetId="9">#REF!</definedName>
    <definedName name="deprec_ty" localSheetId="16">#REF!</definedName>
    <definedName name="deprec_ty" localSheetId="17">#REF!</definedName>
    <definedName name="deprec_ty" localSheetId="4">#REF!</definedName>
    <definedName name="deprec_ty" localSheetId="11">#REF!</definedName>
    <definedName name="deprec_ty" localSheetId="12">#REF!</definedName>
    <definedName name="deprec_ty" localSheetId="14">#REF!</definedName>
    <definedName name="deprec_ty">#REF!</definedName>
    <definedName name="DRI_Mnemonics" localSheetId="22">#REF!</definedName>
    <definedName name="DRI_Mnemonics" localSheetId="21">#REF!</definedName>
    <definedName name="DRI_Mnemonics" localSheetId="24">#REF!</definedName>
    <definedName name="DRI_Mnemonics" localSheetId="23">#REF!</definedName>
    <definedName name="DRI_Mnemonics" localSheetId="15">#REF!</definedName>
    <definedName name="DRI_Mnemonics" localSheetId="9">#REF!</definedName>
    <definedName name="DRI_Mnemonics" localSheetId="16">#REF!</definedName>
    <definedName name="DRI_Mnemonics" localSheetId="17">#REF!</definedName>
    <definedName name="DRI_Mnemonics" localSheetId="4">#REF!</definedName>
    <definedName name="DRI_Mnemonics" localSheetId="11">#REF!</definedName>
    <definedName name="DRI_Mnemonics" localSheetId="12">#REF!</definedName>
    <definedName name="DRI_Mnemonics" localSheetId="14">#REF!</definedName>
    <definedName name="DRI_Mnemonics">#REF!</definedName>
    <definedName name="esi_eps_tq" localSheetId="22">#REF!</definedName>
    <definedName name="esi_eps_tq" localSheetId="21">#REF!</definedName>
    <definedName name="esi_eps_tq" localSheetId="24">#REF!</definedName>
    <definedName name="esi_eps_tq" localSheetId="23">#REF!</definedName>
    <definedName name="esi_eps_tq" localSheetId="3">#REF!</definedName>
    <definedName name="esi_eps_tq" localSheetId="15">#REF!</definedName>
    <definedName name="esi_eps_tq" localSheetId="9">#REF!</definedName>
    <definedName name="esi_eps_tq" localSheetId="16">#REF!</definedName>
    <definedName name="esi_eps_tq" localSheetId="17">#REF!</definedName>
    <definedName name="esi_eps_tq" localSheetId="4">#REF!</definedName>
    <definedName name="esi_eps_tq" localSheetId="11">#REF!</definedName>
    <definedName name="esi_eps_tq" localSheetId="12">#REF!</definedName>
    <definedName name="esi_eps_tq" localSheetId="14">#REF!</definedName>
    <definedName name="esi_eps_tq">#REF!</definedName>
    <definedName name="esi_eps_ty" localSheetId="22">#REF!</definedName>
    <definedName name="esi_eps_ty" localSheetId="21">#REF!</definedName>
    <definedName name="esi_eps_ty" localSheetId="24">#REF!</definedName>
    <definedName name="esi_eps_ty" localSheetId="23">#REF!</definedName>
    <definedName name="esi_eps_ty" localSheetId="3">#REF!</definedName>
    <definedName name="esi_eps_ty" localSheetId="15">#REF!</definedName>
    <definedName name="esi_eps_ty" localSheetId="9">#REF!</definedName>
    <definedName name="esi_eps_ty" localSheetId="16">#REF!</definedName>
    <definedName name="esi_eps_ty" localSheetId="17">#REF!</definedName>
    <definedName name="esi_eps_ty" localSheetId="4">#REF!</definedName>
    <definedName name="esi_eps_ty" localSheetId="11">#REF!</definedName>
    <definedName name="esi_eps_ty" localSheetId="12">#REF!</definedName>
    <definedName name="esi_eps_ty" localSheetId="14">#REF!</definedName>
    <definedName name="esi_eps_ty">#REF!</definedName>
    <definedName name="esi_tq" localSheetId="22">#REF!</definedName>
    <definedName name="esi_tq" localSheetId="21">#REF!</definedName>
    <definedName name="esi_tq" localSheetId="24">#REF!</definedName>
    <definedName name="esi_tq" localSheetId="23">#REF!</definedName>
    <definedName name="esi_tq" localSheetId="3">#REF!</definedName>
    <definedName name="esi_tq" localSheetId="15">#REF!</definedName>
    <definedName name="esi_tq" localSheetId="9">#REF!</definedName>
    <definedName name="esi_tq" localSheetId="16">#REF!</definedName>
    <definedName name="esi_tq" localSheetId="17">#REF!</definedName>
    <definedName name="esi_tq" localSheetId="4">#REF!</definedName>
    <definedName name="esi_tq" localSheetId="11">#REF!</definedName>
    <definedName name="esi_tq" localSheetId="12">#REF!</definedName>
    <definedName name="esi_tq" localSheetId="14">#REF!</definedName>
    <definedName name="esi_tq">#REF!</definedName>
    <definedName name="esi_ty" localSheetId="22">#REF!</definedName>
    <definedName name="esi_ty" localSheetId="21">#REF!</definedName>
    <definedName name="esi_ty" localSheetId="24">#REF!</definedName>
    <definedName name="esi_ty" localSheetId="23">#REF!</definedName>
    <definedName name="esi_ty" localSheetId="3">#REF!</definedName>
    <definedName name="esi_ty" localSheetId="15">#REF!</definedName>
    <definedName name="esi_ty" localSheetId="9">#REF!</definedName>
    <definedName name="esi_ty" localSheetId="16">#REF!</definedName>
    <definedName name="esi_ty" localSheetId="17">#REF!</definedName>
    <definedName name="esi_ty" localSheetId="4">#REF!</definedName>
    <definedName name="esi_ty" localSheetId="11">#REF!</definedName>
    <definedName name="esi_ty" localSheetId="12">#REF!</definedName>
    <definedName name="esi_ty" localSheetId="14">#REF!</definedName>
    <definedName name="esi_ty">#REF!</definedName>
    <definedName name="esop_eps_ty" localSheetId="22">#REF!</definedName>
    <definedName name="esop_eps_ty" localSheetId="21">#REF!</definedName>
    <definedName name="esop_eps_ty" localSheetId="24">#REF!</definedName>
    <definedName name="esop_eps_ty" localSheetId="23">#REF!</definedName>
    <definedName name="esop_eps_ty" localSheetId="3">#REF!</definedName>
    <definedName name="esop_eps_ty" localSheetId="15">#REF!</definedName>
    <definedName name="esop_eps_ty" localSheetId="9">#REF!</definedName>
    <definedName name="esop_eps_ty" localSheetId="16">#REF!</definedName>
    <definedName name="esop_eps_ty" localSheetId="17">#REF!</definedName>
    <definedName name="esop_eps_ty" localSheetId="4">#REF!</definedName>
    <definedName name="esop_eps_ty" localSheetId="11">#REF!</definedName>
    <definedName name="esop_eps_ty" localSheetId="12">#REF!</definedName>
    <definedName name="esop_eps_ty" localSheetId="14">#REF!</definedName>
    <definedName name="esop_eps_ty">#REF!</definedName>
    <definedName name="esop_ty" localSheetId="22">#REF!</definedName>
    <definedName name="esop_ty" localSheetId="21">#REF!</definedName>
    <definedName name="esop_ty" localSheetId="24">#REF!</definedName>
    <definedName name="esop_ty" localSheetId="23">#REF!</definedName>
    <definedName name="esop_ty" localSheetId="3">#REF!</definedName>
    <definedName name="esop_ty" localSheetId="15">#REF!</definedName>
    <definedName name="esop_ty" localSheetId="9">#REF!</definedName>
    <definedName name="esop_ty" localSheetId="16">#REF!</definedName>
    <definedName name="esop_ty" localSheetId="17">#REF!</definedName>
    <definedName name="esop_ty" localSheetId="4">#REF!</definedName>
    <definedName name="esop_ty" localSheetId="11">#REF!</definedName>
    <definedName name="esop_ty" localSheetId="12">#REF!</definedName>
    <definedName name="esop_ty" localSheetId="14">#REF!</definedName>
    <definedName name="esop_ty">#REF!</definedName>
    <definedName name="grpcons_eps_lq" localSheetId="22">#REF!</definedName>
    <definedName name="grpcons_eps_lq" localSheetId="21">#REF!</definedName>
    <definedName name="grpcons_eps_lq" localSheetId="24">#REF!</definedName>
    <definedName name="grpcons_eps_lq" localSheetId="23">#REF!</definedName>
    <definedName name="grpcons_eps_lq" localSheetId="15">#REF!</definedName>
    <definedName name="grpcons_eps_lq" localSheetId="9">#REF!</definedName>
    <definedName name="grpcons_eps_lq" localSheetId="16">#REF!</definedName>
    <definedName name="grpcons_eps_lq" localSheetId="17">#REF!</definedName>
    <definedName name="grpcons_eps_lq" localSheetId="4">#REF!</definedName>
    <definedName name="grpcons_eps_lq" localSheetId="11">#REF!</definedName>
    <definedName name="grpcons_eps_lq" localSheetId="12">#REF!</definedName>
    <definedName name="grpcons_eps_lq" localSheetId="14">#REF!</definedName>
    <definedName name="grpcons_eps_lq">#REF!</definedName>
    <definedName name="grpcons_eps_ty" localSheetId="22">#REF!</definedName>
    <definedName name="grpcons_eps_ty" localSheetId="21">#REF!</definedName>
    <definedName name="grpcons_eps_ty" localSheetId="24">#REF!</definedName>
    <definedName name="grpcons_eps_ty" localSheetId="23">#REF!</definedName>
    <definedName name="grpcons_eps_ty" localSheetId="15">#REF!</definedName>
    <definedName name="grpcons_eps_ty" localSheetId="9">#REF!</definedName>
    <definedName name="grpcons_eps_ty" localSheetId="16">#REF!</definedName>
    <definedName name="grpcons_eps_ty" localSheetId="17">#REF!</definedName>
    <definedName name="grpcons_eps_ty" localSheetId="4">#REF!</definedName>
    <definedName name="grpcons_eps_ty" localSheetId="11">#REF!</definedName>
    <definedName name="grpcons_eps_ty" localSheetId="12">#REF!</definedName>
    <definedName name="grpcons_eps_ty" localSheetId="14">#REF!</definedName>
    <definedName name="grpcons_eps_ty">#REF!</definedName>
    <definedName name="grpcons_ni_lq" localSheetId="22">#REF!</definedName>
    <definedName name="grpcons_ni_lq" localSheetId="21">#REF!</definedName>
    <definedName name="grpcons_ni_lq" localSheetId="24">#REF!</definedName>
    <definedName name="grpcons_ni_lq" localSheetId="23">#REF!</definedName>
    <definedName name="grpcons_ni_lq" localSheetId="15">#REF!</definedName>
    <definedName name="grpcons_ni_lq" localSheetId="9">#REF!</definedName>
    <definedName name="grpcons_ni_lq" localSheetId="16">#REF!</definedName>
    <definedName name="grpcons_ni_lq" localSheetId="17">#REF!</definedName>
    <definedName name="grpcons_ni_lq" localSheetId="4">#REF!</definedName>
    <definedName name="grpcons_ni_lq" localSheetId="11">#REF!</definedName>
    <definedName name="grpcons_ni_lq" localSheetId="12">#REF!</definedName>
    <definedName name="grpcons_ni_lq" localSheetId="14">#REF!</definedName>
    <definedName name="grpcons_ni_lq">#REF!</definedName>
    <definedName name="grpcons_ni_ly" localSheetId="22">#REF!</definedName>
    <definedName name="grpcons_ni_ly" localSheetId="21">#REF!</definedName>
    <definedName name="grpcons_ni_ly" localSheetId="24">#REF!</definedName>
    <definedName name="grpcons_ni_ly" localSheetId="23">#REF!</definedName>
    <definedName name="grpcons_ni_ly" localSheetId="15">#REF!</definedName>
    <definedName name="grpcons_ni_ly" localSheetId="9">#REF!</definedName>
    <definedName name="grpcons_ni_ly" localSheetId="16">#REF!</definedName>
    <definedName name="grpcons_ni_ly" localSheetId="17">#REF!</definedName>
    <definedName name="grpcons_ni_ly" localSheetId="4">#REF!</definedName>
    <definedName name="grpcons_ni_ly" localSheetId="11">#REF!</definedName>
    <definedName name="grpcons_ni_ly" localSheetId="12">#REF!</definedName>
    <definedName name="grpcons_ni_ly" localSheetId="14">#REF!</definedName>
    <definedName name="grpcons_ni_ly">#REF!</definedName>
    <definedName name="grpcons_ni_ty" localSheetId="22">#REF!</definedName>
    <definedName name="grpcons_ni_ty" localSheetId="21">#REF!</definedName>
    <definedName name="grpcons_ni_ty" localSheetId="24">#REF!</definedName>
    <definedName name="grpcons_ni_ty" localSheetId="23">#REF!</definedName>
    <definedName name="grpcons_ni_ty" localSheetId="15">#REF!</definedName>
    <definedName name="grpcons_ni_ty" localSheetId="9">#REF!</definedName>
    <definedName name="grpcons_ni_ty" localSheetId="16">#REF!</definedName>
    <definedName name="grpcons_ni_ty" localSheetId="17">#REF!</definedName>
    <definedName name="grpcons_ni_ty" localSheetId="4">#REF!</definedName>
    <definedName name="grpcons_ni_ty" localSheetId="11">#REF!</definedName>
    <definedName name="grpcons_ni_ty" localSheetId="12">#REF!</definedName>
    <definedName name="grpcons_ni_ty" localSheetId="14">#REF!</definedName>
    <definedName name="grpcons_ni_ty">#REF!</definedName>
    <definedName name="interest_eps_tq" localSheetId="22">#REF!</definedName>
    <definedName name="interest_eps_tq" localSheetId="21">#REF!</definedName>
    <definedName name="interest_eps_tq" localSheetId="24">#REF!</definedName>
    <definedName name="interest_eps_tq" localSheetId="23">#REF!</definedName>
    <definedName name="interest_eps_tq" localSheetId="15">#REF!</definedName>
    <definedName name="interest_eps_tq" localSheetId="9">#REF!</definedName>
    <definedName name="interest_eps_tq" localSheetId="16">#REF!</definedName>
    <definedName name="interest_eps_tq" localSheetId="17">#REF!</definedName>
    <definedName name="interest_eps_tq" localSheetId="4">#REF!</definedName>
    <definedName name="interest_eps_tq" localSheetId="11">#REF!</definedName>
    <definedName name="interest_eps_tq" localSheetId="12">#REF!</definedName>
    <definedName name="interest_eps_tq" localSheetId="14">#REF!</definedName>
    <definedName name="interest_eps_tq">#REF!</definedName>
    <definedName name="interest_eps_ty" localSheetId="22">#REF!</definedName>
    <definedName name="interest_eps_ty" localSheetId="21">#REF!</definedName>
    <definedName name="interest_eps_ty" localSheetId="24">#REF!</definedName>
    <definedName name="interest_eps_ty" localSheetId="23">#REF!</definedName>
    <definedName name="interest_eps_ty" localSheetId="15">#REF!</definedName>
    <definedName name="interest_eps_ty" localSheetId="9">#REF!</definedName>
    <definedName name="interest_eps_ty" localSheetId="16">#REF!</definedName>
    <definedName name="interest_eps_ty" localSheetId="17">#REF!</definedName>
    <definedName name="interest_eps_ty" localSheetId="4">#REF!</definedName>
    <definedName name="interest_eps_ty" localSheetId="11">#REF!</definedName>
    <definedName name="interest_eps_ty" localSheetId="12">#REF!</definedName>
    <definedName name="interest_eps_ty" localSheetId="14">#REF!</definedName>
    <definedName name="interest_eps_ty">#REF!</definedName>
    <definedName name="interest_tq" localSheetId="22">#REF!</definedName>
    <definedName name="interest_tq" localSheetId="21">#REF!</definedName>
    <definedName name="interest_tq" localSheetId="24">#REF!</definedName>
    <definedName name="interest_tq" localSheetId="23">#REF!</definedName>
    <definedName name="interest_tq" localSheetId="15">#REF!</definedName>
    <definedName name="interest_tq" localSheetId="9">#REF!</definedName>
    <definedName name="interest_tq" localSheetId="16">#REF!</definedName>
    <definedName name="interest_tq" localSheetId="17">#REF!</definedName>
    <definedName name="interest_tq" localSheetId="4">#REF!</definedName>
    <definedName name="interest_tq" localSheetId="11">#REF!</definedName>
    <definedName name="interest_tq" localSheetId="12">#REF!</definedName>
    <definedName name="interest_tq" localSheetId="14">#REF!</definedName>
    <definedName name="interest_tq">#REF!</definedName>
    <definedName name="interest_ty" localSheetId="22">#REF!</definedName>
    <definedName name="interest_ty" localSheetId="21">#REF!</definedName>
    <definedName name="interest_ty" localSheetId="24">#REF!</definedName>
    <definedName name="interest_ty" localSheetId="23">#REF!</definedName>
    <definedName name="interest_ty" localSheetId="15">#REF!</definedName>
    <definedName name="interest_ty" localSheetId="9">#REF!</definedName>
    <definedName name="interest_ty" localSheetId="16">#REF!</definedName>
    <definedName name="interest_ty" localSheetId="17">#REF!</definedName>
    <definedName name="interest_ty" localSheetId="4">#REF!</definedName>
    <definedName name="interest_ty" localSheetId="11">#REF!</definedName>
    <definedName name="interest_ty" localSheetId="12">#REF!</definedName>
    <definedName name="interest_ty" localSheetId="14">#REF!</definedName>
    <definedName name="interest_ty">#REF!</definedName>
    <definedName name="Name" localSheetId="22">'[2]Weekly NEL Report'!#REF!</definedName>
    <definedName name="Name" localSheetId="21">'[2]Weekly NEL Report'!#REF!</definedName>
    <definedName name="Name" localSheetId="24">'[2]Weekly NEL Report'!#REF!</definedName>
    <definedName name="Name" localSheetId="23">'[2]Weekly NEL Report'!#REF!</definedName>
    <definedName name="Name" localSheetId="3">'[2]Weekly NEL Report'!#REF!</definedName>
    <definedName name="Name" localSheetId="15">'[2]Weekly NEL Report'!#REF!</definedName>
    <definedName name="Name" localSheetId="9">'[2]Weekly NEL Report'!#REF!</definedName>
    <definedName name="Name" localSheetId="16">'[2]Weekly NEL Report'!#REF!</definedName>
    <definedName name="Name" localSheetId="17">'[2]Weekly NEL Report'!#REF!</definedName>
    <definedName name="Name" localSheetId="4">'[2]Weekly NEL Report'!#REF!</definedName>
    <definedName name="Name" localSheetId="11">'[2]Weekly NEL Report'!#REF!</definedName>
    <definedName name="Name" localSheetId="12">'[2]Weekly NEL Report'!#REF!</definedName>
    <definedName name="Name" localSheetId="14">'[2]Weekly NEL Report'!#REF!</definedName>
    <definedName name="Name">'[2]Weekly NEL Report'!#REF!</definedName>
    <definedName name="Pal_Workbook_GUID" hidden="1">"8JHMH9DXSMHNF44G668W66ZD"</definedName>
    <definedName name="_xlnm.Print_Area" localSheetId="26" xml:space="preserve"> 'Feb_SAP_impact '!$B$2:$L$53</definedName>
    <definedName name="_xlnm.Print_Area" localSheetId="25" xml:space="preserve"> Jan_SAP_impact!$B$2:$L$52</definedName>
    <definedName name="_xlnm.Print_Area" localSheetId="22">#REF!</definedName>
    <definedName name="_xlnm.Print_Area" localSheetId="21" xml:space="preserve"> 'JUNE_SAP_impact '!$B$2:$L$52</definedName>
    <definedName name="_xlnm.Print_Area" localSheetId="27" xml:space="preserve"> Mar_SAP_impact!$B$2:$L$52</definedName>
    <definedName name="_xlnm.Print_Area" localSheetId="24">#REF!</definedName>
    <definedName name="_xlnm.Print_Area" localSheetId="23" xml:space="preserve"> 'MAY_SAP_impact '!$B$2:$L$52</definedName>
    <definedName name="_xlnm.Print_Area" localSheetId="3">'P6 Summary Plan Forecast_April'!$A$2:$G$61</definedName>
    <definedName name="_xlnm.Print_Area" localSheetId="15">'P6 Summary Plan Forecast_Aug'!$A$2:$G$61</definedName>
    <definedName name="_xlnm.Print_Area" localSheetId="9">'P6 Summary Plan Forecast_Dec'!$A$2:$G$61</definedName>
    <definedName name="_xlnm.Print_Area" localSheetId="1">'P6 Summary Plan Forecast_Feb'!$A$2:$G$61</definedName>
    <definedName name="_xlnm.Print_Area" localSheetId="0">'P6 Summary Plan Forecast_Jan'!$A$2:$G$61</definedName>
    <definedName name="_xlnm.Print_Area" localSheetId="16">'P6 Summary Plan Forecast_July'!$A$2:$G$61</definedName>
    <definedName name="_xlnm.Print_Area" localSheetId="17">'P6 Summary Plan Forecast_June'!$A$2:$G$61</definedName>
    <definedName name="_xlnm.Print_Area" localSheetId="2">'P6 Summary Plan Forecast_Mar'!$A$2:$G$61</definedName>
    <definedName name="_xlnm.Print_Area" localSheetId="4">'P6 Summary Plan Forecast_May'!$A$2:$G$61</definedName>
    <definedName name="_xlnm.Print_Area" localSheetId="11">'P6 Summary Plan Forecast_Nov'!$A$2:$G$61</definedName>
    <definedName name="_xlnm.Print_Area" localSheetId="12">'P6 Summary Plan Forecast_Oct'!$A$2:$G$61</definedName>
    <definedName name="_xlnm.Print_Area" localSheetId="14">'P6 Summary Plan Forecast_Sep'!$A$2:$G$61</definedName>
    <definedName name="_xlnm.Print_Area" localSheetId="18">'Summary Plan Retail Delivered'!$A$2:$G$73</definedName>
    <definedName name="_xlnm.Print_Area">#REF!</definedName>
    <definedName name="_xlnm.Print_Titles" localSheetId="8">April_Prices!$2:$3</definedName>
    <definedName name="_xlnm.Print_Titles" localSheetId="6">Feb_Prices!$2:$3</definedName>
    <definedName name="_xlnm.Print_Titles" localSheetId="5">Jan_prices!$2:$3</definedName>
    <definedName name="_xlnm.Print_Titles" localSheetId="13">June_Prices!$2:$3</definedName>
    <definedName name="_xlnm.Print_Titles" localSheetId="7">Mar_Prices!$2:$3</definedName>
    <definedName name="_xlnm.Print_Titles" localSheetId="10">May_Prices!$2:$3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lina_eps_tq" localSheetId="22">#REF!</definedName>
    <definedName name="salina_eps_tq" localSheetId="21">#REF!</definedName>
    <definedName name="salina_eps_tq" localSheetId="24">#REF!</definedName>
    <definedName name="salina_eps_tq" localSheetId="23">#REF!</definedName>
    <definedName name="salina_eps_tq" localSheetId="3">#REF!</definedName>
    <definedName name="salina_eps_tq" localSheetId="15">#REF!</definedName>
    <definedName name="salina_eps_tq" localSheetId="9">#REF!</definedName>
    <definedName name="salina_eps_tq" localSheetId="16">#REF!</definedName>
    <definedName name="salina_eps_tq" localSheetId="17">#REF!</definedName>
    <definedName name="salina_eps_tq" localSheetId="4">#REF!</definedName>
    <definedName name="salina_eps_tq" localSheetId="11">#REF!</definedName>
    <definedName name="salina_eps_tq" localSheetId="12">#REF!</definedName>
    <definedName name="salina_eps_tq" localSheetId="14">#REF!</definedName>
    <definedName name="salina_eps_tq">#REF!</definedName>
    <definedName name="salina_eps_ty" localSheetId="22">#REF!</definedName>
    <definedName name="salina_eps_ty" localSheetId="21">#REF!</definedName>
    <definedName name="salina_eps_ty" localSheetId="24">#REF!</definedName>
    <definedName name="salina_eps_ty" localSheetId="23">#REF!</definedName>
    <definedName name="salina_eps_ty" localSheetId="3">#REF!</definedName>
    <definedName name="salina_eps_ty" localSheetId="15">#REF!</definedName>
    <definedName name="salina_eps_ty" localSheetId="9">#REF!</definedName>
    <definedName name="salina_eps_ty" localSheetId="16">#REF!</definedName>
    <definedName name="salina_eps_ty" localSheetId="17">#REF!</definedName>
    <definedName name="salina_eps_ty" localSheetId="4">#REF!</definedName>
    <definedName name="salina_eps_ty" localSheetId="11">#REF!</definedName>
    <definedName name="salina_eps_ty" localSheetId="12">#REF!</definedName>
    <definedName name="salina_eps_ty" localSheetId="14">#REF!</definedName>
    <definedName name="salina_eps_ty">#REF!</definedName>
    <definedName name="salina_ty" localSheetId="22">#REF!</definedName>
    <definedName name="salina_ty" localSheetId="21">#REF!</definedName>
    <definedName name="salina_ty" localSheetId="24">#REF!</definedName>
    <definedName name="salina_ty" localSheetId="23">#REF!</definedName>
    <definedName name="salina_ty" localSheetId="3">#REF!</definedName>
    <definedName name="salina_ty" localSheetId="15">#REF!</definedName>
    <definedName name="salina_ty" localSheetId="9">#REF!</definedName>
    <definedName name="salina_ty" localSheetId="16">#REF!</definedName>
    <definedName name="salina_ty" localSheetId="17">#REF!</definedName>
    <definedName name="salina_ty" localSheetId="4">#REF!</definedName>
    <definedName name="salina_ty" localSheetId="11">#REF!</definedName>
    <definedName name="salina_ty" localSheetId="12">#REF!</definedName>
    <definedName name="salina_ty" localSheetId="14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localSheetId="8" hidden="1">"45KRE701OS5YK8SRD5HUOA2UP"</definedName>
    <definedName name="SAPBEXwbID" localSheetId="6" hidden="1">"45KRE701OS5YK8SRD5HUOA2UP"</definedName>
    <definedName name="SAPBEXwbID" localSheetId="5" hidden="1">"45KRE701OS5YK8SRD5HUOA2UP"</definedName>
    <definedName name="SAPBEXwbID" localSheetId="13" hidden="1">"45KRE701OS5YK8SRD5HUOA2UP"</definedName>
    <definedName name="SAPBEXwbID" localSheetId="7" hidden="1">"45KRE701OS5YK8SRD5HUOA2UP"</definedName>
    <definedName name="SAPBEXwbID" localSheetId="10" hidden="1">"45KRE701OS5YK8SRD5HUOA2UP"</definedName>
    <definedName name="SAPBEXwbID" localSheetId="3" hidden="1">"18THRORSL8S246S049LDK80VK"</definedName>
    <definedName name="SAPBEXwbID" localSheetId="15" hidden="1">"18THRORSL8S246S049LDK80VK"</definedName>
    <definedName name="SAPBEXwbID" localSheetId="9" hidden="1">"18THRORSL8S246S049LDK80VK"</definedName>
    <definedName name="SAPBEXwbID" localSheetId="1" hidden="1">"18THRORSL8S246S049LDK80VK"</definedName>
    <definedName name="SAPBEXwbID" localSheetId="0" hidden="1">"18THRORSL8S246S049LDK80VK"</definedName>
    <definedName name="SAPBEXwbID" localSheetId="16" hidden="1">"18THRORSL8S246S049LDK80VK"</definedName>
    <definedName name="SAPBEXwbID" localSheetId="17" hidden="1">"18THRORSL8S246S049LDK80VK"</definedName>
    <definedName name="SAPBEXwbID" localSheetId="2" hidden="1">"18THRORSL8S246S049LDK80VK"</definedName>
    <definedName name="SAPBEXwbID" localSheetId="4" hidden="1">"18THRORSL8S246S049LDK80VK"</definedName>
    <definedName name="SAPBEXwbID" localSheetId="11" hidden="1">"18THRORSL8S246S049LDK80VK"</definedName>
    <definedName name="SAPBEXwbID" localSheetId="12" hidden="1">"18THRORSL8S246S049LDK80VK"</definedName>
    <definedName name="SAPBEXwbID" localSheetId="14" hidden="1">"18THRORSL8S246S049LDK80VK"</definedName>
    <definedName name="SAPBEXwbID" hidden="1">"3VOBL88ZUH0TJHQP6RXNFLORZ"</definedName>
    <definedName name="share_dilution_tq" localSheetId="22">#REF!</definedName>
    <definedName name="share_dilution_tq" localSheetId="21">#REF!</definedName>
    <definedName name="share_dilution_tq" localSheetId="24">#REF!</definedName>
    <definedName name="share_dilution_tq" localSheetId="23">#REF!</definedName>
    <definedName name="share_dilution_tq" localSheetId="3">#REF!</definedName>
    <definedName name="share_dilution_tq" localSheetId="15">#REF!</definedName>
    <definedName name="share_dilution_tq" localSheetId="9">#REF!</definedName>
    <definedName name="share_dilution_tq" localSheetId="16">#REF!</definedName>
    <definedName name="share_dilution_tq" localSheetId="17">#REF!</definedName>
    <definedName name="share_dilution_tq" localSheetId="4">#REF!</definedName>
    <definedName name="share_dilution_tq" localSheetId="11">#REF!</definedName>
    <definedName name="share_dilution_tq" localSheetId="12">#REF!</definedName>
    <definedName name="share_dilution_tq" localSheetId="14">#REF!</definedName>
    <definedName name="share_dilution_tq">#REF!</definedName>
    <definedName name="share_dilution_ty" localSheetId="22">#REF!</definedName>
    <definedName name="share_dilution_ty" localSheetId="21">#REF!</definedName>
    <definedName name="share_dilution_ty" localSheetId="24">#REF!</definedName>
    <definedName name="share_dilution_ty" localSheetId="23">#REF!</definedName>
    <definedName name="share_dilution_ty" localSheetId="3">#REF!</definedName>
    <definedName name="share_dilution_ty" localSheetId="15">#REF!</definedName>
    <definedName name="share_dilution_ty" localSheetId="9">#REF!</definedName>
    <definedName name="share_dilution_ty" localSheetId="16">#REF!</definedName>
    <definedName name="share_dilution_ty" localSheetId="17">#REF!</definedName>
    <definedName name="share_dilution_ty" localSheetId="4">#REF!</definedName>
    <definedName name="share_dilution_ty" localSheetId="11">#REF!</definedName>
    <definedName name="share_dilution_ty" localSheetId="12">#REF!</definedName>
    <definedName name="share_dilution_ty" localSheetId="14">#REF!</definedName>
    <definedName name="share_dilution_ty">#REF!</definedName>
    <definedName name="subtotal_non_utility_eps_tq" localSheetId="22">#REF!</definedName>
    <definedName name="subtotal_non_utility_eps_tq" localSheetId="21">#REF!</definedName>
    <definedName name="subtotal_non_utility_eps_tq" localSheetId="24">#REF!</definedName>
    <definedName name="subtotal_non_utility_eps_tq" localSheetId="23">#REF!</definedName>
    <definedName name="subtotal_non_utility_eps_tq" localSheetId="15">#REF!</definedName>
    <definedName name="subtotal_non_utility_eps_tq" localSheetId="9">#REF!</definedName>
    <definedName name="subtotal_non_utility_eps_tq" localSheetId="16">#REF!</definedName>
    <definedName name="subtotal_non_utility_eps_tq" localSheetId="17">#REF!</definedName>
    <definedName name="subtotal_non_utility_eps_tq" localSheetId="4">#REF!</definedName>
    <definedName name="subtotal_non_utility_eps_tq" localSheetId="11">#REF!</definedName>
    <definedName name="subtotal_non_utility_eps_tq" localSheetId="12">#REF!</definedName>
    <definedName name="subtotal_non_utility_eps_tq" localSheetId="14">#REF!</definedName>
    <definedName name="subtotal_non_utility_eps_tq">#REF!</definedName>
    <definedName name="subtotal_non_utility_eps_ty" localSheetId="22">#REF!</definedName>
    <definedName name="subtotal_non_utility_eps_ty" localSheetId="21">#REF!</definedName>
    <definedName name="subtotal_non_utility_eps_ty" localSheetId="24">#REF!</definedName>
    <definedName name="subtotal_non_utility_eps_ty" localSheetId="23">#REF!</definedName>
    <definedName name="subtotal_non_utility_eps_ty" localSheetId="15">#REF!</definedName>
    <definedName name="subtotal_non_utility_eps_ty" localSheetId="9">#REF!</definedName>
    <definedName name="subtotal_non_utility_eps_ty" localSheetId="16">#REF!</definedName>
    <definedName name="subtotal_non_utility_eps_ty" localSheetId="17">#REF!</definedName>
    <definedName name="subtotal_non_utility_eps_ty" localSheetId="4">#REF!</definedName>
    <definedName name="subtotal_non_utility_eps_ty" localSheetId="11">#REF!</definedName>
    <definedName name="subtotal_non_utility_eps_ty" localSheetId="12">#REF!</definedName>
    <definedName name="subtotal_non_utility_eps_ty" localSheetId="14">#REF!</definedName>
    <definedName name="subtotal_non_utility_eps_ty">#REF!</definedName>
    <definedName name="subtotal_non_utility_ty" localSheetId="22">#REF!</definedName>
    <definedName name="subtotal_non_utility_ty" localSheetId="21">#REF!</definedName>
    <definedName name="subtotal_non_utility_ty" localSheetId="24">#REF!</definedName>
    <definedName name="subtotal_non_utility_ty" localSheetId="23">#REF!</definedName>
    <definedName name="subtotal_non_utility_ty" localSheetId="15">#REF!</definedName>
    <definedName name="subtotal_non_utility_ty" localSheetId="9">#REF!</definedName>
    <definedName name="subtotal_non_utility_ty" localSheetId="16">#REF!</definedName>
    <definedName name="subtotal_non_utility_ty" localSheetId="17">#REF!</definedName>
    <definedName name="subtotal_non_utility_ty" localSheetId="4">#REF!</definedName>
    <definedName name="subtotal_non_utility_ty" localSheetId="11">#REF!</definedName>
    <definedName name="subtotal_non_utility_ty" localSheetId="12">#REF!</definedName>
    <definedName name="subtotal_non_utility_ty" localSheetId="14">#REF!</definedName>
    <definedName name="subtotal_non_utility_ty">#REF!</definedName>
  </definedNames>
  <calcPr calcId="114210" fullCalcOnLoad="1"/>
</workbook>
</file>

<file path=xl/calcChain.xml><?xml version="1.0" encoding="utf-8"?>
<calcChain xmlns="http://schemas.openxmlformats.org/spreadsheetml/2006/main">
  <c r="B56" i="61"/>
  <c r="O7"/>
  <c r="O9"/>
  <c r="C8"/>
  <c r="C10"/>
  <c r="B22"/>
  <c r="O7" i="60"/>
  <c r="O9"/>
  <c r="C8"/>
  <c r="C10"/>
  <c r="B56"/>
  <c r="B22"/>
  <c r="B56" i="59"/>
  <c r="B22"/>
  <c r="B56" i="58"/>
  <c r="B22"/>
  <c r="B56" i="57"/>
  <c r="B22"/>
  <c r="B56" i="56"/>
  <c r="B22"/>
  <c r="O7" i="59"/>
  <c r="O9"/>
  <c r="C8"/>
  <c r="C10"/>
  <c r="O7" i="58"/>
  <c r="O9"/>
  <c r="C8"/>
  <c r="C10"/>
  <c r="O7" i="57"/>
  <c r="O9"/>
  <c r="C8"/>
  <c r="C10"/>
  <c r="O7" i="56"/>
  <c r="O9"/>
  <c r="C8"/>
  <c r="C10"/>
  <c r="C4" i="53"/>
  <c r="N52" i="52"/>
  <c r="O8"/>
  <c r="O7"/>
  <c r="O70" i="55"/>
  <c r="M70"/>
  <c r="J70"/>
  <c r="H70"/>
  <c r="E70"/>
  <c r="G70"/>
  <c r="O69"/>
  <c r="M69"/>
  <c r="J69"/>
  <c r="H69"/>
  <c r="L69"/>
  <c r="E69"/>
  <c r="G69"/>
  <c r="O68"/>
  <c r="M68"/>
  <c r="J68"/>
  <c r="H68"/>
  <c r="E68"/>
  <c r="G68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N32"/>
  <c r="N55"/>
  <c r="J32"/>
  <c r="J55"/>
  <c r="J65"/>
  <c r="D32"/>
  <c r="D55"/>
  <c r="O31"/>
  <c r="O32"/>
  <c r="O55"/>
  <c r="O65"/>
  <c r="O71"/>
  <c r="N31"/>
  <c r="M31"/>
  <c r="M32"/>
  <c r="M55"/>
  <c r="M65"/>
  <c r="J31"/>
  <c r="I31"/>
  <c r="I32"/>
  <c r="I55"/>
  <c r="E31"/>
  <c r="E32"/>
  <c r="E55"/>
  <c r="E65"/>
  <c r="D31"/>
  <c r="C31"/>
  <c r="C32"/>
  <c r="C55"/>
  <c r="C65"/>
  <c r="C71"/>
  <c r="P22"/>
  <c r="P31"/>
  <c r="P32"/>
  <c r="P55"/>
  <c r="M22"/>
  <c r="Q22"/>
  <c r="Q31"/>
  <c r="Q32"/>
  <c r="Q55"/>
  <c r="Q65"/>
  <c r="H22"/>
  <c r="H31"/>
  <c r="H32"/>
  <c r="H55"/>
  <c r="H65"/>
  <c r="F22"/>
  <c r="F31"/>
  <c r="F32"/>
  <c r="F55"/>
  <c r="C22"/>
  <c r="G22"/>
  <c r="G31"/>
  <c r="G32"/>
  <c r="G55"/>
  <c r="G65"/>
  <c r="Q8"/>
  <c r="P8"/>
  <c r="O8"/>
  <c r="N8"/>
  <c r="M8"/>
  <c r="L8"/>
  <c r="K8"/>
  <c r="J8"/>
  <c r="I8"/>
  <c r="H8"/>
  <c r="G8"/>
  <c r="F8"/>
  <c r="E8"/>
  <c r="D8"/>
  <c r="C8"/>
  <c r="B7"/>
  <c r="P2"/>
  <c r="O2"/>
  <c r="I39" i="6"/>
  <c r="I108"/>
  <c r="E32" i="53"/>
  <c r="E35"/>
  <c r="E33"/>
  <c r="E34"/>
  <c r="J4"/>
  <c r="L7"/>
  <c r="E39"/>
  <c r="E38"/>
  <c r="E45" i="16"/>
  <c r="D45"/>
  <c r="I55" i="6"/>
  <c r="O8" i="12"/>
  <c r="N8"/>
  <c r="M8"/>
  <c r="L8"/>
  <c r="K8"/>
  <c r="K36" i="54"/>
  <c r="J36"/>
  <c r="I36"/>
  <c r="Q35"/>
  <c r="K35"/>
  <c r="G35"/>
  <c r="E35"/>
  <c r="D35"/>
  <c r="J35"/>
  <c r="B35"/>
  <c r="A35"/>
  <c r="S35"/>
  <c r="S34"/>
  <c r="Q34"/>
  <c r="Q37"/>
  <c r="G34"/>
  <c r="K34"/>
  <c r="D34"/>
  <c r="J34"/>
  <c r="C34"/>
  <c r="C35"/>
  <c r="B34"/>
  <c r="C29"/>
  <c r="N36"/>
  <c r="C28"/>
  <c r="Q5"/>
  <c r="D5"/>
  <c r="J5"/>
  <c r="B5"/>
  <c r="S4"/>
  <c r="Q4"/>
  <c r="D4"/>
  <c r="J4"/>
  <c r="B4"/>
  <c r="A4"/>
  <c r="A5"/>
  <c r="S5"/>
  <c r="S3"/>
  <c r="Q3"/>
  <c r="K3"/>
  <c r="G3"/>
  <c r="G4"/>
  <c r="D3"/>
  <c r="J3"/>
  <c r="C3"/>
  <c r="C4"/>
  <c r="C5"/>
  <c r="B3"/>
  <c r="C42" i="53"/>
  <c r="C39"/>
  <c r="B39"/>
  <c r="D39"/>
  <c r="C38"/>
  <c r="C41"/>
  <c r="C36"/>
  <c r="C34"/>
  <c r="D33"/>
  <c r="D34"/>
  <c r="C33"/>
  <c r="B33"/>
  <c r="B34"/>
  <c r="C32"/>
  <c r="C17"/>
  <c r="C12"/>
  <c r="C11"/>
  <c r="C9"/>
  <c r="C8"/>
  <c r="I7"/>
  <c r="C7"/>
  <c r="J7"/>
  <c r="J6"/>
  <c r="J3"/>
  <c r="I35" i="54"/>
  <c r="M4"/>
  <c r="M5"/>
  <c r="O5"/>
  <c r="R5"/>
  <c r="C51" i="53"/>
  <c r="J9"/>
  <c r="L9"/>
  <c r="E41"/>
  <c r="E71" i="55"/>
  <c r="Q70"/>
  <c r="H71"/>
  <c r="L71"/>
  <c r="M71"/>
  <c r="Q71"/>
  <c r="J71"/>
  <c r="Q69"/>
  <c r="G71"/>
  <c r="Q68"/>
  <c r="L70"/>
  <c r="L68"/>
  <c r="M3" i="54"/>
  <c r="N3"/>
  <c r="C12" i="61"/>
  <c r="C12" i="60"/>
  <c r="C12" i="59"/>
  <c r="C12" i="58"/>
  <c r="C12" i="57"/>
  <c r="C12" i="56"/>
  <c r="L22" i="55"/>
  <c r="L31"/>
  <c r="L32"/>
  <c r="L55"/>
  <c r="L65"/>
  <c r="K22"/>
  <c r="K31"/>
  <c r="K32"/>
  <c r="K55"/>
  <c r="C14" i="53"/>
  <c r="I3" i="54"/>
  <c r="L3"/>
  <c r="L35"/>
  <c r="N34"/>
  <c r="N35"/>
  <c r="M34"/>
  <c r="M35"/>
  <c r="M36"/>
  <c r="I4"/>
  <c r="L4"/>
  <c r="E8" i="53"/>
  <c r="C35"/>
  <c r="G35"/>
  <c r="Q6" i="54"/>
  <c r="I34"/>
  <c r="L34"/>
  <c r="C16" i="53"/>
  <c r="C18"/>
  <c r="I5" i="54"/>
  <c r="L5"/>
  <c r="K4"/>
  <c r="N4"/>
  <c r="G5"/>
  <c r="K5"/>
  <c r="N5"/>
  <c r="O3"/>
  <c r="L36"/>
  <c r="E45" i="53"/>
  <c r="G41"/>
  <c r="E7"/>
  <c r="E9"/>
  <c r="C13"/>
  <c r="O34" i="54"/>
  <c r="O4"/>
  <c r="R4"/>
  <c r="C48" i="53"/>
  <c r="C45"/>
  <c r="C14" i="61"/>
  <c r="C14" i="60"/>
  <c r="C14" i="59"/>
  <c r="C14" i="58"/>
  <c r="C14" i="57"/>
  <c r="C14" i="56"/>
  <c r="O36" i="54"/>
  <c r="R36"/>
  <c r="O35"/>
  <c r="R35"/>
  <c r="G45" i="53"/>
  <c r="F8"/>
  <c r="C19"/>
  <c r="C21"/>
  <c r="P4" i="54"/>
  <c r="P3"/>
  <c r="R34"/>
  <c r="P34"/>
  <c r="O37"/>
  <c r="R3"/>
  <c r="C52" i="53"/>
  <c r="C49"/>
  <c r="R6" i="54"/>
  <c r="R37"/>
  <c r="O6"/>
  <c r="O40"/>
  <c r="P5"/>
  <c r="I92" i="12"/>
  <c r="J8" i="53"/>
  <c r="L8"/>
  <c r="C16" i="61"/>
  <c r="C16" i="60"/>
  <c r="C16" i="59"/>
  <c r="C16" i="58"/>
  <c r="C16" i="57"/>
  <c r="C16" i="56"/>
  <c r="P6" i="54"/>
  <c r="P35"/>
  <c r="P37"/>
  <c r="C18" i="61"/>
  <c r="C18" i="60"/>
  <c r="C18" i="59"/>
  <c r="C18" i="58"/>
  <c r="C18" i="57"/>
  <c r="C18" i="56"/>
  <c r="I38" i="6"/>
  <c r="N21" i="31"/>
  <c r="L20"/>
  <c r="E14"/>
  <c r="N4"/>
  <c r="N5"/>
  <c r="N6"/>
  <c r="N7"/>
  <c r="N8"/>
  <c r="N9"/>
  <c r="N10"/>
  <c r="N11"/>
  <c r="N12"/>
  <c r="N13"/>
  <c r="N14"/>
  <c r="N15"/>
  <c r="N16"/>
  <c r="N17"/>
  <c r="N18"/>
  <c r="N19"/>
  <c r="N3"/>
  <c r="I52" i="6"/>
  <c r="G52"/>
  <c r="G45" i="16"/>
  <c r="I41" i="6"/>
  <c r="C20" i="61"/>
  <c r="C20" i="60"/>
  <c r="C20" i="59"/>
  <c r="C20" i="58"/>
  <c r="C20" i="57"/>
  <c r="C20" i="56"/>
  <c r="O9" i="52"/>
  <c r="C24" i="61"/>
  <c r="C22"/>
  <c r="D22"/>
  <c r="E22"/>
  <c r="C24" i="60"/>
  <c r="C22"/>
  <c r="D22"/>
  <c r="E22"/>
  <c r="C24" i="59"/>
  <c r="C22"/>
  <c r="D22"/>
  <c r="E22"/>
  <c r="C24" i="58"/>
  <c r="C22"/>
  <c r="D22"/>
  <c r="E22"/>
  <c r="C24" i="57"/>
  <c r="C22"/>
  <c r="D22"/>
  <c r="C24" i="56"/>
  <c r="C22"/>
  <c r="D22"/>
  <c r="C8" i="52"/>
  <c r="C10"/>
  <c r="C12"/>
  <c r="C14"/>
  <c r="T22" i="60"/>
  <c r="T22" i="61"/>
  <c r="C26"/>
  <c r="C26" i="60"/>
  <c r="F22" i="59"/>
  <c r="F22" i="60"/>
  <c r="F22" i="61"/>
  <c r="U22"/>
  <c r="T22" i="59"/>
  <c r="C26"/>
  <c r="C26" i="58"/>
  <c r="C26" i="57"/>
  <c r="E22"/>
  <c r="E22" i="56"/>
  <c r="C26"/>
  <c r="C16" i="52"/>
  <c r="U22" i="60"/>
  <c r="T22" i="57"/>
  <c r="T22" i="58"/>
  <c r="U22" i="59"/>
  <c r="T22" i="56"/>
  <c r="F22"/>
  <c r="F22" i="57"/>
  <c r="F22" i="58"/>
  <c r="C18" i="52"/>
  <c r="U22" i="58"/>
  <c r="U22" i="56"/>
  <c r="U22" i="57"/>
  <c r="C20" i="52"/>
  <c r="C24"/>
  <c r="C22"/>
  <c r="C26"/>
  <c r="N52" i="48"/>
  <c r="N52" i="44"/>
  <c r="O8" i="48"/>
  <c r="O70" i="51"/>
  <c r="M70"/>
  <c r="J70"/>
  <c r="H70"/>
  <c r="E70"/>
  <c r="C70"/>
  <c r="Q69"/>
  <c r="M69"/>
  <c r="H69"/>
  <c r="E69"/>
  <c r="J69"/>
  <c r="O68"/>
  <c r="M68"/>
  <c r="J68"/>
  <c r="H68"/>
  <c r="E68"/>
  <c r="C68"/>
  <c r="Q65"/>
  <c r="O65"/>
  <c r="O71"/>
  <c r="M65"/>
  <c r="M71"/>
  <c r="L65"/>
  <c r="J65"/>
  <c r="H65"/>
  <c r="H71"/>
  <c r="G65"/>
  <c r="E65"/>
  <c r="C65"/>
  <c r="C71"/>
  <c r="Q8"/>
  <c r="P8"/>
  <c r="O8"/>
  <c r="N8"/>
  <c r="M8"/>
  <c r="L8"/>
  <c r="K8"/>
  <c r="J8"/>
  <c r="I8"/>
  <c r="H8"/>
  <c r="G8"/>
  <c r="F8"/>
  <c r="E8"/>
  <c r="D8"/>
  <c r="C8"/>
  <c r="B7"/>
  <c r="P2"/>
  <c r="O2"/>
  <c r="H108" i="6"/>
  <c r="AE86" i="29"/>
  <c r="AE85"/>
  <c r="AE84"/>
  <c r="AE83"/>
  <c r="AE82"/>
  <c r="AE81"/>
  <c r="AE80"/>
  <c r="AE79"/>
  <c r="AE78"/>
  <c r="AE77"/>
  <c r="AE76"/>
  <c r="C4" i="50"/>
  <c r="J4"/>
  <c r="E40"/>
  <c r="C40"/>
  <c r="E39"/>
  <c r="C39"/>
  <c r="B39"/>
  <c r="B40"/>
  <c r="D40"/>
  <c r="E38"/>
  <c r="C38"/>
  <c r="E33"/>
  <c r="C33"/>
  <c r="B33"/>
  <c r="E32"/>
  <c r="C32"/>
  <c r="C17"/>
  <c r="C12"/>
  <c r="C11"/>
  <c r="C9"/>
  <c r="C8"/>
  <c r="I7"/>
  <c r="C7"/>
  <c r="J7"/>
  <c r="J6"/>
  <c r="J3"/>
  <c r="Q36" i="49"/>
  <c r="G36"/>
  <c r="K36"/>
  <c r="E36"/>
  <c r="D36"/>
  <c r="J36"/>
  <c r="B36"/>
  <c r="A36"/>
  <c r="S35"/>
  <c r="S36"/>
  <c r="Q35"/>
  <c r="G35"/>
  <c r="K35"/>
  <c r="E35"/>
  <c r="D35"/>
  <c r="J35"/>
  <c r="B35"/>
  <c r="A35"/>
  <c r="Q34"/>
  <c r="G34"/>
  <c r="K34"/>
  <c r="D34"/>
  <c r="J34"/>
  <c r="C34"/>
  <c r="C35"/>
  <c r="C36"/>
  <c r="I36"/>
  <c r="B34"/>
  <c r="C29"/>
  <c r="C28"/>
  <c r="S4"/>
  <c r="Q4"/>
  <c r="G4"/>
  <c r="K4"/>
  <c r="D4"/>
  <c r="J4"/>
  <c r="M4"/>
  <c r="B4"/>
  <c r="A4"/>
  <c r="Q3"/>
  <c r="G3"/>
  <c r="K3"/>
  <c r="N3"/>
  <c r="D3"/>
  <c r="J3"/>
  <c r="C3"/>
  <c r="C4"/>
  <c r="B3"/>
  <c r="E71" i="51"/>
  <c r="G68"/>
  <c r="Q68"/>
  <c r="L70"/>
  <c r="L68"/>
  <c r="G70"/>
  <c r="Q70"/>
  <c r="Q6" i="49"/>
  <c r="C35" i="50"/>
  <c r="E35"/>
  <c r="C41"/>
  <c r="M3" i="49"/>
  <c r="N4"/>
  <c r="C14" i="50"/>
  <c r="I3" i="49"/>
  <c r="L3"/>
  <c r="G71" i="51"/>
  <c r="J71"/>
  <c r="L71"/>
  <c r="Q71"/>
  <c r="L69"/>
  <c r="G69"/>
  <c r="Q37" i="49"/>
  <c r="I34"/>
  <c r="E9" i="50"/>
  <c r="C16"/>
  <c r="C18"/>
  <c r="E41"/>
  <c r="L34" i="49"/>
  <c r="M34"/>
  <c r="M35"/>
  <c r="N35"/>
  <c r="L36"/>
  <c r="N34"/>
  <c r="M36"/>
  <c r="N36"/>
  <c r="C45" i="50"/>
  <c r="L7"/>
  <c r="E8"/>
  <c r="C13"/>
  <c r="D39"/>
  <c r="E7"/>
  <c r="I35" i="49"/>
  <c r="L35"/>
  <c r="I4"/>
  <c r="L4"/>
  <c r="O4"/>
  <c r="R4"/>
  <c r="E45" i="50"/>
  <c r="O3" i="49"/>
  <c r="P3"/>
  <c r="G41" i="50"/>
  <c r="G45"/>
  <c r="C48"/>
  <c r="J8"/>
  <c r="L8"/>
  <c r="G35"/>
  <c r="C19"/>
  <c r="C21"/>
  <c r="O36" i="49"/>
  <c r="R36"/>
  <c r="O35"/>
  <c r="R35"/>
  <c r="O34"/>
  <c r="F8" i="50"/>
  <c r="C49"/>
  <c r="O6" i="49"/>
  <c r="P4"/>
  <c r="R3"/>
  <c r="R6"/>
  <c r="H92" i="12"/>
  <c r="P35" i="49"/>
  <c r="P34"/>
  <c r="R34"/>
  <c r="R37"/>
  <c r="P36"/>
  <c r="O37"/>
  <c r="O40"/>
  <c r="P6"/>
  <c r="P37"/>
  <c r="H52" i="6"/>
  <c r="L18" i="31"/>
  <c r="L4"/>
  <c r="L5"/>
  <c r="L6"/>
  <c r="L7"/>
  <c r="L8"/>
  <c r="L9"/>
  <c r="L10"/>
  <c r="L11"/>
  <c r="L12"/>
  <c r="L13"/>
  <c r="L14"/>
  <c r="L15"/>
  <c r="L16"/>
  <c r="L17"/>
  <c r="L3"/>
  <c r="L22"/>
  <c r="E44" i="16"/>
  <c r="D44"/>
  <c r="O24" i="12"/>
  <c r="N24"/>
  <c r="M24"/>
  <c r="L24"/>
  <c r="K24"/>
  <c r="J24"/>
  <c r="I24"/>
  <c r="H55" i="6"/>
  <c r="H39"/>
  <c r="O7" i="48"/>
  <c r="O9"/>
  <c r="C8"/>
  <c r="C10"/>
  <c r="O8" i="44"/>
  <c r="N52" i="36"/>
  <c r="O70" i="47"/>
  <c r="M70"/>
  <c r="H70"/>
  <c r="E70"/>
  <c r="J70"/>
  <c r="C70"/>
  <c r="G70"/>
  <c r="O69"/>
  <c r="M69"/>
  <c r="Q69"/>
  <c r="H69"/>
  <c r="E69"/>
  <c r="J69"/>
  <c r="O68"/>
  <c r="M68"/>
  <c r="E68"/>
  <c r="J68"/>
  <c r="C68"/>
  <c r="H68"/>
  <c r="Q65"/>
  <c r="O65"/>
  <c r="M65"/>
  <c r="M71"/>
  <c r="L65"/>
  <c r="J65"/>
  <c r="H65"/>
  <c r="H71"/>
  <c r="G65"/>
  <c r="E65"/>
  <c r="E71"/>
  <c r="C65"/>
  <c r="C71"/>
  <c r="Q8"/>
  <c r="P8"/>
  <c r="O8"/>
  <c r="N8"/>
  <c r="M8"/>
  <c r="L8"/>
  <c r="K8"/>
  <c r="J8"/>
  <c r="I8"/>
  <c r="H8"/>
  <c r="G8"/>
  <c r="F8"/>
  <c r="E8"/>
  <c r="D8"/>
  <c r="C8"/>
  <c r="B7"/>
  <c r="P2"/>
  <c r="O2"/>
  <c r="C42" i="46"/>
  <c r="C36"/>
  <c r="O71" i="47"/>
  <c r="G69"/>
  <c r="Q70"/>
  <c r="L68"/>
  <c r="Q68"/>
  <c r="L69"/>
  <c r="G44" i="16"/>
  <c r="H41" i="6"/>
  <c r="C12" i="48"/>
  <c r="G71" i="47"/>
  <c r="J71"/>
  <c r="L71"/>
  <c r="Q71"/>
  <c r="L70"/>
  <c r="G68"/>
  <c r="G108" i="6"/>
  <c r="J3" i="31"/>
  <c r="J4"/>
  <c r="J5"/>
  <c r="J6"/>
  <c r="J19"/>
  <c r="J7"/>
  <c r="J8"/>
  <c r="J9"/>
  <c r="J10"/>
  <c r="J11"/>
  <c r="J12"/>
  <c r="J13"/>
  <c r="J14"/>
  <c r="J15"/>
  <c r="J16"/>
  <c r="J17"/>
  <c r="G62" i="6"/>
  <c r="G55"/>
  <c r="G56" i="12"/>
  <c r="E43" i="16"/>
  <c r="D43"/>
  <c r="G39" i="6"/>
  <c r="E39" i="46"/>
  <c r="C39"/>
  <c r="B39"/>
  <c r="D39"/>
  <c r="E38"/>
  <c r="C38"/>
  <c r="E34"/>
  <c r="C34"/>
  <c r="E33"/>
  <c r="D33"/>
  <c r="D34"/>
  <c r="C33"/>
  <c r="B33"/>
  <c r="B34"/>
  <c r="E32"/>
  <c r="C32"/>
  <c r="C17"/>
  <c r="C12"/>
  <c r="C11"/>
  <c r="C9"/>
  <c r="C8"/>
  <c r="I7"/>
  <c r="C7"/>
  <c r="J7"/>
  <c r="J6"/>
  <c r="C4"/>
  <c r="E8"/>
  <c r="J3"/>
  <c r="R35" i="45"/>
  <c r="E35"/>
  <c r="C35"/>
  <c r="B35"/>
  <c r="R34"/>
  <c r="R37"/>
  <c r="F34"/>
  <c r="F35"/>
  <c r="K35"/>
  <c r="E34"/>
  <c r="D34"/>
  <c r="D35"/>
  <c r="C34"/>
  <c r="D29"/>
  <c r="D28"/>
  <c r="E5"/>
  <c r="C5"/>
  <c r="B5"/>
  <c r="T4"/>
  <c r="T5"/>
  <c r="E4"/>
  <c r="C4"/>
  <c r="B4"/>
  <c r="F3"/>
  <c r="F4"/>
  <c r="E3"/>
  <c r="D3"/>
  <c r="D4"/>
  <c r="C3"/>
  <c r="O7" i="44"/>
  <c r="O9"/>
  <c r="C8"/>
  <c r="C10"/>
  <c r="C12"/>
  <c r="C14"/>
  <c r="C16"/>
  <c r="C18"/>
  <c r="C20"/>
  <c r="C51" i="46"/>
  <c r="B3" i="41"/>
  <c r="C3"/>
  <c r="I3"/>
  <c r="L3"/>
  <c r="D3"/>
  <c r="Q3"/>
  <c r="A4"/>
  <c r="B4"/>
  <c r="I4"/>
  <c r="L4"/>
  <c r="C4"/>
  <c r="D4"/>
  <c r="Q4"/>
  <c r="A5"/>
  <c r="B5"/>
  <c r="C5"/>
  <c r="D5"/>
  <c r="Q5"/>
  <c r="C28"/>
  <c r="C29"/>
  <c r="B34"/>
  <c r="C34"/>
  <c r="D34"/>
  <c r="Q34"/>
  <c r="A35"/>
  <c r="B35"/>
  <c r="C35"/>
  <c r="D35"/>
  <c r="Q35"/>
  <c r="A36"/>
  <c r="B36"/>
  <c r="C36"/>
  <c r="D36"/>
  <c r="Q36"/>
  <c r="C3" i="38"/>
  <c r="E3"/>
  <c r="R3"/>
  <c r="A4"/>
  <c r="C4"/>
  <c r="E4"/>
  <c r="R4"/>
  <c r="A5"/>
  <c r="C5"/>
  <c r="E5"/>
  <c r="R5"/>
  <c r="D7"/>
  <c r="D28"/>
  <c r="D29"/>
  <c r="C34"/>
  <c r="D34"/>
  <c r="E34"/>
  <c r="F34"/>
  <c r="A35"/>
  <c r="A36"/>
  <c r="C35"/>
  <c r="D35"/>
  <c r="E35"/>
  <c r="F35"/>
  <c r="C36"/>
  <c r="D36"/>
  <c r="E36"/>
  <c r="F36"/>
  <c r="R37"/>
  <c r="C39"/>
  <c r="B5" i="40"/>
  <c r="H11"/>
  <c r="D5"/>
  <c r="I5"/>
  <c r="I3" i="34"/>
  <c r="J3"/>
  <c r="M3"/>
  <c r="K3"/>
  <c r="L3"/>
  <c r="O3"/>
  <c r="N3"/>
  <c r="I4"/>
  <c r="L4"/>
  <c r="J4"/>
  <c r="K4"/>
  <c r="N4"/>
  <c r="O4"/>
  <c r="R4"/>
  <c r="M4"/>
  <c r="I5"/>
  <c r="J5"/>
  <c r="M5"/>
  <c r="O5"/>
  <c r="R5"/>
  <c r="K5"/>
  <c r="L5"/>
  <c r="N5"/>
  <c r="Q6"/>
  <c r="I34"/>
  <c r="J34"/>
  <c r="M34"/>
  <c r="K34"/>
  <c r="L34"/>
  <c r="O34"/>
  <c r="N34"/>
  <c r="I35"/>
  <c r="L35"/>
  <c r="J35"/>
  <c r="K35"/>
  <c r="N35"/>
  <c r="O35"/>
  <c r="R35"/>
  <c r="M35"/>
  <c r="I36"/>
  <c r="J36"/>
  <c r="M36"/>
  <c r="O36"/>
  <c r="R36"/>
  <c r="K36"/>
  <c r="L36"/>
  <c r="N36"/>
  <c r="Q37"/>
  <c r="D3" i="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H39"/>
  <c r="D40"/>
  <c r="H40"/>
  <c r="K40"/>
  <c r="D41"/>
  <c r="O41"/>
  <c r="D42"/>
  <c r="D43"/>
  <c r="D44"/>
  <c r="M44"/>
  <c r="D45"/>
  <c r="S45"/>
  <c r="D46"/>
  <c r="D47"/>
  <c r="S47"/>
  <c r="D48"/>
  <c r="D49"/>
  <c r="S49"/>
  <c r="D50"/>
  <c r="B51"/>
  <c r="D51"/>
  <c r="K51"/>
  <c r="B52"/>
  <c r="D52"/>
  <c r="S52"/>
  <c r="B53"/>
  <c r="D53"/>
  <c r="S53"/>
  <c r="B54"/>
  <c r="D54"/>
  <c r="B55"/>
  <c r="D55"/>
  <c r="S55"/>
  <c r="B56"/>
  <c r="D56"/>
  <c r="B57"/>
  <c r="D57"/>
  <c r="B58"/>
  <c r="D58"/>
  <c r="B59"/>
  <c r="D59"/>
  <c r="B60"/>
  <c r="D60"/>
  <c r="B61"/>
  <c r="D61"/>
  <c r="B62"/>
  <c r="D62"/>
  <c r="D3" i="31"/>
  <c r="D4"/>
  <c r="D5"/>
  <c r="D6"/>
  <c r="D7"/>
  <c r="D8"/>
  <c r="D9"/>
  <c r="D10"/>
  <c r="D11"/>
  <c r="D12"/>
  <c r="D13"/>
  <c r="D14"/>
  <c r="G4" i="16"/>
  <c r="A5"/>
  <c r="G5"/>
  <c r="H15"/>
  <c r="A6"/>
  <c r="G6"/>
  <c r="A7"/>
  <c r="G7"/>
  <c r="A8"/>
  <c r="G8"/>
  <c r="A9"/>
  <c r="G9"/>
  <c r="A10"/>
  <c r="G10"/>
  <c r="A11"/>
  <c r="G11"/>
  <c r="A12"/>
  <c r="G12"/>
  <c r="A13"/>
  <c r="G13"/>
  <c r="A14"/>
  <c r="G14"/>
  <c r="A15"/>
  <c r="G15"/>
  <c r="A16"/>
  <c r="D16"/>
  <c r="G16"/>
  <c r="A17"/>
  <c r="D17"/>
  <c r="G17"/>
  <c r="M17"/>
  <c r="A18"/>
  <c r="D18"/>
  <c r="G18"/>
  <c r="M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D19"/>
  <c r="E19"/>
  <c r="D20"/>
  <c r="E20"/>
  <c r="D21"/>
  <c r="E21"/>
  <c r="G21"/>
  <c r="M21"/>
  <c r="D22"/>
  <c r="E22"/>
  <c r="D23"/>
  <c r="E23"/>
  <c r="G23"/>
  <c r="M23"/>
  <c r="D24"/>
  <c r="E24"/>
  <c r="D25"/>
  <c r="E25"/>
  <c r="G25"/>
  <c r="M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6"/>
  <c r="G46"/>
  <c r="D47"/>
  <c r="G47"/>
  <c r="D48"/>
  <c r="G48"/>
  <c r="D49"/>
  <c r="G49"/>
  <c r="D50"/>
  <c r="G50"/>
  <c r="D51"/>
  <c r="G51"/>
  <c r="J3" i="42"/>
  <c r="C4"/>
  <c r="J4"/>
  <c r="J6"/>
  <c r="C7"/>
  <c r="J7"/>
  <c r="I7"/>
  <c r="C8"/>
  <c r="C9"/>
  <c r="E9"/>
  <c r="C11"/>
  <c r="C32"/>
  <c r="E32"/>
  <c r="C33"/>
  <c r="E33"/>
  <c r="C34"/>
  <c r="E34"/>
  <c r="C35"/>
  <c r="E35"/>
  <c r="C38"/>
  <c r="E38"/>
  <c r="C39"/>
  <c r="D39"/>
  <c r="D40"/>
  <c r="E39"/>
  <c r="C40"/>
  <c r="E40"/>
  <c r="J3" i="37"/>
  <c r="C4"/>
  <c r="J4"/>
  <c r="J6"/>
  <c r="C7"/>
  <c r="I7"/>
  <c r="C8"/>
  <c r="C9"/>
  <c r="C11"/>
  <c r="C32"/>
  <c r="E32"/>
  <c r="E35"/>
  <c r="C33"/>
  <c r="E33"/>
  <c r="C34"/>
  <c r="E34"/>
  <c r="C35"/>
  <c r="C36"/>
  <c r="C38"/>
  <c r="E38"/>
  <c r="B39"/>
  <c r="C39"/>
  <c r="E39"/>
  <c r="B40"/>
  <c r="C40"/>
  <c r="E40"/>
  <c r="F41"/>
  <c r="C43"/>
  <c r="C52"/>
  <c r="J3" i="33"/>
  <c r="C4"/>
  <c r="J4"/>
  <c r="J6"/>
  <c r="C7"/>
  <c r="I7"/>
  <c r="J7"/>
  <c r="C8"/>
  <c r="C9"/>
  <c r="C11"/>
  <c r="C32"/>
  <c r="C35"/>
  <c r="E32"/>
  <c r="E35"/>
  <c r="C33"/>
  <c r="E33"/>
  <c r="C34"/>
  <c r="E34"/>
  <c r="C38"/>
  <c r="C41"/>
  <c r="E38"/>
  <c r="C39"/>
  <c r="E39"/>
  <c r="C40"/>
  <c r="E40"/>
  <c r="D2" i="6"/>
  <c r="E2"/>
  <c r="F2"/>
  <c r="G2"/>
  <c r="H2"/>
  <c r="I2"/>
  <c r="J2"/>
  <c r="K2"/>
  <c r="L2"/>
  <c r="M2"/>
  <c r="N2"/>
  <c r="O2"/>
  <c r="B6"/>
  <c r="B7"/>
  <c r="D7"/>
  <c r="E7"/>
  <c r="H5" i="45"/>
  <c r="L5"/>
  <c r="O5"/>
  <c r="F7" i="6"/>
  <c r="G7"/>
  <c r="H7"/>
  <c r="I7"/>
  <c r="J7"/>
  <c r="K7"/>
  <c r="L7"/>
  <c r="M7"/>
  <c r="N7"/>
  <c r="O7"/>
  <c r="B8"/>
  <c r="D8"/>
  <c r="D3" i="38"/>
  <c r="J3"/>
  <c r="M3"/>
  <c r="E8" i="6"/>
  <c r="J5" i="40"/>
  <c r="K5"/>
  <c r="F8" i="6"/>
  <c r="G8"/>
  <c r="H8"/>
  <c r="I8"/>
  <c r="J8"/>
  <c r="K8"/>
  <c r="L8"/>
  <c r="M8"/>
  <c r="N8"/>
  <c r="O8"/>
  <c r="B9"/>
  <c r="B40"/>
  <c r="D9"/>
  <c r="E9"/>
  <c r="J6" i="40"/>
  <c r="F9" i="6"/>
  <c r="G9"/>
  <c r="G40"/>
  <c r="H9"/>
  <c r="H40"/>
  <c r="I9"/>
  <c r="I40"/>
  <c r="J9"/>
  <c r="K9"/>
  <c r="L9"/>
  <c r="M9"/>
  <c r="N9"/>
  <c r="O9"/>
  <c r="B10"/>
  <c r="D10"/>
  <c r="E10"/>
  <c r="F10"/>
  <c r="G10"/>
  <c r="H10"/>
  <c r="I10"/>
  <c r="J10"/>
  <c r="J41"/>
  <c r="K10"/>
  <c r="L10"/>
  <c r="L41"/>
  <c r="M10"/>
  <c r="N10"/>
  <c r="N41"/>
  <c r="O10"/>
  <c r="B11"/>
  <c r="B42"/>
  <c r="D11"/>
  <c r="E11"/>
  <c r="E42"/>
  <c r="E43" i="12"/>
  <c r="F11" i="6"/>
  <c r="G11"/>
  <c r="G42"/>
  <c r="H11"/>
  <c r="H42"/>
  <c r="I11"/>
  <c r="I42"/>
  <c r="J11"/>
  <c r="K11"/>
  <c r="K42"/>
  <c r="L11"/>
  <c r="L42"/>
  <c r="M11"/>
  <c r="M42"/>
  <c r="N11"/>
  <c r="O11"/>
  <c r="O42"/>
  <c r="B12"/>
  <c r="D12"/>
  <c r="D43"/>
  <c r="E12"/>
  <c r="F12"/>
  <c r="F43"/>
  <c r="G12"/>
  <c r="H12"/>
  <c r="H43"/>
  <c r="I12"/>
  <c r="I43"/>
  <c r="J12"/>
  <c r="J43"/>
  <c r="K12"/>
  <c r="L12"/>
  <c r="L43"/>
  <c r="M12"/>
  <c r="N12"/>
  <c r="N43"/>
  <c r="O12"/>
  <c r="O43"/>
  <c r="B13"/>
  <c r="B44"/>
  <c r="P13"/>
  <c r="B14"/>
  <c r="B45"/>
  <c r="E14"/>
  <c r="P14"/>
  <c r="B15"/>
  <c r="B46"/>
  <c r="G15"/>
  <c r="P15"/>
  <c r="B16"/>
  <c r="B47"/>
  <c r="I16"/>
  <c r="P16"/>
  <c r="B17"/>
  <c r="B48"/>
  <c r="L17"/>
  <c r="P17"/>
  <c r="B18"/>
  <c r="B18" i="12"/>
  <c r="B50"/>
  <c r="P18" i="6"/>
  <c r="B19"/>
  <c r="B19" i="12"/>
  <c r="N19" i="6"/>
  <c r="P19"/>
  <c r="B20"/>
  <c r="B51"/>
  <c r="P20"/>
  <c r="B21"/>
  <c r="B52"/>
  <c r="D21"/>
  <c r="E21"/>
  <c r="F21"/>
  <c r="G21"/>
  <c r="H21"/>
  <c r="I21"/>
  <c r="J21"/>
  <c r="K21"/>
  <c r="K52"/>
  <c r="L21"/>
  <c r="M21"/>
  <c r="M52"/>
  <c r="N21"/>
  <c r="O21"/>
  <c r="O52"/>
  <c r="B22"/>
  <c r="D22"/>
  <c r="E22"/>
  <c r="F22"/>
  <c r="G22"/>
  <c r="H22"/>
  <c r="I22"/>
  <c r="J22"/>
  <c r="J53"/>
  <c r="K22"/>
  <c r="L22"/>
  <c r="L53"/>
  <c r="M22"/>
  <c r="N22"/>
  <c r="N53"/>
  <c r="O22"/>
  <c r="D25"/>
  <c r="E25"/>
  <c r="E56"/>
  <c r="F25"/>
  <c r="F56"/>
  <c r="G25"/>
  <c r="G56"/>
  <c r="H25"/>
  <c r="H56"/>
  <c r="H57" i="12"/>
  <c r="I25" i="6"/>
  <c r="I56"/>
  <c r="J25"/>
  <c r="J56"/>
  <c r="K25"/>
  <c r="K56"/>
  <c r="L25"/>
  <c r="L56"/>
  <c r="M25"/>
  <c r="M56"/>
  <c r="N25"/>
  <c r="O25"/>
  <c r="O56"/>
  <c r="O57" i="12"/>
  <c r="D26" i="6"/>
  <c r="E26"/>
  <c r="F26"/>
  <c r="G26"/>
  <c r="H26"/>
  <c r="I26"/>
  <c r="J26"/>
  <c r="K26"/>
  <c r="L26"/>
  <c r="M26"/>
  <c r="N26"/>
  <c r="O26"/>
  <c r="D27"/>
  <c r="D58"/>
  <c r="E27"/>
  <c r="E58"/>
  <c r="F27"/>
  <c r="F58"/>
  <c r="G27"/>
  <c r="G58"/>
  <c r="H27"/>
  <c r="H58"/>
  <c r="H59" i="12"/>
  <c r="I27" i="6"/>
  <c r="I58"/>
  <c r="J27"/>
  <c r="J58"/>
  <c r="K27"/>
  <c r="K58"/>
  <c r="L27"/>
  <c r="L58"/>
  <c r="M27"/>
  <c r="M58"/>
  <c r="N27"/>
  <c r="N58"/>
  <c r="N59" i="12"/>
  <c r="O27" i="6"/>
  <c r="O58"/>
  <c r="O59" i="12"/>
  <c r="D28" i="6"/>
  <c r="D59"/>
  <c r="E28"/>
  <c r="E59"/>
  <c r="F28"/>
  <c r="G28"/>
  <c r="G59"/>
  <c r="H28"/>
  <c r="H59"/>
  <c r="I28"/>
  <c r="I59"/>
  <c r="J28"/>
  <c r="J59"/>
  <c r="K28"/>
  <c r="K59"/>
  <c r="L28"/>
  <c r="L59"/>
  <c r="M28"/>
  <c r="M59"/>
  <c r="N28"/>
  <c r="N59"/>
  <c r="O28"/>
  <c r="O59"/>
  <c r="D29"/>
  <c r="D60"/>
  <c r="E29"/>
  <c r="E60"/>
  <c r="F29"/>
  <c r="F60"/>
  <c r="G29"/>
  <c r="G60"/>
  <c r="H29"/>
  <c r="H60"/>
  <c r="I29"/>
  <c r="I60"/>
  <c r="J29"/>
  <c r="J60"/>
  <c r="K29"/>
  <c r="K60"/>
  <c r="L29"/>
  <c r="L60"/>
  <c r="M29"/>
  <c r="M60"/>
  <c r="N29"/>
  <c r="O29"/>
  <c r="O60"/>
  <c r="I30"/>
  <c r="D32"/>
  <c r="E32"/>
  <c r="F32"/>
  <c r="G32"/>
  <c r="H32"/>
  <c r="I32"/>
  <c r="J32"/>
  <c r="K32"/>
  <c r="L32"/>
  <c r="M32"/>
  <c r="N32"/>
  <c r="O32"/>
  <c r="C36"/>
  <c r="M36"/>
  <c r="A38"/>
  <c r="B38"/>
  <c r="C38"/>
  <c r="D38"/>
  <c r="D39" i="12"/>
  <c r="E38" i="6"/>
  <c r="E39" i="12"/>
  <c r="F38" i="6"/>
  <c r="G38"/>
  <c r="G39" i="12"/>
  <c r="H38" i="6"/>
  <c r="I39" i="12"/>
  <c r="J38" i="6"/>
  <c r="K38"/>
  <c r="K39" i="12"/>
  <c r="L38" i="6"/>
  <c r="A39"/>
  <c r="C39"/>
  <c r="D39"/>
  <c r="D40" i="12"/>
  <c r="E39" i="6"/>
  <c r="F39"/>
  <c r="F40" i="12"/>
  <c r="A40" i="6"/>
  <c r="C40"/>
  <c r="D40"/>
  <c r="D41" i="12"/>
  <c r="E40" i="6"/>
  <c r="F40"/>
  <c r="A41"/>
  <c r="B41"/>
  <c r="C41"/>
  <c r="I42" i="12"/>
  <c r="K41" i="6"/>
  <c r="K42" i="12"/>
  <c r="M41" i="6"/>
  <c r="O41"/>
  <c r="A42"/>
  <c r="C42"/>
  <c r="D42"/>
  <c r="F42"/>
  <c r="J42"/>
  <c r="J43" i="12"/>
  <c r="N42" i="6"/>
  <c r="N43" i="12"/>
  <c r="A43" i="6"/>
  <c r="B43"/>
  <c r="C43"/>
  <c r="E43"/>
  <c r="I44" i="12"/>
  <c r="K43" i="6"/>
  <c r="M43"/>
  <c r="M44" i="12"/>
  <c r="A44" i="6"/>
  <c r="C44"/>
  <c r="A45"/>
  <c r="C45"/>
  <c r="A46"/>
  <c r="C46"/>
  <c r="D46"/>
  <c r="E46"/>
  <c r="F46"/>
  <c r="G46"/>
  <c r="H46"/>
  <c r="I46"/>
  <c r="J46"/>
  <c r="K46"/>
  <c r="L46"/>
  <c r="M46"/>
  <c r="N46"/>
  <c r="O46"/>
  <c r="A47"/>
  <c r="C47"/>
  <c r="A48"/>
  <c r="C48"/>
  <c r="A49"/>
  <c r="C49"/>
  <c r="A50"/>
  <c r="B50"/>
  <c r="C50"/>
  <c r="A51"/>
  <c r="C51"/>
  <c r="A52"/>
  <c r="C52"/>
  <c r="D52"/>
  <c r="E52"/>
  <c r="F52"/>
  <c r="J52"/>
  <c r="L52"/>
  <c r="L53" i="12"/>
  <c r="N52" i="6"/>
  <c r="A53"/>
  <c r="C53"/>
  <c r="D53"/>
  <c r="D54" i="12"/>
  <c r="E53" i="6"/>
  <c r="F53"/>
  <c r="F54" i="12"/>
  <c r="G53" i="6"/>
  <c r="H53"/>
  <c r="H54" i="12"/>
  <c r="I53" i="6"/>
  <c r="K53"/>
  <c r="K54" i="12"/>
  <c r="M53" i="6"/>
  <c r="O53"/>
  <c r="O54" i="12"/>
  <c r="D55" i="6"/>
  <c r="E55"/>
  <c r="E56" i="12"/>
  <c r="F55" i="6"/>
  <c r="F56" i="12"/>
  <c r="D56" i="6"/>
  <c r="D57" i="12"/>
  <c r="N56" i="6"/>
  <c r="N57" i="12"/>
  <c r="F59" i="6"/>
  <c r="N60"/>
  <c r="E62"/>
  <c r="E98"/>
  <c r="F62"/>
  <c r="C72"/>
  <c r="C73"/>
  <c r="C74"/>
  <c r="C75"/>
  <c r="C76"/>
  <c r="C77"/>
  <c r="C78"/>
  <c r="C79"/>
  <c r="C80"/>
  <c r="C81"/>
  <c r="C82"/>
  <c r="C83"/>
  <c r="C84"/>
  <c r="C85"/>
  <c r="C86"/>
  <c r="C87"/>
  <c r="D98"/>
  <c r="F98"/>
  <c r="G98"/>
  <c r="H98"/>
  <c r="I98"/>
  <c r="J98"/>
  <c r="K98"/>
  <c r="L98"/>
  <c r="M98"/>
  <c r="D108"/>
  <c r="E108"/>
  <c r="F108"/>
  <c r="D2" i="12"/>
  <c r="E2"/>
  <c r="F2"/>
  <c r="G2"/>
  <c r="H2"/>
  <c r="I2"/>
  <c r="J2"/>
  <c r="K2"/>
  <c r="L2"/>
  <c r="M2"/>
  <c r="N2"/>
  <c r="O2"/>
  <c r="C3"/>
  <c r="A6"/>
  <c r="A7"/>
  <c r="C7"/>
  <c r="B7"/>
  <c r="B39"/>
  <c r="D7"/>
  <c r="E7"/>
  <c r="F7"/>
  <c r="G7"/>
  <c r="H7"/>
  <c r="I7"/>
  <c r="J7"/>
  <c r="K7"/>
  <c r="L7"/>
  <c r="M7"/>
  <c r="N7"/>
  <c r="O7"/>
  <c r="A8"/>
  <c r="C8"/>
  <c r="D8"/>
  <c r="E8"/>
  <c r="F8"/>
  <c r="G8"/>
  <c r="H8"/>
  <c r="I8"/>
  <c r="J8"/>
  <c r="A9"/>
  <c r="A41"/>
  <c r="C41"/>
  <c r="C74"/>
  <c r="B9"/>
  <c r="B41"/>
  <c r="D9"/>
  <c r="E9"/>
  <c r="F9"/>
  <c r="G9"/>
  <c r="H9"/>
  <c r="I9"/>
  <c r="J9"/>
  <c r="K9"/>
  <c r="L9"/>
  <c r="M9"/>
  <c r="N9"/>
  <c r="O9"/>
  <c r="A10"/>
  <c r="C10"/>
  <c r="B10"/>
  <c r="D10"/>
  <c r="E10"/>
  <c r="F10"/>
  <c r="G10"/>
  <c r="H10"/>
  <c r="I10"/>
  <c r="J10"/>
  <c r="K10"/>
  <c r="L10"/>
  <c r="M10"/>
  <c r="N10"/>
  <c r="O10"/>
  <c r="A11"/>
  <c r="C11"/>
  <c r="B11"/>
  <c r="B43"/>
  <c r="D11"/>
  <c r="E11"/>
  <c r="F11"/>
  <c r="G11"/>
  <c r="H11"/>
  <c r="I11"/>
  <c r="J11"/>
  <c r="K11"/>
  <c r="L11"/>
  <c r="M11"/>
  <c r="N11"/>
  <c r="O11"/>
  <c r="A12"/>
  <c r="C12"/>
  <c r="B12"/>
  <c r="B44"/>
  <c r="D12"/>
  <c r="E12"/>
  <c r="F12"/>
  <c r="G12"/>
  <c r="H12"/>
  <c r="I12"/>
  <c r="J12"/>
  <c r="K12"/>
  <c r="L12"/>
  <c r="M12"/>
  <c r="N12"/>
  <c r="O12"/>
  <c r="A13"/>
  <c r="C13"/>
  <c r="B13"/>
  <c r="B45"/>
  <c r="P13"/>
  <c r="A14"/>
  <c r="C14"/>
  <c r="B14"/>
  <c r="B46"/>
  <c r="L14"/>
  <c r="P14"/>
  <c r="A15"/>
  <c r="A47"/>
  <c r="C47"/>
  <c r="C80"/>
  <c r="B15"/>
  <c r="F15"/>
  <c r="L15"/>
  <c r="A16"/>
  <c r="C16"/>
  <c r="F16"/>
  <c r="G16"/>
  <c r="H16"/>
  <c r="I16"/>
  <c r="L16"/>
  <c r="A17"/>
  <c r="C17"/>
  <c r="F17"/>
  <c r="G17"/>
  <c r="H17"/>
  <c r="I17"/>
  <c r="A18"/>
  <c r="C18"/>
  <c r="A19"/>
  <c r="C19"/>
  <c r="A20"/>
  <c r="C20"/>
  <c r="A21"/>
  <c r="C21"/>
  <c r="D21"/>
  <c r="E21"/>
  <c r="F21"/>
  <c r="G21"/>
  <c r="H21"/>
  <c r="I21"/>
  <c r="J21"/>
  <c r="K21"/>
  <c r="L21"/>
  <c r="M21"/>
  <c r="N21"/>
  <c r="O21"/>
  <c r="A22"/>
  <c r="C22"/>
  <c r="D22"/>
  <c r="E22"/>
  <c r="F22"/>
  <c r="G22"/>
  <c r="H22"/>
  <c r="I22"/>
  <c r="J22"/>
  <c r="K22"/>
  <c r="L22"/>
  <c r="M22"/>
  <c r="N22"/>
  <c r="O22"/>
  <c r="D24"/>
  <c r="E24"/>
  <c r="F24"/>
  <c r="H24"/>
  <c r="D25"/>
  <c r="E25"/>
  <c r="F25"/>
  <c r="G25"/>
  <c r="H25"/>
  <c r="I25"/>
  <c r="J25"/>
  <c r="K25"/>
  <c r="L25"/>
  <c r="M25"/>
  <c r="N25"/>
  <c r="O25"/>
  <c r="D27"/>
  <c r="E27"/>
  <c r="F27"/>
  <c r="G27"/>
  <c r="H27"/>
  <c r="I27"/>
  <c r="J27"/>
  <c r="K27"/>
  <c r="L27"/>
  <c r="M27"/>
  <c r="N27"/>
  <c r="O27"/>
  <c r="D28"/>
  <c r="D60"/>
  <c r="E28"/>
  <c r="E60"/>
  <c r="F28"/>
  <c r="F60"/>
  <c r="G28"/>
  <c r="G60"/>
  <c r="H28"/>
  <c r="I28"/>
  <c r="I60"/>
  <c r="J28"/>
  <c r="J60"/>
  <c r="K28"/>
  <c r="K60"/>
  <c r="L28"/>
  <c r="L60"/>
  <c r="M28"/>
  <c r="M60"/>
  <c r="N28"/>
  <c r="N60"/>
  <c r="O28"/>
  <c r="O60"/>
  <c r="D29"/>
  <c r="E29"/>
  <c r="E61"/>
  <c r="F29"/>
  <c r="F61"/>
  <c r="G29"/>
  <c r="G61"/>
  <c r="H29"/>
  <c r="H61"/>
  <c r="I29"/>
  <c r="I61"/>
  <c r="J29"/>
  <c r="J61"/>
  <c r="K29"/>
  <c r="K61"/>
  <c r="L29"/>
  <c r="M29"/>
  <c r="M61"/>
  <c r="N29"/>
  <c r="N61"/>
  <c r="O29"/>
  <c r="O61"/>
  <c r="J32"/>
  <c r="K32"/>
  <c r="L32"/>
  <c r="M32"/>
  <c r="N32"/>
  <c r="O32"/>
  <c r="D33"/>
  <c r="I33"/>
  <c r="J33"/>
  <c r="A38"/>
  <c r="A39"/>
  <c r="C39"/>
  <c r="C72"/>
  <c r="F39"/>
  <c r="H39"/>
  <c r="J39"/>
  <c r="L39"/>
  <c r="M39"/>
  <c r="N39"/>
  <c r="O39"/>
  <c r="A40"/>
  <c r="C40"/>
  <c r="C73"/>
  <c r="E40"/>
  <c r="H40"/>
  <c r="I40"/>
  <c r="J40"/>
  <c r="K40"/>
  <c r="L40"/>
  <c r="M40"/>
  <c r="N40"/>
  <c r="O40"/>
  <c r="F41"/>
  <c r="H41"/>
  <c r="I41"/>
  <c r="J41"/>
  <c r="K41"/>
  <c r="L41"/>
  <c r="M41"/>
  <c r="N41"/>
  <c r="O41"/>
  <c r="A42"/>
  <c r="C42"/>
  <c r="C75"/>
  <c r="B42"/>
  <c r="A43"/>
  <c r="C43"/>
  <c r="C76"/>
  <c r="A44"/>
  <c r="C44"/>
  <c r="C77"/>
  <c r="A45"/>
  <c r="C45"/>
  <c r="C78"/>
  <c r="P45"/>
  <c r="A46"/>
  <c r="C46"/>
  <c r="C79"/>
  <c r="B47"/>
  <c r="D47"/>
  <c r="E47"/>
  <c r="F47"/>
  <c r="G47"/>
  <c r="H47"/>
  <c r="I47"/>
  <c r="J47"/>
  <c r="K47"/>
  <c r="L47"/>
  <c r="M47"/>
  <c r="N47"/>
  <c r="O47"/>
  <c r="A48"/>
  <c r="C48"/>
  <c r="C81"/>
  <c r="D48"/>
  <c r="E48"/>
  <c r="F48"/>
  <c r="G48"/>
  <c r="H48"/>
  <c r="I48"/>
  <c r="J48"/>
  <c r="K48"/>
  <c r="L48"/>
  <c r="M48"/>
  <c r="N48"/>
  <c r="O48"/>
  <c r="D49"/>
  <c r="E49"/>
  <c r="F49"/>
  <c r="G49"/>
  <c r="H49"/>
  <c r="I49"/>
  <c r="J49"/>
  <c r="K49"/>
  <c r="L49"/>
  <c r="M49"/>
  <c r="N49"/>
  <c r="O49"/>
  <c r="A50"/>
  <c r="C50"/>
  <c r="C83"/>
  <c r="D50"/>
  <c r="E50"/>
  <c r="F50"/>
  <c r="G50"/>
  <c r="H50"/>
  <c r="I50"/>
  <c r="J50"/>
  <c r="K50"/>
  <c r="L50"/>
  <c r="M50"/>
  <c r="N50"/>
  <c r="O50"/>
  <c r="A51"/>
  <c r="C51"/>
  <c r="C84"/>
  <c r="D51"/>
  <c r="E51"/>
  <c r="F51"/>
  <c r="G51"/>
  <c r="H51"/>
  <c r="I51"/>
  <c r="J51"/>
  <c r="K51"/>
  <c r="L51"/>
  <c r="M51"/>
  <c r="N51"/>
  <c r="O51"/>
  <c r="A52"/>
  <c r="C52"/>
  <c r="C85"/>
  <c r="D52"/>
  <c r="E52"/>
  <c r="F52"/>
  <c r="G52"/>
  <c r="H52"/>
  <c r="I52"/>
  <c r="J52"/>
  <c r="K52"/>
  <c r="L52"/>
  <c r="M52"/>
  <c r="N52"/>
  <c r="O52"/>
  <c r="D53"/>
  <c r="E53"/>
  <c r="F53"/>
  <c r="E54"/>
  <c r="E87"/>
  <c r="G54"/>
  <c r="I54"/>
  <c r="M54"/>
  <c r="M87"/>
  <c r="K24" i="22"/>
  <c r="B24" i="59"/>
  <c r="D24"/>
  <c r="E24"/>
  <c r="D56" i="12"/>
  <c r="D69"/>
  <c r="D88"/>
  <c r="H56"/>
  <c r="I56"/>
  <c r="I69"/>
  <c r="I88"/>
  <c r="J56"/>
  <c r="K56"/>
  <c r="L56"/>
  <c r="M56"/>
  <c r="N56"/>
  <c r="O56"/>
  <c r="D58"/>
  <c r="E58"/>
  <c r="E90"/>
  <c r="F58"/>
  <c r="F90"/>
  <c r="G58"/>
  <c r="G90"/>
  <c r="H58"/>
  <c r="H90"/>
  <c r="I58"/>
  <c r="I90"/>
  <c r="J58"/>
  <c r="J90"/>
  <c r="K58"/>
  <c r="K90"/>
  <c r="L58"/>
  <c r="M58"/>
  <c r="M90"/>
  <c r="N58"/>
  <c r="O58"/>
  <c r="H60"/>
  <c r="D61"/>
  <c r="L61"/>
  <c r="J64"/>
  <c r="D65"/>
  <c r="E65"/>
  <c r="F5" i="40"/>
  <c r="F65" i="12"/>
  <c r="G65"/>
  <c r="H65"/>
  <c r="I65"/>
  <c r="J65"/>
  <c r="K65"/>
  <c r="L65"/>
  <c r="M65"/>
  <c r="N65"/>
  <c r="O65"/>
  <c r="D71"/>
  <c r="E71"/>
  <c r="F71"/>
  <c r="G71"/>
  <c r="H71"/>
  <c r="I71"/>
  <c r="J71"/>
  <c r="I105"/>
  <c r="K71"/>
  <c r="L71"/>
  <c r="M71"/>
  <c r="N71"/>
  <c r="D90"/>
  <c r="L90"/>
  <c r="O99"/>
  <c r="D102"/>
  <c r="E102"/>
  <c r="F102"/>
  <c r="G102"/>
  <c r="H102"/>
  <c r="I102"/>
  <c r="J102"/>
  <c r="O2" i="30"/>
  <c r="P2"/>
  <c r="B7"/>
  <c r="C8"/>
  <c r="D8"/>
  <c r="E8"/>
  <c r="F8"/>
  <c r="G8"/>
  <c r="H8"/>
  <c r="I8"/>
  <c r="J8"/>
  <c r="K8"/>
  <c r="L8"/>
  <c r="M8"/>
  <c r="N8"/>
  <c r="O8"/>
  <c r="P8"/>
  <c r="Q8"/>
  <c r="D10"/>
  <c r="F10"/>
  <c r="G10"/>
  <c r="L10"/>
  <c r="N10"/>
  <c r="P10"/>
  <c r="Q10"/>
  <c r="F11"/>
  <c r="G11"/>
  <c r="I11"/>
  <c r="K11"/>
  <c r="K16"/>
  <c r="L11"/>
  <c r="P11"/>
  <c r="Q11"/>
  <c r="Q16"/>
  <c r="Q32"/>
  <c r="Q55"/>
  <c r="Q65"/>
  <c r="C16"/>
  <c r="D16"/>
  <c r="E16"/>
  <c r="F16"/>
  <c r="G16"/>
  <c r="H16"/>
  <c r="H32"/>
  <c r="H55"/>
  <c r="H65"/>
  <c r="J16"/>
  <c r="L16"/>
  <c r="L32"/>
  <c r="L55"/>
  <c r="L65"/>
  <c r="M16"/>
  <c r="N16"/>
  <c r="N32"/>
  <c r="N55"/>
  <c r="O16"/>
  <c r="P16"/>
  <c r="C29"/>
  <c r="F29"/>
  <c r="F31"/>
  <c r="F32"/>
  <c r="F55"/>
  <c r="G29"/>
  <c r="G31"/>
  <c r="G32"/>
  <c r="G55"/>
  <c r="G65"/>
  <c r="H29"/>
  <c r="K29"/>
  <c r="K31"/>
  <c r="L29"/>
  <c r="M29"/>
  <c r="P29"/>
  <c r="P31"/>
  <c r="P32"/>
  <c r="P55"/>
  <c r="Q29"/>
  <c r="Q31"/>
  <c r="D31"/>
  <c r="E31"/>
  <c r="H31"/>
  <c r="I31"/>
  <c r="J31"/>
  <c r="J32"/>
  <c r="J55"/>
  <c r="J65"/>
  <c r="L31"/>
  <c r="N31"/>
  <c r="O31"/>
  <c r="D32"/>
  <c r="D55"/>
  <c r="E32"/>
  <c r="O32"/>
  <c r="O55"/>
  <c r="O65"/>
  <c r="C53"/>
  <c r="D53"/>
  <c r="E53"/>
  <c r="F53"/>
  <c r="G53"/>
  <c r="H53"/>
  <c r="I53"/>
  <c r="J53"/>
  <c r="K53"/>
  <c r="L53"/>
  <c r="M53"/>
  <c r="N53"/>
  <c r="O53"/>
  <c r="P53"/>
  <c r="Q53"/>
  <c r="C54"/>
  <c r="D54"/>
  <c r="E54"/>
  <c r="F54"/>
  <c r="G54"/>
  <c r="H54"/>
  <c r="I54"/>
  <c r="J54"/>
  <c r="K54"/>
  <c r="L54"/>
  <c r="M54"/>
  <c r="N54"/>
  <c r="O54"/>
  <c r="P54"/>
  <c r="Q54"/>
  <c r="E55"/>
  <c r="E65"/>
  <c r="F60"/>
  <c r="K60"/>
  <c r="P60"/>
  <c r="F61"/>
  <c r="K61"/>
  <c r="P61"/>
  <c r="F62"/>
  <c r="K62"/>
  <c r="P62"/>
  <c r="D63"/>
  <c r="F63"/>
  <c r="I63"/>
  <c r="K63"/>
  <c r="N63"/>
  <c r="P63"/>
  <c r="C68"/>
  <c r="E68"/>
  <c r="G68"/>
  <c r="H68"/>
  <c r="M68"/>
  <c r="E69"/>
  <c r="G69"/>
  <c r="H69"/>
  <c r="M69"/>
  <c r="C70"/>
  <c r="H70"/>
  <c r="E70"/>
  <c r="O70"/>
  <c r="Q70"/>
  <c r="G70"/>
  <c r="M70"/>
  <c r="O2" i="39"/>
  <c r="P2"/>
  <c r="B7"/>
  <c r="C8"/>
  <c r="D8"/>
  <c r="E8"/>
  <c r="F8"/>
  <c r="G8"/>
  <c r="H8"/>
  <c r="I8"/>
  <c r="J8"/>
  <c r="K8"/>
  <c r="L8"/>
  <c r="M8"/>
  <c r="N8"/>
  <c r="O8"/>
  <c r="P8"/>
  <c r="Q8"/>
  <c r="C16"/>
  <c r="D16"/>
  <c r="E16"/>
  <c r="F16"/>
  <c r="G16"/>
  <c r="H16"/>
  <c r="I16"/>
  <c r="J16"/>
  <c r="K16"/>
  <c r="L16"/>
  <c r="M16"/>
  <c r="N16"/>
  <c r="O16"/>
  <c r="P16"/>
  <c r="Q16"/>
  <c r="C20"/>
  <c r="C32"/>
  <c r="C55"/>
  <c r="C65"/>
  <c r="C71"/>
  <c r="D20"/>
  <c r="E20"/>
  <c r="E32"/>
  <c r="E55"/>
  <c r="E65"/>
  <c r="F20"/>
  <c r="G20"/>
  <c r="G32"/>
  <c r="G55"/>
  <c r="G65"/>
  <c r="H20"/>
  <c r="I20"/>
  <c r="I32"/>
  <c r="I55"/>
  <c r="J20"/>
  <c r="K20"/>
  <c r="K32"/>
  <c r="K55"/>
  <c r="L20"/>
  <c r="M20"/>
  <c r="M32"/>
  <c r="M55"/>
  <c r="M65"/>
  <c r="N20"/>
  <c r="O20"/>
  <c r="O32"/>
  <c r="O55"/>
  <c r="O65"/>
  <c r="P20"/>
  <c r="Q20"/>
  <c r="Q32"/>
  <c r="Q55"/>
  <c r="Q65"/>
  <c r="C29"/>
  <c r="C31"/>
  <c r="D31"/>
  <c r="E31"/>
  <c r="F31"/>
  <c r="G31"/>
  <c r="H31"/>
  <c r="I31"/>
  <c r="J31"/>
  <c r="K31"/>
  <c r="L31"/>
  <c r="M31"/>
  <c r="N31"/>
  <c r="O31"/>
  <c r="P31"/>
  <c r="Q31"/>
  <c r="D32"/>
  <c r="D55"/>
  <c r="F32"/>
  <c r="F55"/>
  <c r="H32"/>
  <c r="H55"/>
  <c r="H65"/>
  <c r="J32"/>
  <c r="J55"/>
  <c r="J65"/>
  <c r="L32"/>
  <c r="L55"/>
  <c r="L65"/>
  <c r="N32"/>
  <c r="N55"/>
  <c r="P32"/>
  <c r="P55"/>
  <c r="C53"/>
  <c r="D53"/>
  <c r="E53"/>
  <c r="F53"/>
  <c r="G53"/>
  <c r="H53"/>
  <c r="I53"/>
  <c r="J53"/>
  <c r="K53"/>
  <c r="L53"/>
  <c r="M53"/>
  <c r="N53"/>
  <c r="O53"/>
  <c r="P53"/>
  <c r="Q53"/>
  <c r="C54"/>
  <c r="D54"/>
  <c r="E54"/>
  <c r="F54"/>
  <c r="G54"/>
  <c r="H54"/>
  <c r="I54"/>
  <c r="J54"/>
  <c r="K54"/>
  <c r="L54"/>
  <c r="M54"/>
  <c r="N54"/>
  <c r="O54"/>
  <c r="P54"/>
  <c r="Q54"/>
  <c r="C68"/>
  <c r="E68"/>
  <c r="G68"/>
  <c r="H68"/>
  <c r="J68"/>
  <c r="L68"/>
  <c r="M68"/>
  <c r="O68"/>
  <c r="E69"/>
  <c r="G69"/>
  <c r="H69"/>
  <c r="J69"/>
  <c r="M69"/>
  <c r="O69"/>
  <c r="Q69"/>
  <c r="C70"/>
  <c r="E70"/>
  <c r="G70"/>
  <c r="H70"/>
  <c r="J70"/>
  <c r="L70"/>
  <c r="M70"/>
  <c r="O70"/>
  <c r="O7" i="23"/>
  <c r="O8"/>
  <c r="N52"/>
  <c r="O7" i="35"/>
  <c r="O8"/>
  <c r="N52"/>
  <c r="O2" i="43"/>
  <c r="P2"/>
  <c r="B7"/>
  <c r="C8"/>
  <c r="D8"/>
  <c r="E8"/>
  <c r="F8"/>
  <c r="G8"/>
  <c r="H8"/>
  <c r="I8"/>
  <c r="J8"/>
  <c r="K8"/>
  <c r="L8"/>
  <c r="M8"/>
  <c r="N8"/>
  <c r="O8"/>
  <c r="P8"/>
  <c r="Q8"/>
  <c r="C65"/>
  <c r="E65"/>
  <c r="G65"/>
  <c r="H65"/>
  <c r="J65"/>
  <c r="L65"/>
  <c r="M65"/>
  <c r="O65"/>
  <c r="Q65"/>
  <c r="C68"/>
  <c r="E68"/>
  <c r="G68"/>
  <c r="H68"/>
  <c r="H71"/>
  <c r="J68"/>
  <c r="J69"/>
  <c r="J70"/>
  <c r="J71"/>
  <c r="M68"/>
  <c r="O68"/>
  <c r="Q68"/>
  <c r="E69"/>
  <c r="G69"/>
  <c r="H69"/>
  <c r="M69"/>
  <c r="O69"/>
  <c r="C70"/>
  <c r="C71"/>
  <c r="E70"/>
  <c r="G70"/>
  <c r="H70"/>
  <c r="M70"/>
  <c r="O70"/>
  <c r="O71"/>
  <c r="B6" i="22"/>
  <c r="B6" i="23"/>
  <c r="C6" i="22"/>
  <c r="B6" i="35"/>
  <c r="D6" i="22"/>
  <c r="B6" i="36"/>
  <c r="E6" i="22"/>
  <c r="B6" i="44"/>
  <c r="F6" i="22"/>
  <c r="B6" i="48"/>
  <c r="G6" i="22"/>
  <c r="B6" i="52"/>
  <c r="H6" i="22"/>
  <c r="B6" i="56"/>
  <c r="I6" i="22"/>
  <c r="B6" i="57"/>
  <c r="J6" i="22"/>
  <c r="B6" i="58"/>
  <c r="K6" i="22"/>
  <c r="B6" i="59"/>
  <c r="L6" i="22"/>
  <c r="B6" i="60"/>
  <c r="M6" i="22"/>
  <c r="B6" i="61"/>
  <c r="O6" i="22"/>
  <c r="P6"/>
  <c r="M8"/>
  <c r="B8" i="61"/>
  <c r="M10" i="22"/>
  <c r="B10" i="61"/>
  <c r="D10"/>
  <c r="E10"/>
  <c r="M12" i="22"/>
  <c r="B12" i="61"/>
  <c r="D12"/>
  <c r="E12"/>
  <c r="M14" i="22"/>
  <c r="B14" i="61"/>
  <c r="D14"/>
  <c r="E14"/>
  <c r="M16" i="22"/>
  <c r="B16" i="61"/>
  <c r="D16"/>
  <c r="E16"/>
  <c r="M18" i="22"/>
  <c r="B18" i="61"/>
  <c r="D18"/>
  <c r="E18"/>
  <c r="M20" i="22"/>
  <c r="B20" i="61"/>
  <c r="D20"/>
  <c r="E20"/>
  <c r="E31" i="22"/>
  <c r="E63"/>
  <c r="F31"/>
  <c r="F63"/>
  <c r="G31"/>
  <c r="G63"/>
  <c r="H31"/>
  <c r="H63"/>
  <c r="I31"/>
  <c r="I63"/>
  <c r="J31"/>
  <c r="J63"/>
  <c r="K31"/>
  <c r="K63"/>
  <c r="L31"/>
  <c r="L63"/>
  <c r="M31"/>
  <c r="M63"/>
  <c r="N42"/>
  <c r="A50"/>
  <c r="A52"/>
  <c r="A58"/>
  <c r="O7" i="36"/>
  <c r="O8"/>
  <c r="E9" i="33"/>
  <c r="E7"/>
  <c r="E8" i="37"/>
  <c r="E7"/>
  <c r="K36" i="38"/>
  <c r="J34"/>
  <c r="I5" i="41"/>
  <c r="L5"/>
  <c r="J9" i="46"/>
  <c r="E42" i="37"/>
  <c r="E46"/>
  <c r="E8" i="42"/>
  <c r="E7"/>
  <c r="J36" i="38"/>
  <c r="M36"/>
  <c r="K35"/>
  <c r="K48" i="5"/>
  <c r="K42"/>
  <c r="I10" i="30"/>
  <c r="J70"/>
  <c r="M31"/>
  <c r="M32"/>
  <c r="M55"/>
  <c r="M65"/>
  <c r="M71"/>
  <c r="C31"/>
  <c r="C32"/>
  <c r="C55"/>
  <c r="C65"/>
  <c r="C71"/>
  <c r="C16" i="33"/>
  <c r="J7" i="37"/>
  <c r="H36" i="38"/>
  <c r="L36"/>
  <c r="O36"/>
  <c r="D5"/>
  <c r="J5"/>
  <c r="M5"/>
  <c r="F4"/>
  <c r="K4"/>
  <c r="N4"/>
  <c r="D4"/>
  <c r="J4"/>
  <c r="M4"/>
  <c r="G4" i="41"/>
  <c r="K4"/>
  <c r="N4"/>
  <c r="M50" i="5"/>
  <c r="M47"/>
  <c r="M42"/>
  <c r="G24" i="12"/>
  <c r="G87"/>
  <c r="K10" i="30"/>
  <c r="I16"/>
  <c r="I32"/>
  <c r="I55"/>
  <c r="O69" i="12"/>
  <c r="N69"/>
  <c r="N88"/>
  <c r="L8" i="22"/>
  <c r="B8" i="60"/>
  <c r="J69" i="12"/>
  <c r="J88"/>
  <c r="H8" i="22"/>
  <c r="B8" i="56"/>
  <c r="H69" i="12"/>
  <c r="H88"/>
  <c r="F43"/>
  <c r="M42"/>
  <c r="I3" i="6"/>
  <c r="E34" i="41"/>
  <c r="J34"/>
  <c r="E36"/>
  <c r="J36"/>
  <c r="E35"/>
  <c r="J35"/>
  <c r="F3" i="38"/>
  <c r="K3"/>
  <c r="N3"/>
  <c r="F5"/>
  <c r="K5"/>
  <c r="N5"/>
  <c r="B39" i="6"/>
  <c r="B8" i="12"/>
  <c r="B40"/>
  <c r="H34" i="45"/>
  <c r="L34"/>
  <c r="O34"/>
  <c r="G36" i="41"/>
  <c r="K36"/>
  <c r="G35"/>
  <c r="K35"/>
  <c r="H3" i="38"/>
  <c r="L3"/>
  <c r="O3"/>
  <c r="P7" i="6"/>
  <c r="H5" i="38"/>
  <c r="L5"/>
  <c r="O5"/>
  <c r="H4"/>
  <c r="L4"/>
  <c r="O4"/>
  <c r="F30" i="6"/>
  <c r="F3"/>
  <c r="J30"/>
  <c r="J3"/>
  <c r="N30"/>
  <c r="N3"/>
  <c r="B37"/>
  <c r="G80" i="12"/>
  <c r="D43"/>
  <c r="O42"/>
  <c r="E41"/>
  <c r="B53" i="6"/>
  <c r="B22" i="12"/>
  <c r="B54"/>
  <c r="B49" i="6"/>
  <c r="P11"/>
  <c r="E3" i="41"/>
  <c r="J3"/>
  <c r="M3"/>
  <c r="E5"/>
  <c r="J5"/>
  <c r="M5"/>
  <c r="H49" i="5"/>
  <c r="K49"/>
  <c r="H47"/>
  <c r="K47"/>
  <c r="H45"/>
  <c r="K45"/>
  <c r="H43"/>
  <c r="H41"/>
  <c r="P12" i="12"/>
  <c r="P8"/>
  <c r="M69"/>
  <c r="M88"/>
  <c r="K8" i="22"/>
  <c r="B8" i="59"/>
  <c r="N53" i="12"/>
  <c r="J53"/>
  <c r="H53"/>
  <c r="G40"/>
  <c r="B6"/>
  <c r="K30" i="6"/>
  <c r="P11" i="12"/>
  <c r="P12" i="6"/>
  <c r="P7" i="12"/>
  <c r="G34" i="41"/>
  <c r="K34"/>
  <c r="H35" i="38"/>
  <c r="L35"/>
  <c r="O35"/>
  <c r="H3" i="45"/>
  <c r="L3"/>
  <c r="O3"/>
  <c r="H35"/>
  <c r="L35"/>
  <c r="O35"/>
  <c r="B38" i="12"/>
  <c r="L69"/>
  <c r="L88"/>
  <c r="J8" i="22"/>
  <c r="B8" i="58"/>
  <c r="K44" i="12"/>
  <c r="D80"/>
  <c r="B20"/>
  <c r="B52"/>
  <c r="M85"/>
  <c r="B17"/>
  <c r="B49"/>
  <c r="K44" i="5"/>
  <c r="G30" i="16"/>
  <c r="G22"/>
  <c r="M22"/>
  <c r="C48" i="33"/>
  <c r="K6" i="40"/>
  <c r="A53" i="12"/>
  <c r="C53"/>
  <c r="C86"/>
  <c r="A49"/>
  <c r="C49"/>
  <c r="C82"/>
  <c r="J37"/>
  <c r="G73"/>
  <c r="C15"/>
  <c r="C9"/>
  <c r="E71" i="43"/>
  <c r="G71"/>
  <c r="Q69"/>
  <c r="Q68" i="39"/>
  <c r="I80" i="12"/>
  <c r="F24" i="59"/>
  <c r="T24"/>
  <c r="G43" i="16"/>
  <c r="G41" i="6"/>
  <c r="M43" i="5"/>
  <c r="S43"/>
  <c r="Q54"/>
  <c r="S54"/>
  <c r="Q51"/>
  <c r="S51"/>
  <c r="K50"/>
  <c r="S50"/>
  <c r="M48"/>
  <c r="S48"/>
  <c r="K46"/>
  <c r="S46"/>
  <c r="H44"/>
  <c r="S44"/>
  <c r="P39" i="6"/>
  <c r="E9" i="46"/>
  <c r="M34" i="38"/>
  <c r="Q6" i="41"/>
  <c r="N6" i="22"/>
  <c r="D89" i="12"/>
  <c r="E69"/>
  <c r="E88"/>
  <c r="K87"/>
  <c r="I24" i="22"/>
  <c r="B24" i="57"/>
  <c r="D24"/>
  <c r="E24"/>
  <c r="P21" i="6"/>
  <c r="P10"/>
  <c r="D30"/>
  <c r="D3"/>
  <c r="K3"/>
  <c r="N85" i="12"/>
  <c r="K75"/>
  <c r="I20" i="22"/>
  <c r="B20" i="57"/>
  <c r="D20"/>
  <c r="E20"/>
  <c r="N72" i="12"/>
  <c r="L16" i="22"/>
  <c r="B16" i="60"/>
  <c r="D16"/>
  <c r="E16"/>
  <c r="H72" i="12"/>
  <c r="D72"/>
  <c r="E44"/>
  <c r="M30" i="6"/>
  <c r="M3"/>
  <c r="H4" i="45"/>
  <c r="L4"/>
  <c r="O4"/>
  <c r="P38" i="6"/>
  <c r="G30"/>
  <c r="G3"/>
  <c r="O30"/>
  <c r="O3"/>
  <c r="K41" i="5"/>
  <c r="K43"/>
  <c r="M51"/>
  <c r="E4" i="41"/>
  <c r="J4"/>
  <c r="M4"/>
  <c r="O4"/>
  <c r="R4"/>
  <c r="L30" i="6"/>
  <c r="L3"/>
  <c r="H30"/>
  <c r="H3"/>
  <c r="N36" i="41"/>
  <c r="M35"/>
  <c r="M34"/>
  <c r="M46" i="5"/>
  <c r="G3" i="41"/>
  <c r="K3"/>
  <c r="N3"/>
  <c r="O3"/>
  <c r="G5"/>
  <c r="K5"/>
  <c r="N5"/>
  <c r="O5"/>
  <c r="R5"/>
  <c r="H34" i="38"/>
  <c r="L34"/>
  <c r="O34"/>
  <c r="J7" i="40"/>
  <c r="K7"/>
  <c r="B16" i="12"/>
  <c r="B48"/>
  <c r="E81"/>
  <c r="N34" i="41"/>
  <c r="N35"/>
  <c r="M36"/>
  <c r="N35" i="38"/>
  <c r="N36"/>
  <c r="G38" i="16"/>
  <c r="G34"/>
  <c r="G32"/>
  <c r="G31"/>
  <c r="L70" i="43"/>
  <c r="J71" i="39"/>
  <c r="O71"/>
  <c r="M71"/>
  <c r="E71"/>
  <c r="O69" i="30"/>
  <c r="Q69"/>
  <c r="O68"/>
  <c r="Q68"/>
  <c r="E71"/>
  <c r="G71"/>
  <c r="H80" i="12"/>
  <c r="F80"/>
  <c r="G39" i="16"/>
  <c r="G27"/>
  <c r="M27"/>
  <c r="G26"/>
  <c r="M26"/>
  <c r="Q70" i="39"/>
  <c r="L69"/>
  <c r="H71"/>
  <c r="L70" i="30"/>
  <c r="O49" i="5"/>
  <c r="Q49"/>
  <c r="O47"/>
  <c r="Q47"/>
  <c r="O45"/>
  <c r="Q45"/>
  <c r="O44"/>
  <c r="Q44"/>
  <c r="O42"/>
  <c r="Q42"/>
  <c r="F69" i="12"/>
  <c r="F88"/>
  <c r="O53" i="5"/>
  <c r="Q53"/>
  <c r="O52"/>
  <c r="Q52"/>
  <c r="O50"/>
  <c r="Q50"/>
  <c r="O48"/>
  <c r="Q48"/>
  <c r="O46"/>
  <c r="Q46"/>
  <c r="O43"/>
  <c r="Q43"/>
  <c r="Q55"/>
  <c r="O9" i="36"/>
  <c r="C8"/>
  <c r="C10"/>
  <c r="C12"/>
  <c r="C14"/>
  <c r="C16"/>
  <c r="C18"/>
  <c r="C20"/>
  <c r="C22"/>
  <c r="G35" i="37"/>
  <c r="C13" i="46"/>
  <c r="G35" i="33"/>
  <c r="G42" i="16"/>
  <c r="F41" i="6"/>
  <c r="K85" i="12"/>
  <c r="M71" i="43"/>
  <c r="Q71"/>
  <c r="P55" i="6"/>
  <c r="Q70" i="43"/>
  <c r="P32" i="12"/>
  <c r="E9" i="37"/>
  <c r="G36" i="16"/>
  <c r="G35"/>
  <c r="G28"/>
  <c r="G24"/>
  <c r="M24"/>
  <c r="G20"/>
  <c r="M20"/>
  <c r="G19"/>
  <c r="M19"/>
  <c r="R6" i="38"/>
  <c r="J3" i="45"/>
  <c r="M3"/>
  <c r="E35" i="46"/>
  <c r="C41"/>
  <c r="F8" i="42"/>
  <c r="J35" i="38"/>
  <c r="M35"/>
  <c r="K34"/>
  <c r="N34"/>
  <c r="I34" i="41"/>
  <c r="J4" i="46"/>
  <c r="L9"/>
  <c r="C16"/>
  <c r="C18"/>
  <c r="J35" i="45"/>
  <c r="C14" i="48"/>
  <c r="G41" i="12"/>
  <c r="G74"/>
  <c r="F8" i="37"/>
  <c r="P9" i="6"/>
  <c r="P8"/>
  <c r="E30"/>
  <c r="E3"/>
  <c r="J9" i="37"/>
  <c r="G35" i="42"/>
  <c r="J34" i="45"/>
  <c r="M34"/>
  <c r="K34"/>
  <c r="N34"/>
  <c r="O87" i="12"/>
  <c r="M24" i="22"/>
  <c r="B24" i="61"/>
  <c r="D24"/>
  <c r="L80" i="12"/>
  <c r="L72"/>
  <c r="P24"/>
  <c r="P10"/>
  <c r="F87"/>
  <c r="Q37" i="41"/>
  <c r="J85" i="12"/>
  <c r="M75"/>
  <c r="K20" i="22"/>
  <c r="B20" i="59"/>
  <c r="D20"/>
  <c r="E20"/>
  <c r="A54" i="12"/>
  <c r="C54"/>
  <c r="C87"/>
  <c r="M72"/>
  <c r="K80"/>
  <c r="M77"/>
  <c r="K12" i="22"/>
  <c r="B12" i="59"/>
  <c r="D12"/>
  <c r="E12"/>
  <c r="I75" i="12"/>
  <c r="I72"/>
  <c r="E72"/>
  <c r="C19" i="46"/>
  <c r="G34" i="22"/>
  <c r="G40" i="16"/>
  <c r="D41" i="6"/>
  <c r="D42" i="12"/>
  <c r="D75"/>
  <c r="L69" i="43"/>
  <c r="D73" i="12"/>
  <c r="M73"/>
  <c r="K14" i="22"/>
  <c r="B14" i="59"/>
  <c r="D14"/>
  <c r="E14"/>
  <c r="E73" i="12"/>
  <c r="H73"/>
  <c r="L59"/>
  <c r="L91"/>
  <c r="D59"/>
  <c r="D91"/>
  <c r="L57"/>
  <c r="L89"/>
  <c r="F57"/>
  <c r="F89"/>
  <c r="B51"/>
  <c r="E84"/>
  <c r="I37"/>
  <c r="K37"/>
  <c r="G72"/>
  <c r="P56"/>
  <c r="G69"/>
  <c r="G88"/>
  <c r="L85"/>
  <c r="F72"/>
  <c r="P39"/>
  <c r="M80"/>
  <c r="J80"/>
  <c r="E80"/>
  <c r="N80"/>
  <c r="J8" i="33"/>
  <c r="L68" i="43"/>
  <c r="O9" i="23"/>
  <c r="C8"/>
  <c r="C10"/>
  <c r="C12"/>
  <c r="C14"/>
  <c r="C16"/>
  <c r="C18"/>
  <c r="C20"/>
  <c r="C24"/>
  <c r="C26"/>
  <c r="I87" i="12"/>
  <c r="B21"/>
  <c r="B53"/>
  <c r="H86"/>
  <c r="P62" i="6"/>
  <c r="G41" i="16"/>
  <c r="E41" i="6"/>
  <c r="E61"/>
  <c r="E64"/>
  <c r="E66"/>
  <c r="G37" i="16"/>
  <c r="G33"/>
  <c r="G29"/>
  <c r="I35" i="41"/>
  <c r="L35"/>
  <c r="C14" i="46"/>
  <c r="C21"/>
  <c r="E7"/>
  <c r="E41"/>
  <c r="G41"/>
  <c r="P40" i="12"/>
  <c r="E59"/>
  <c r="E91"/>
  <c r="H27" i="16"/>
  <c r="M16"/>
  <c r="R3" i="34"/>
  <c r="R6"/>
  <c r="O6"/>
  <c r="P4"/>
  <c r="P3"/>
  <c r="P6"/>
  <c r="P5"/>
  <c r="E45" i="46"/>
  <c r="H71" i="30"/>
  <c r="K53" i="12"/>
  <c r="L44"/>
  <c r="R34" i="34"/>
  <c r="R37"/>
  <c r="C42" i="33"/>
  <c r="P36" i="34"/>
  <c r="O37"/>
  <c r="P34"/>
  <c r="P37"/>
  <c r="P35"/>
  <c r="Q71" i="39"/>
  <c r="G71"/>
  <c r="K32" i="30"/>
  <c r="K55"/>
  <c r="L71" i="43"/>
  <c r="O9" i="35"/>
  <c r="C8"/>
  <c r="C10"/>
  <c r="C12"/>
  <c r="C14"/>
  <c r="C16"/>
  <c r="C18"/>
  <c r="C20"/>
  <c r="C24"/>
  <c r="C26"/>
  <c r="J69" i="30"/>
  <c r="L69"/>
  <c r="J68"/>
  <c r="L68"/>
  <c r="G43" i="6"/>
  <c r="C42" i="37"/>
  <c r="G42"/>
  <c r="G46"/>
  <c r="K3" i="45"/>
  <c r="N3"/>
  <c r="C35" i="46"/>
  <c r="G35"/>
  <c r="D87" i="12"/>
  <c r="C16" i="37"/>
  <c r="E15" i="31"/>
  <c r="H46" i="5"/>
  <c r="M45"/>
  <c r="J83" i="12"/>
  <c r="G83"/>
  <c r="L83"/>
  <c r="N83"/>
  <c r="F83"/>
  <c r="E83"/>
  <c r="D83"/>
  <c r="K83"/>
  <c r="H83"/>
  <c r="I83"/>
  <c r="M83"/>
  <c r="I74"/>
  <c r="E74"/>
  <c r="L74"/>
  <c r="H74"/>
  <c r="J74"/>
  <c r="H16" i="22"/>
  <c r="B16" i="56"/>
  <c r="D16"/>
  <c r="E16"/>
  <c r="M74" i="12"/>
  <c r="K16" i="22"/>
  <c r="B16" i="59"/>
  <c r="D16"/>
  <c r="E16"/>
  <c r="F74" i="12"/>
  <c r="D74"/>
  <c r="K74"/>
  <c r="I16" i="22"/>
  <c r="B16" i="57"/>
  <c r="D16"/>
  <c r="E16"/>
  <c r="T16"/>
  <c r="O30" i="12"/>
  <c r="I73"/>
  <c r="L73"/>
  <c r="J14" i="22"/>
  <c r="B14" i="58"/>
  <c r="D14"/>
  <c r="E14"/>
  <c r="F73" i="12"/>
  <c r="D82"/>
  <c r="G82"/>
  <c r="J82"/>
  <c r="N82"/>
  <c r="E82"/>
  <c r="F82"/>
  <c r="H82"/>
  <c r="I82"/>
  <c r="K82"/>
  <c r="M82"/>
  <c r="L82"/>
  <c r="K73"/>
  <c r="N73"/>
  <c r="J73"/>
  <c r="H14" i="22"/>
  <c r="B14" i="56"/>
  <c r="D14"/>
  <c r="E14"/>
  <c r="K69" i="12"/>
  <c r="K88"/>
  <c r="I8" i="22"/>
  <c r="B8" i="57"/>
  <c r="M59" i="12"/>
  <c r="M91"/>
  <c r="L54"/>
  <c r="L87"/>
  <c r="J24" i="22"/>
  <c r="B24" i="58"/>
  <c r="D24"/>
  <c r="E24"/>
  <c r="L43" i="12"/>
  <c r="L76"/>
  <c r="J18" i="22"/>
  <c r="B18" i="58"/>
  <c r="D18"/>
  <c r="E18"/>
  <c r="H43" i="12"/>
  <c r="H76"/>
  <c r="C49" i="37"/>
  <c r="K4" i="45"/>
  <c r="N4"/>
  <c r="F5"/>
  <c r="K5"/>
  <c r="N5"/>
  <c r="H84" i="12"/>
  <c r="E76"/>
  <c r="F76"/>
  <c r="I57"/>
  <c r="I89"/>
  <c r="M43"/>
  <c r="I43"/>
  <c r="I76"/>
  <c r="C45" i="46"/>
  <c r="K8" i="40"/>
  <c r="H89" i="12"/>
  <c r="D76"/>
  <c r="J76"/>
  <c r="H18" i="22"/>
  <c r="B18" i="56"/>
  <c r="D18"/>
  <c r="E18"/>
  <c r="C45" i="33"/>
  <c r="C41" i="42"/>
  <c r="C45"/>
  <c r="I36" i="41"/>
  <c r="L36"/>
  <c r="M57" i="12"/>
  <c r="N54"/>
  <c r="N87"/>
  <c r="L24" i="22"/>
  <c r="B24" i="60"/>
  <c r="D24"/>
  <c r="E24"/>
  <c r="I53" i="12"/>
  <c r="I61" i="6"/>
  <c r="I64"/>
  <c r="I66"/>
  <c r="F44" i="12"/>
  <c r="F77"/>
  <c r="I59"/>
  <c r="I91"/>
  <c r="G57"/>
  <c r="G89"/>
  <c r="J54"/>
  <c r="J87"/>
  <c r="H24" i="22"/>
  <c r="B24" i="56"/>
  <c r="D24"/>
  <c r="E24"/>
  <c r="G44" i="12"/>
  <c r="G77"/>
  <c r="J42"/>
  <c r="J75"/>
  <c r="H20" i="22"/>
  <c r="B20" i="56"/>
  <c r="D20"/>
  <c r="E20"/>
  <c r="H91" i="12"/>
  <c r="N76"/>
  <c r="L18" i="22"/>
  <c r="B18" i="60"/>
  <c r="D18"/>
  <c r="E18"/>
  <c r="D79" i="12"/>
  <c r="D78"/>
  <c r="H87"/>
  <c r="M52" i="5"/>
  <c r="F61" i="6"/>
  <c r="F64"/>
  <c r="F66"/>
  <c r="F42" i="12"/>
  <c r="C22" i="35"/>
  <c r="C24" i="44"/>
  <c r="C26"/>
  <c r="C22"/>
  <c r="L34" i="41"/>
  <c r="O34"/>
  <c r="M35" i="45"/>
  <c r="N35"/>
  <c r="F85" i="12"/>
  <c r="G85"/>
  <c r="D85"/>
  <c r="H85"/>
  <c r="I85"/>
  <c r="E85"/>
  <c r="J59"/>
  <c r="J91"/>
  <c r="G59"/>
  <c r="G91"/>
  <c r="K57"/>
  <c r="K89"/>
  <c r="E57"/>
  <c r="E89"/>
  <c r="O53"/>
  <c r="M53"/>
  <c r="M86"/>
  <c r="K10" i="22"/>
  <c r="B10" i="59"/>
  <c r="D10"/>
  <c r="M61" i="6"/>
  <c r="M64"/>
  <c r="M66"/>
  <c r="N44" i="12"/>
  <c r="N77"/>
  <c r="L12" i="22"/>
  <c r="B12" i="60"/>
  <c r="D12"/>
  <c r="E12"/>
  <c r="D44" i="12"/>
  <c r="O43"/>
  <c r="O61" i="6"/>
  <c r="O64"/>
  <c r="O66"/>
  <c r="K43" i="12"/>
  <c r="K61" i="6"/>
  <c r="K64"/>
  <c r="K66"/>
  <c r="G43" i="12"/>
  <c r="P42" i="6"/>
  <c r="H42" i="12"/>
  <c r="H61" i="6"/>
  <c r="H64"/>
  <c r="H66"/>
  <c r="M81" i="12"/>
  <c r="D81"/>
  <c r="N81"/>
  <c r="L81"/>
  <c r="L77"/>
  <c r="J12" i="22"/>
  <c r="B12" i="58"/>
  <c r="D12"/>
  <c r="E12"/>
  <c r="K77" i="12"/>
  <c r="I12" i="22"/>
  <c r="B12" i="57"/>
  <c r="D12"/>
  <c r="E12"/>
  <c r="I77" i="12"/>
  <c r="I62"/>
  <c r="I63"/>
  <c r="I66"/>
  <c r="I68"/>
  <c r="E77"/>
  <c r="K59"/>
  <c r="K91"/>
  <c r="F59"/>
  <c r="J57"/>
  <c r="J89"/>
  <c r="O44"/>
  <c r="J44"/>
  <c r="J61" i="6"/>
  <c r="J64"/>
  <c r="J66"/>
  <c r="H44" i="12"/>
  <c r="H77"/>
  <c r="N42"/>
  <c r="N75"/>
  <c r="N61" i="6"/>
  <c r="N64"/>
  <c r="N66"/>
  <c r="L42" i="12"/>
  <c r="L61" i="6"/>
  <c r="L64"/>
  <c r="L66"/>
  <c r="L9" i="37"/>
  <c r="L7"/>
  <c r="P4" i="38"/>
  <c r="S4"/>
  <c r="P34" i="45"/>
  <c r="S34"/>
  <c r="P5" i="38"/>
  <c r="S5"/>
  <c r="E41" i="33"/>
  <c r="G41"/>
  <c r="G45"/>
  <c r="E41" i="42"/>
  <c r="E45"/>
  <c r="C16"/>
  <c r="H50" i="5"/>
  <c r="M49"/>
  <c r="H48"/>
  <c r="H42"/>
  <c r="M41"/>
  <c r="P3" i="45"/>
  <c r="O51" i="5"/>
  <c r="O54"/>
  <c r="O55"/>
  <c r="P36" i="38"/>
  <c r="S36"/>
  <c r="F8" i="46"/>
  <c r="L7"/>
  <c r="G42" i="12"/>
  <c r="L7" i="42"/>
  <c r="P3" i="38"/>
  <c r="O35" i="41"/>
  <c r="R35"/>
  <c r="L7" i="33"/>
  <c r="L8"/>
  <c r="J4" i="45"/>
  <c r="M4"/>
  <c r="D5"/>
  <c r="J5"/>
  <c r="M5"/>
  <c r="E8" i="33"/>
  <c r="F8"/>
  <c r="S56" i="5"/>
  <c r="S57"/>
  <c r="C48" i="42"/>
  <c r="F92" i="12"/>
  <c r="C46" i="37"/>
  <c r="D92" i="12"/>
  <c r="C49" i="33"/>
  <c r="E45"/>
  <c r="F81" i="12"/>
  <c r="I86"/>
  <c r="L84"/>
  <c r="M84"/>
  <c r="H81"/>
  <c r="J81"/>
  <c r="E42"/>
  <c r="E75"/>
  <c r="F84"/>
  <c r="F86"/>
  <c r="G99"/>
  <c r="G84"/>
  <c r="J84"/>
  <c r="G81"/>
  <c r="D84"/>
  <c r="K84"/>
  <c r="I81"/>
  <c r="K81"/>
  <c r="I84"/>
  <c r="N84"/>
  <c r="N86"/>
  <c r="L10" i="22"/>
  <c r="B10" i="60"/>
  <c r="D10"/>
  <c r="E10"/>
  <c r="H30" i="12"/>
  <c r="D99"/>
  <c r="D86"/>
  <c r="M26" i="22"/>
  <c r="M32"/>
  <c r="C24" i="36"/>
  <c r="C26"/>
  <c r="U24" i="59"/>
  <c r="F20" i="56"/>
  <c r="F20" i="57"/>
  <c r="T20" i="56"/>
  <c r="F24"/>
  <c r="F24" i="57"/>
  <c r="F24" i="58"/>
  <c r="T24" i="56"/>
  <c r="T24" i="60"/>
  <c r="F24"/>
  <c r="T24" i="58"/>
  <c r="F14" i="56"/>
  <c r="T14"/>
  <c r="F16"/>
  <c r="F16" i="57"/>
  <c r="U16"/>
  <c r="T16" i="56"/>
  <c r="T14" i="59"/>
  <c r="F14"/>
  <c r="T12"/>
  <c r="F12"/>
  <c r="F12" i="60"/>
  <c r="F12" i="61"/>
  <c r="F20" i="59"/>
  <c r="T20"/>
  <c r="D26" i="61"/>
  <c r="E24"/>
  <c r="T20" i="57"/>
  <c r="T24"/>
  <c r="T12" i="60"/>
  <c r="T12" i="61"/>
  <c r="U12"/>
  <c r="E10" i="59"/>
  <c r="T18" i="56"/>
  <c r="F18"/>
  <c r="F16" i="59"/>
  <c r="F16" i="60"/>
  <c r="F16" i="61"/>
  <c r="T16" i="59"/>
  <c r="T16" i="60"/>
  <c r="T16" i="61"/>
  <c r="B26"/>
  <c r="B28"/>
  <c r="B29"/>
  <c r="C22" i="23"/>
  <c r="J86" i="12"/>
  <c r="H10" i="22"/>
  <c r="B10" i="56"/>
  <c r="D30" i="12"/>
  <c r="D31"/>
  <c r="L86"/>
  <c r="J10" i="22"/>
  <c r="B10" i="58"/>
  <c r="E86" i="12"/>
  <c r="C48" i="46"/>
  <c r="G92" i="12"/>
  <c r="P34" i="38"/>
  <c r="Q34"/>
  <c r="P35" i="45"/>
  <c r="S35"/>
  <c r="S37"/>
  <c r="P35" i="38"/>
  <c r="S35"/>
  <c r="K52" i="5"/>
  <c r="K53"/>
  <c r="P5" i="45"/>
  <c r="D61" i="6"/>
  <c r="D64"/>
  <c r="D66"/>
  <c r="O36" i="41"/>
  <c r="R36"/>
  <c r="K86" i="12"/>
  <c r="I10" i="22"/>
  <c r="B10" i="57"/>
  <c r="D10"/>
  <c r="O71" i="30"/>
  <c r="Q71"/>
  <c r="L71" i="39"/>
  <c r="P4" i="45"/>
  <c r="Q4"/>
  <c r="Q56" i="5"/>
  <c r="G45" i="46"/>
  <c r="G41" i="42"/>
  <c r="G45"/>
  <c r="F99" i="12"/>
  <c r="E99"/>
  <c r="P30" i="6"/>
  <c r="H33" i="12"/>
  <c r="F33"/>
  <c r="G33"/>
  <c r="E33"/>
  <c r="C16" i="48"/>
  <c r="G30" i="12"/>
  <c r="G3"/>
  <c r="Q3" i="45"/>
  <c r="M99" i="12"/>
  <c r="M30"/>
  <c r="M31"/>
  <c r="K30"/>
  <c r="F30"/>
  <c r="J30"/>
  <c r="E30"/>
  <c r="N30"/>
  <c r="I30"/>
  <c r="L30"/>
  <c r="R7" i="34"/>
  <c r="C36" i="33"/>
  <c r="C51"/>
  <c r="H51" i="5"/>
  <c r="I51"/>
  <c r="O40" i="34"/>
  <c r="J71" i="30"/>
  <c r="L71"/>
  <c r="J16" i="22"/>
  <c r="B16" i="58"/>
  <c r="D16"/>
  <c r="E16"/>
  <c r="T16"/>
  <c r="L99" i="12"/>
  <c r="I99"/>
  <c r="O31"/>
  <c r="O3"/>
  <c r="H99"/>
  <c r="L14" i="22"/>
  <c r="B14" i="60"/>
  <c r="D14"/>
  <c r="E14"/>
  <c r="N99" i="12"/>
  <c r="H3"/>
  <c r="H31"/>
  <c r="J99"/>
  <c r="I14" i="22"/>
  <c r="B14" i="57"/>
  <c r="D14"/>
  <c r="E14"/>
  <c r="T14"/>
  <c r="K99" i="12"/>
  <c r="D3"/>
  <c r="C52" i="46"/>
  <c r="J8"/>
  <c r="L8"/>
  <c r="C49"/>
  <c r="M76" i="12"/>
  <c r="K18" i="22"/>
  <c r="M62" i="12"/>
  <c r="M63"/>
  <c r="M66"/>
  <c r="M68"/>
  <c r="C50" i="37"/>
  <c r="C53"/>
  <c r="J8"/>
  <c r="L8"/>
  <c r="E92" i="12"/>
  <c r="Q34" i="45"/>
  <c r="M53" i="5"/>
  <c r="M54"/>
  <c r="M89" i="12"/>
  <c r="F75"/>
  <c r="F62"/>
  <c r="F63"/>
  <c r="F66"/>
  <c r="F68"/>
  <c r="G53"/>
  <c r="G86"/>
  <c r="G61" i="6"/>
  <c r="L20" i="22"/>
  <c r="B20" i="60"/>
  <c r="D20"/>
  <c r="E20"/>
  <c r="H75" i="12"/>
  <c r="H62"/>
  <c r="H63"/>
  <c r="H66"/>
  <c r="H68"/>
  <c r="K62"/>
  <c r="K63"/>
  <c r="K66"/>
  <c r="K68"/>
  <c r="K76"/>
  <c r="D77"/>
  <c r="D94"/>
  <c r="D95"/>
  <c r="D62"/>
  <c r="D63"/>
  <c r="D66"/>
  <c r="D68"/>
  <c r="P44"/>
  <c r="N62"/>
  <c r="N63"/>
  <c r="N66"/>
  <c r="N68"/>
  <c r="L62"/>
  <c r="L63"/>
  <c r="L66"/>
  <c r="L68"/>
  <c r="L75"/>
  <c r="J62"/>
  <c r="J63"/>
  <c r="J66"/>
  <c r="J68"/>
  <c r="J77"/>
  <c r="F91"/>
  <c r="J8" i="42"/>
  <c r="L8"/>
  <c r="C49"/>
  <c r="G76" i="12"/>
  <c r="P43"/>
  <c r="O62"/>
  <c r="O63"/>
  <c r="O66"/>
  <c r="O68"/>
  <c r="G75"/>
  <c r="G62"/>
  <c r="P42"/>
  <c r="R34" i="41"/>
  <c r="P34"/>
  <c r="P35"/>
  <c r="P5"/>
  <c r="P3"/>
  <c r="P4"/>
  <c r="R3"/>
  <c r="R6"/>
  <c r="C36" i="42"/>
  <c r="O6" i="41"/>
  <c r="Q4" i="38"/>
  <c r="P6"/>
  <c r="S3"/>
  <c r="S6"/>
  <c r="S7"/>
  <c r="Q3"/>
  <c r="Q5"/>
  <c r="Q36"/>
  <c r="P61" i="6"/>
  <c r="P37" i="38"/>
  <c r="P40"/>
  <c r="I94" i="12"/>
  <c r="G3" i="22"/>
  <c r="G22"/>
  <c r="B22" i="52"/>
  <c r="D22"/>
  <c r="E22"/>
  <c r="E62" i="12"/>
  <c r="E63"/>
  <c r="E66"/>
  <c r="E68"/>
  <c r="E94"/>
  <c r="E95"/>
  <c r="O37" i="41"/>
  <c r="N94" i="12"/>
  <c r="N95"/>
  <c r="U16" i="60"/>
  <c r="Q5" i="45"/>
  <c r="Q6"/>
  <c r="U12" i="60"/>
  <c r="U20" i="57"/>
  <c r="U12" i="59"/>
  <c r="U14"/>
  <c r="P6" i="45"/>
  <c r="U18" i="56"/>
  <c r="U24" i="60"/>
  <c r="T14" i="58"/>
  <c r="T20" i="60"/>
  <c r="T20" i="61"/>
  <c r="K26" i="22"/>
  <c r="K28"/>
  <c r="B18" i="59"/>
  <c r="D10" i="58"/>
  <c r="D10" i="56"/>
  <c r="T24" i="61"/>
  <c r="E26"/>
  <c r="F24"/>
  <c r="Q35" i="38"/>
  <c r="Q37"/>
  <c r="S34"/>
  <c r="S37"/>
  <c r="U16" i="61"/>
  <c r="U16" i="59"/>
  <c r="D26" i="60"/>
  <c r="B26"/>
  <c r="B28"/>
  <c r="B29"/>
  <c r="U24" i="57"/>
  <c r="U20" i="59"/>
  <c r="F14" i="60"/>
  <c r="F14" i="61"/>
  <c r="U16" i="56"/>
  <c r="U14"/>
  <c r="U24" i="58"/>
  <c r="U24" i="56"/>
  <c r="U20"/>
  <c r="T14" i="60"/>
  <c r="T14" i="61"/>
  <c r="E10" i="57"/>
  <c r="T10" i="61"/>
  <c r="E26" i="60"/>
  <c r="T10"/>
  <c r="F10" i="59"/>
  <c r="T10"/>
  <c r="F20" i="60"/>
  <c r="F20" i="61"/>
  <c r="F16" i="58"/>
  <c r="U16"/>
  <c r="F14" i="57"/>
  <c r="F14" i="58"/>
  <c r="P37" i="45"/>
  <c r="R37" i="41"/>
  <c r="C42" i="42"/>
  <c r="C51"/>
  <c r="Q35" i="45"/>
  <c r="Q37"/>
  <c r="P36" i="41"/>
  <c r="P37"/>
  <c r="H34" i="12"/>
  <c r="M3"/>
  <c r="K31"/>
  <c r="K3"/>
  <c r="G64" i="6"/>
  <c r="G66"/>
  <c r="P66"/>
  <c r="C18" i="48"/>
  <c r="L26" i="22"/>
  <c r="L29"/>
  <c r="G31" i="12"/>
  <c r="G34"/>
  <c r="P30"/>
  <c r="I31"/>
  <c r="I34"/>
  <c r="I3"/>
  <c r="N31"/>
  <c r="N3"/>
  <c r="J31"/>
  <c r="J34"/>
  <c r="J3"/>
  <c r="L3"/>
  <c r="L31"/>
  <c r="E3"/>
  <c r="E31"/>
  <c r="E34"/>
  <c r="F3"/>
  <c r="F31"/>
  <c r="F34"/>
  <c r="C52" i="33"/>
  <c r="J9"/>
  <c r="L9"/>
  <c r="M94" i="12"/>
  <c r="M95"/>
  <c r="D34"/>
  <c r="F94"/>
  <c r="F95"/>
  <c r="D104"/>
  <c r="H12" i="22"/>
  <c r="J94" i="12"/>
  <c r="J95"/>
  <c r="J20" i="22"/>
  <c r="L94" i="12"/>
  <c r="L95"/>
  <c r="H94"/>
  <c r="I18" i="22"/>
  <c r="K94" i="12"/>
  <c r="K95"/>
  <c r="G94"/>
  <c r="G63"/>
  <c r="P62"/>
  <c r="Q6" i="38"/>
  <c r="P6" i="41"/>
  <c r="O40"/>
  <c r="I95" i="12"/>
  <c r="P40" i="45"/>
  <c r="U14" i="58"/>
  <c r="U14" i="60"/>
  <c r="K29" i="22"/>
  <c r="K32"/>
  <c r="U20" i="61"/>
  <c r="I26" i="22"/>
  <c r="I28"/>
  <c r="B18" i="57"/>
  <c r="J26" i="22"/>
  <c r="J29"/>
  <c r="B20" i="58"/>
  <c r="H26" i="22"/>
  <c r="H28"/>
  <c r="B12" i="56"/>
  <c r="E10"/>
  <c r="E10" i="58"/>
  <c r="U10" i="59"/>
  <c r="U14" i="61"/>
  <c r="U14" i="57"/>
  <c r="U24" i="61"/>
  <c r="U20" i="60"/>
  <c r="F10"/>
  <c r="D18" i="59"/>
  <c r="B26"/>
  <c r="B28"/>
  <c r="B29"/>
  <c r="P64" i="6"/>
  <c r="G2" i="22"/>
  <c r="G8"/>
  <c r="G18"/>
  <c r="B18" i="52"/>
  <c r="D18"/>
  <c r="E18"/>
  <c r="G14" i="22"/>
  <c r="B14" i="52"/>
  <c r="D14"/>
  <c r="E14"/>
  <c r="G10" i="22"/>
  <c r="B10" i="52"/>
  <c r="D10"/>
  <c r="E10"/>
  <c r="G20" i="22"/>
  <c r="B20" i="52"/>
  <c r="D20"/>
  <c r="E20"/>
  <c r="G16" i="22"/>
  <c r="B16" i="52"/>
  <c r="D16"/>
  <c r="E16"/>
  <c r="G12" i="22"/>
  <c r="B12" i="52"/>
  <c r="D12"/>
  <c r="H95" i="12"/>
  <c r="F3" i="22"/>
  <c r="C20" i="48"/>
  <c r="L28" i="22"/>
  <c r="L32"/>
  <c r="P31" i="12"/>
  <c r="G95"/>
  <c r="E3" i="22"/>
  <c r="J32"/>
  <c r="H32"/>
  <c r="G66" i="12"/>
  <c r="P63"/>
  <c r="J9" i="42"/>
  <c r="L9"/>
  <c r="C52"/>
  <c r="J28" i="22"/>
  <c r="I29"/>
  <c r="H29"/>
  <c r="I32"/>
  <c r="T10" i="58"/>
  <c r="F10" i="56"/>
  <c r="T10"/>
  <c r="T10" i="57"/>
  <c r="E18" i="59"/>
  <c r="D26"/>
  <c r="F10" i="61"/>
  <c r="D12" i="56"/>
  <c r="B26"/>
  <c r="B28"/>
  <c r="B29"/>
  <c r="D20" i="58"/>
  <c r="B26"/>
  <c r="B28"/>
  <c r="B29"/>
  <c r="D18" i="57"/>
  <c r="B26"/>
  <c r="B28"/>
  <c r="B29"/>
  <c r="U10" i="60"/>
  <c r="G24" i="22"/>
  <c r="G26"/>
  <c r="B8" i="52"/>
  <c r="E12"/>
  <c r="F22" i="22"/>
  <c r="B22" i="48"/>
  <c r="F2" i="22"/>
  <c r="F8"/>
  <c r="F14"/>
  <c r="B14" i="48"/>
  <c r="D14"/>
  <c r="E14"/>
  <c r="F16" i="22"/>
  <c r="B16" i="48"/>
  <c r="D16"/>
  <c r="E16"/>
  <c r="F12" i="22"/>
  <c r="B12" i="48"/>
  <c r="D12"/>
  <c r="E12"/>
  <c r="F10" i="22"/>
  <c r="B10" i="48"/>
  <c r="D10"/>
  <c r="E10"/>
  <c r="F18" i="22"/>
  <c r="B18" i="48"/>
  <c r="D18"/>
  <c r="E18"/>
  <c r="F20" i="22"/>
  <c r="B20" i="48"/>
  <c r="D20"/>
  <c r="E20"/>
  <c r="K33" i="12"/>
  <c r="C24" i="48"/>
  <c r="C22"/>
  <c r="E2" i="22"/>
  <c r="E14"/>
  <c r="E16"/>
  <c r="E8"/>
  <c r="E12"/>
  <c r="B12" i="44"/>
  <c r="D12"/>
  <c r="E12"/>
  <c r="F12"/>
  <c r="E10" i="22"/>
  <c r="E18"/>
  <c r="B18" i="44"/>
  <c r="D18"/>
  <c r="E18"/>
  <c r="F18"/>
  <c r="E22" i="22"/>
  <c r="B22" i="44"/>
  <c r="D22"/>
  <c r="E22"/>
  <c r="F22"/>
  <c r="E20" i="22"/>
  <c r="P66" i="12"/>
  <c r="P68"/>
  <c r="G68"/>
  <c r="U10" i="56"/>
  <c r="B24" i="52"/>
  <c r="D24"/>
  <c r="G69" i="22"/>
  <c r="G70"/>
  <c r="T18" i="52"/>
  <c r="E18" i="57"/>
  <c r="D26"/>
  <c r="E20" i="58"/>
  <c r="D26"/>
  <c r="E12" i="56"/>
  <c r="D26"/>
  <c r="U10" i="61"/>
  <c r="T18" i="59"/>
  <c r="F18"/>
  <c r="T18" i="60"/>
  <c r="T18" i="61"/>
  <c r="E26" i="59"/>
  <c r="F10" i="57"/>
  <c r="U10"/>
  <c r="T12" i="52"/>
  <c r="G28" i="22"/>
  <c r="G27"/>
  <c r="G32"/>
  <c r="G29"/>
  <c r="D22" i="48"/>
  <c r="E22"/>
  <c r="F24" i="22"/>
  <c r="F12" i="48"/>
  <c r="F12" i="52"/>
  <c r="B8" i="48"/>
  <c r="F18"/>
  <c r="F18" i="52"/>
  <c r="F24" i="6"/>
  <c r="H24"/>
  <c r="E24"/>
  <c r="I24"/>
  <c r="J24"/>
  <c r="N24"/>
  <c r="L24"/>
  <c r="K34" i="12"/>
  <c r="O24" i="6"/>
  <c r="G24"/>
  <c r="K24"/>
  <c r="M24"/>
  <c r="C26" i="48"/>
  <c r="B16" i="44"/>
  <c r="D16"/>
  <c r="E16"/>
  <c r="F16"/>
  <c r="F16" i="48"/>
  <c r="F16" i="52"/>
  <c r="B14" i="44"/>
  <c r="D14"/>
  <c r="E14"/>
  <c r="B20"/>
  <c r="D20"/>
  <c r="E20"/>
  <c r="B10"/>
  <c r="D10"/>
  <c r="E10"/>
  <c r="F10"/>
  <c r="F10" i="48"/>
  <c r="F10" i="52"/>
  <c r="B8" i="44"/>
  <c r="E24" i="22"/>
  <c r="E69"/>
  <c r="E70"/>
  <c r="U18" i="52"/>
  <c r="B26"/>
  <c r="B28"/>
  <c r="B29"/>
  <c r="B24" i="48"/>
  <c r="D24"/>
  <c r="E24"/>
  <c r="F69" i="22"/>
  <c r="F70"/>
  <c r="E24" i="52"/>
  <c r="E26"/>
  <c r="D26"/>
  <c r="U18" i="59"/>
  <c r="T16" i="52"/>
  <c r="U16"/>
  <c r="T22"/>
  <c r="F10" i="58"/>
  <c r="F18" i="60"/>
  <c r="U18"/>
  <c r="F26" i="59"/>
  <c r="T10" i="52"/>
  <c r="U10"/>
  <c r="F14" i="44"/>
  <c r="T26" i="59"/>
  <c r="T26" i="60"/>
  <c r="T26" i="61"/>
  <c r="F12" i="56"/>
  <c r="T12"/>
  <c r="T12" i="58"/>
  <c r="T12" i="57"/>
  <c r="E26" i="56"/>
  <c r="T26"/>
  <c r="T20" i="58"/>
  <c r="F20"/>
  <c r="E26"/>
  <c r="T18" i="57"/>
  <c r="F18"/>
  <c r="F18" i="58"/>
  <c r="T18"/>
  <c r="E26" i="57"/>
  <c r="U12" i="52"/>
  <c r="F22" i="48"/>
  <c r="F22" i="52"/>
  <c r="F26" i="22"/>
  <c r="F32"/>
  <c r="M33" i="6"/>
  <c r="K67"/>
  <c r="K75"/>
  <c r="I52" i="22"/>
  <c r="B52" i="57"/>
  <c r="K74" i="6"/>
  <c r="K91"/>
  <c r="K83"/>
  <c r="K82"/>
  <c r="K85"/>
  <c r="K84"/>
  <c r="K72"/>
  <c r="K87"/>
  <c r="K31"/>
  <c r="K71"/>
  <c r="K77"/>
  <c r="I44" i="22"/>
  <c r="B44" i="57"/>
  <c r="K73" i="6"/>
  <c r="I46" i="22"/>
  <c r="B46" i="57"/>
  <c r="K78" i="6"/>
  <c r="K86"/>
  <c r="I42" i="22"/>
  <c r="B42" i="57"/>
  <c r="K90" i="6"/>
  <c r="K79"/>
  <c r="K76"/>
  <c r="I50" i="22"/>
  <c r="B50" i="57"/>
  <c r="K92" i="6"/>
  <c r="K80"/>
  <c r="K81"/>
  <c r="M33" i="12"/>
  <c r="M34"/>
  <c r="G33" i="6"/>
  <c r="O67"/>
  <c r="O83"/>
  <c r="O82"/>
  <c r="O73"/>
  <c r="M46" i="22"/>
  <c r="B46" i="61"/>
  <c r="O31" i="6"/>
  <c r="O71"/>
  <c r="O74"/>
  <c r="O72"/>
  <c r="O87"/>
  <c r="O84"/>
  <c r="O86"/>
  <c r="M42" i="22"/>
  <c r="B42" i="61"/>
  <c r="O79" i="6"/>
  <c r="O75"/>
  <c r="M52" i="22"/>
  <c r="B52" i="61"/>
  <c r="O80" i="6"/>
  <c r="O85"/>
  <c r="O78"/>
  <c r="O81"/>
  <c r="O76"/>
  <c r="M50" i="22"/>
  <c r="B50" i="61"/>
  <c r="O77" i="6"/>
  <c r="M44" i="22"/>
  <c r="B44" i="61"/>
  <c r="O33" i="6"/>
  <c r="N33" i="12"/>
  <c r="N34"/>
  <c r="N67" i="6"/>
  <c r="N78"/>
  <c r="N31"/>
  <c r="N71"/>
  <c r="N72"/>
  <c r="N84"/>
  <c r="N86"/>
  <c r="L42" i="22"/>
  <c r="B42" i="60"/>
  <c r="N85" i="6"/>
  <c r="N82"/>
  <c r="N73"/>
  <c r="L46" i="22"/>
  <c r="B46" i="60"/>
  <c r="N83" i="6"/>
  <c r="N76"/>
  <c r="L50" i="22"/>
  <c r="B50" i="60"/>
  <c r="N87" i="6"/>
  <c r="N79"/>
  <c r="N77"/>
  <c r="L44" i="22"/>
  <c r="B44" i="60"/>
  <c r="N80" i="6"/>
  <c r="N74"/>
  <c r="L48" i="22"/>
  <c r="B48" i="60"/>
  <c r="N81" i="6"/>
  <c r="N75"/>
  <c r="L52" i="22"/>
  <c r="B52" i="60"/>
  <c r="J67" i="6"/>
  <c r="J83"/>
  <c r="J31"/>
  <c r="J71"/>
  <c r="J73"/>
  <c r="H46" i="22"/>
  <c r="B46" i="56"/>
  <c r="J82" i="6"/>
  <c r="J85"/>
  <c r="J78"/>
  <c r="J72"/>
  <c r="J84"/>
  <c r="J91"/>
  <c r="J74"/>
  <c r="J86"/>
  <c r="H42" i="22"/>
  <c r="B42" i="56"/>
  <c r="J80" i="6"/>
  <c r="J75"/>
  <c r="H52" i="22"/>
  <c r="B52" i="56"/>
  <c r="J92" i="6"/>
  <c r="J79"/>
  <c r="J76"/>
  <c r="H50" i="22"/>
  <c r="B50" i="56"/>
  <c r="J87" i="6"/>
  <c r="J81"/>
  <c r="J90"/>
  <c r="J77"/>
  <c r="H44" i="22"/>
  <c r="B44" i="56"/>
  <c r="I33" i="6"/>
  <c r="D24"/>
  <c r="E74"/>
  <c r="E67"/>
  <c r="E78"/>
  <c r="E87"/>
  <c r="E84"/>
  <c r="E83"/>
  <c r="E31"/>
  <c r="E71"/>
  <c r="E91"/>
  <c r="E76"/>
  <c r="E81"/>
  <c r="E75"/>
  <c r="E90"/>
  <c r="E72"/>
  <c r="E86"/>
  <c r="E80"/>
  <c r="E85"/>
  <c r="E82"/>
  <c r="E73"/>
  <c r="E77"/>
  <c r="E92"/>
  <c r="E79"/>
  <c r="K9" i="40"/>
  <c r="I11"/>
  <c r="F33" i="6"/>
  <c r="M67"/>
  <c r="M74"/>
  <c r="M75"/>
  <c r="K52" i="22"/>
  <c r="B52" i="59"/>
  <c r="M72" i="6"/>
  <c r="M87"/>
  <c r="M82"/>
  <c r="M84"/>
  <c r="M77"/>
  <c r="K44" i="22"/>
  <c r="B44" i="59"/>
  <c r="M80" i="6"/>
  <c r="M85"/>
  <c r="M91"/>
  <c r="M78"/>
  <c r="M90"/>
  <c r="M81"/>
  <c r="M86"/>
  <c r="K42" i="22"/>
  <c r="B42" i="59"/>
  <c r="M79" i="6"/>
  <c r="M31"/>
  <c r="M71"/>
  <c r="M83"/>
  <c r="M73"/>
  <c r="K46" i="22"/>
  <c r="B46" i="59"/>
  <c r="M92" i="6"/>
  <c r="M76"/>
  <c r="K50" i="22"/>
  <c r="B50" i="59"/>
  <c r="K33" i="6"/>
  <c r="G67"/>
  <c r="G84"/>
  <c r="G73"/>
  <c r="E46" i="22"/>
  <c r="B46" i="44"/>
  <c r="G31" i="6"/>
  <c r="G71"/>
  <c r="G72"/>
  <c r="G91"/>
  <c r="G82"/>
  <c r="G85"/>
  <c r="G74"/>
  <c r="G100"/>
  <c r="G80"/>
  <c r="G87"/>
  <c r="G78"/>
  <c r="G81"/>
  <c r="G92"/>
  <c r="G75"/>
  <c r="E52" i="22"/>
  <c r="B52" i="44"/>
  <c r="G83" i="6"/>
  <c r="G90"/>
  <c r="G77"/>
  <c r="E44" i="22"/>
  <c r="B44" i="44"/>
  <c r="G79" i="6"/>
  <c r="G76"/>
  <c r="E50" i="22"/>
  <c r="B50" i="44"/>
  <c r="G86" i="6"/>
  <c r="E42" i="22"/>
  <c r="B42" i="44"/>
  <c r="O33" i="12"/>
  <c r="O34"/>
  <c r="L78" i="6"/>
  <c r="L72"/>
  <c r="L83"/>
  <c r="L73"/>
  <c r="J46" i="22"/>
  <c r="B46" i="58"/>
  <c r="L74" i="6"/>
  <c r="L82"/>
  <c r="L85"/>
  <c r="L84"/>
  <c r="L92"/>
  <c r="L86"/>
  <c r="J42" i="22"/>
  <c r="B42" i="58"/>
  <c r="L77" i="6"/>
  <c r="J44" i="22"/>
  <c r="B44" i="58"/>
  <c r="L76" i="6"/>
  <c r="J50" i="22"/>
  <c r="B50" i="58"/>
  <c r="L79" i="6"/>
  <c r="L75"/>
  <c r="J52" i="22"/>
  <c r="B52" i="58"/>
  <c r="L31" i="6"/>
  <c r="L71"/>
  <c r="L91"/>
  <c r="L90"/>
  <c r="L80"/>
  <c r="L67"/>
  <c r="L87"/>
  <c r="L81"/>
  <c r="L33"/>
  <c r="N33"/>
  <c r="N34"/>
  <c r="J33"/>
  <c r="I87"/>
  <c r="I78"/>
  <c r="I75"/>
  <c r="G52" i="22"/>
  <c r="B52" i="52"/>
  <c r="I72" i="6"/>
  <c r="I100"/>
  <c r="I77"/>
  <c r="G44" i="22"/>
  <c r="B44" i="52"/>
  <c r="I73" i="6"/>
  <c r="G46" i="22"/>
  <c r="B46" i="52"/>
  <c r="I74" i="6"/>
  <c r="I67"/>
  <c r="I31"/>
  <c r="I83"/>
  <c r="I82"/>
  <c r="I85"/>
  <c r="I84"/>
  <c r="I86"/>
  <c r="G42" i="22"/>
  <c r="B42" i="52"/>
  <c r="I81" i="6"/>
  <c r="I80"/>
  <c r="I90"/>
  <c r="I76"/>
  <c r="G50" i="22"/>
  <c r="B50" i="52"/>
  <c r="I92" i="6"/>
  <c r="I91"/>
  <c r="I79"/>
  <c r="E33"/>
  <c r="H84"/>
  <c r="H67"/>
  <c r="H78"/>
  <c r="H91"/>
  <c r="H90"/>
  <c r="H83"/>
  <c r="H82"/>
  <c r="H31"/>
  <c r="H71"/>
  <c r="H74"/>
  <c r="H86"/>
  <c r="F42" i="22"/>
  <c r="B42" i="48"/>
  <c r="H80" i="6"/>
  <c r="H85"/>
  <c r="H87"/>
  <c r="H81"/>
  <c r="H72"/>
  <c r="H73"/>
  <c r="F46" i="22"/>
  <c r="B46" i="48"/>
  <c r="H92" i="6"/>
  <c r="H76"/>
  <c r="F50" i="22"/>
  <c r="B50" i="48"/>
  <c r="H79" i="6"/>
  <c r="H75"/>
  <c r="F52" i="22"/>
  <c r="H77" i="6"/>
  <c r="F44" i="22"/>
  <c r="B44" i="48"/>
  <c r="H33" i="6"/>
  <c r="H34"/>
  <c r="F87"/>
  <c r="F31"/>
  <c r="F71"/>
  <c r="F78"/>
  <c r="F67"/>
  <c r="F74"/>
  <c r="F83"/>
  <c r="F73"/>
  <c r="F91"/>
  <c r="F82"/>
  <c r="F85"/>
  <c r="F80"/>
  <c r="F84"/>
  <c r="F76"/>
  <c r="F77"/>
  <c r="F92"/>
  <c r="F90"/>
  <c r="F86"/>
  <c r="F72"/>
  <c r="F81"/>
  <c r="F75"/>
  <c r="F79"/>
  <c r="D26" i="48"/>
  <c r="B24" i="44"/>
  <c r="D24"/>
  <c r="E26" i="22"/>
  <c r="F20" i="44"/>
  <c r="F29" i="22"/>
  <c r="B26" i="48"/>
  <c r="B28"/>
  <c r="B29"/>
  <c r="E34" i="6"/>
  <c r="K34"/>
  <c r="U18" i="57"/>
  <c r="U26" i="59"/>
  <c r="F20" i="48"/>
  <c r="F20" i="52"/>
  <c r="T20"/>
  <c r="F14" i="48"/>
  <c r="F14" i="52"/>
  <c r="T14"/>
  <c r="T26" i="57"/>
  <c r="U18" i="58"/>
  <c r="T26"/>
  <c r="U20"/>
  <c r="U12" i="56"/>
  <c r="F12" i="57"/>
  <c r="U12"/>
  <c r="F26" i="56"/>
  <c r="U26"/>
  <c r="F18" i="61"/>
  <c r="F26" i="60"/>
  <c r="U26"/>
  <c r="U10" i="58"/>
  <c r="U22" i="52"/>
  <c r="F28" i="22"/>
  <c r="F27"/>
  <c r="J34" i="6"/>
  <c r="L34"/>
  <c r="E99"/>
  <c r="J100"/>
  <c r="M48" i="22"/>
  <c r="B48" i="61"/>
  <c r="F100" i="6"/>
  <c r="F99"/>
  <c r="F89"/>
  <c r="F95"/>
  <c r="F96"/>
  <c r="H100"/>
  <c r="F48" i="22"/>
  <c r="B48" i="48"/>
  <c r="H99" i="6"/>
  <c r="B52" i="48"/>
  <c r="H89" i="6"/>
  <c r="F40" i="22"/>
  <c r="G48"/>
  <c r="B48" i="52"/>
  <c r="L99" i="6"/>
  <c r="L100"/>
  <c r="J48" i="22"/>
  <c r="B48" i="58"/>
  <c r="G99" i="6"/>
  <c r="E48" i="22"/>
  <c r="B48" i="44"/>
  <c r="M89" i="6"/>
  <c r="K40" i="22"/>
  <c r="B40" i="59"/>
  <c r="E89" i="6"/>
  <c r="E95"/>
  <c r="E96"/>
  <c r="E110"/>
  <c r="E104"/>
  <c r="D33"/>
  <c r="J99"/>
  <c r="H48" i="22"/>
  <c r="B48" i="56"/>
  <c r="N89" i="6"/>
  <c r="L40" i="22"/>
  <c r="B40" i="60"/>
  <c r="E100" i="6"/>
  <c r="O34"/>
  <c r="G34"/>
  <c r="M34"/>
  <c r="I34"/>
  <c r="I71"/>
  <c r="L89"/>
  <c r="J40" i="22"/>
  <c r="B40" i="58"/>
  <c r="G89" i="6"/>
  <c r="E40" i="22"/>
  <c r="K48"/>
  <c r="B48" i="59"/>
  <c r="M100" i="6"/>
  <c r="M99"/>
  <c r="L33" i="12"/>
  <c r="D87" i="6"/>
  <c r="D84"/>
  <c r="D74"/>
  <c r="D90"/>
  <c r="D85"/>
  <c r="D67"/>
  <c r="D72"/>
  <c r="D78"/>
  <c r="D91"/>
  <c r="D73"/>
  <c r="P24"/>
  <c r="D82"/>
  <c r="D80"/>
  <c r="D83"/>
  <c r="D81"/>
  <c r="D31"/>
  <c r="D92"/>
  <c r="D86"/>
  <c r="D76"/>
  <c r="D75"/>
  <c r="D79"/>
  <c r="D77"/>
  <c r="J89"/>
  <c r="H40" i="22"/>
  <c r="B40" i="56"/>
  <c r="O89" i="6"/>
  <c r="M40" i="22"/>
  <c r="B40" i="61"/>
  <c r="K89" i="6"/>
  <c r="I40" i="22"/>
  <c r="B40" i="57"/>
  <c r="I48" i="22"/>
  <c r="B48" i="57"/>
  <c r="K100" i="6"/>
  <c r="K99"/>
  <c r="I99"/>
  <c r="I101"/>
  <c r="F34"/>
  <c r="I13" i="40"/>
  <c r="E26" i="48"/>
  <c r="B26" i="44"/>
  <c r="B28"/>
  <c r="B29"/>
  <c r="E24"/>
  <c r="D26"/>
  <c r="E29" i="22"/>
  <c r="E28"/>
  <c r="E27"/>
  <c r="E32"/>
  <c r="H95" i="6"/>
  <c r="H96"/>
  <c r="U14" i="52"/>
  <c r="U20"/>
  <c r="F26" i="61"/>
  <c r="U26"/>
  <c r="U18"/>
  <c r="F12" i="58"/>
  <c r="F26" i="57"/>
  <c r="U26"/>
  <c r="J95" i="6"/>
  <c r="J96"/>
  <c r="D99"/>
  <c r="B40" i="48"/>
  <c r="L95" i="6"/>
  <c r="L96"/>
  <c r="N95"/>
  <c r="N96"/>
  <c r="B40" i="44"/>
  <c r="I89" i="6"/>
  <c r="M95"/>
  <c r="M96"/>
  <c r="D71"/>
  <c r="P31"/>
  <c r="L34" i="12"/>
  <c r="P33"/>
  <c r="P33" i="6"/>
  <c r="D34"/>
  <c r="K95"/>
  <c r="K96"/>
  <c r="O95"/>
  <c r="O96"/>
  <c r="D100"/>
  <c r="G95"/>
  <c r="G96"/>
  <c r="F24" i="44"/>
  <c r="T24" i="52"/>
  <c r="E26" i="44"/>
  <c r="U12" i="58"/>
  <c r="F26"/>
  <c r="U26"/>
  <c r="D89" i="6"/>
  <c r="D95"/>
  <c r="D96"/>
  <c r="J106"/>
  <c r="D104"/>
  <c r="P71"/>
  <c r="G40" i="22"/>
  <c r="I95" i="6"/>
  <c r="I96"/>
  <c r="F26" i="44"/>
  <c r="T26" i="52"/>
  <c r="F24" i="48"/>
  <c r="F26"/>
  <c r="F24" i="52"/>
  <c r="B40"/>
  <c r="G38" i="22"/>
  <c r="G56"/>
  <c r="I107" i="6"/>
  <c r="I38" i="22"/>
  <c r="K107" i="6"/>
  <c r="N107"/>
  <c r="L107"/>
  <c r="J38" i="22"/>
  <c r="J107" i="6"/>
  <c r="H38" i="22"/>
  <c r="O107" i="6"/>
  <c r="L38" i="22"/>
  <c r="G107" i="6"/>
  <c r="E38" i="22"/>
  <c r="C38"/>
  <c r="E107" i="6"/>
  <c r="F107"/>
  <c r="D38" i="22"/>
  <c r="H107" i="6"/>
  <c r="F38" i="22"/>
  <c r="F56"/>
  <c r="F72"/>
  <c r="F73"/>
  <c r="K38"/>
  <c r="M107" i="6"/>
  <c r="L58" i="22"/>
  <c r="B38" i="60"/>
  <c r="B58"/>
  <c r="N49"/>
  <c r="N53"/>
  <c r="C40"/>
  <c r="C42"/>
  <c r="B38" i="58"/>
  <c r="B58"/>
  <c r="N49"/>
  <c r="N53"/>
  <c r="C40"/>
  <c r="C42"/>
  <c r="B38" i="59"/>
  <c r="B58"/>
  <c r="N49"/>
  <c r="N53"/>
  <c r="C40"/>
  <c r="C42"/>
  <c r="N49" i="56"/>
  <c r="N53"/>
  <c r="C40"/>
  <c r="C42"/>
  <c r="B38"/>
  <c r="B58"/>
  <c r="N49" i="52"/>
  <c r="N53"/>
  <c r="C40"/>
  <c r="C42"/>
  <c r="B38"/>
  <c r="N49" i="57"/>
  <c r="N53"/>
  <c r="C40"/>
  <c r="C42"/>
  <c r="B38"/>
  <c r="B58"/>
  <c r="B56" i="52"/>
  <c r="G72" i="22"/>
  <c r="G73"/>
  <c r="F26" i="52"/>
  <c r="U26"/>
  <c r="U24"/>
  <c r="B56" i="48"/>
  <c r="K58" i="22"/>
  <c r="L60"/>
  <c r="L64"/>
  <c r="L61"/>
  <c r="H58"/>
  <c r="G58"/>
  <c r="N49" i="48"/>
  <c r="N53"/>
  <c r="C40"/>
  <c r="C42"/>
  <c r="B38"/>
  <c r="B58"/>
  <c r="F58" i="22"/>
  <c r="B38" i="36"/>
  <c r="N49"/>
  <c r="N53"/>
  <c r="C40"/>
  <c r="C42"/>
  <c r="C44"/>
  <c r="C46"/>
  <c r="C48"/>
  <c r="N49" i="35"/>
  <c r="N53"/>
  <c r="C40"/>
  <c r="C42"/>
  <c r="C44"/>
  <c r="C46"/>
  <c r="C48"/>
  <c r="B38"/>
  <c r="B38" i="44"/>
  <c r="N49"/>
  <c r="N53"/>
  <c r="C40"/>
  <c r="C42"/>
  <c r="E56" i="22"/>
  <c r="E72"/>
  <c r="E73"/>
  <c r="J58"/>
  <c r="I58"/>
  <c r="C44" i="52"/>
  <c r="D42"/>
  <c r="B61" i="57"/>
  <c r="B60"/>
  <c r="B60" i="56"/>
  <c r="B61"/>
  <c r="C44" i="58"/>
  <c r="D42"/>
  <c r="B61" i="60"/>
  <c r="B60"/>
  <c r="C44" i="59"/>
  <c r="D42"/>
  <c r="C44" i="60"/>
  <c r="D42"/>
  <c r="B61" i="59"/>
  <c r="B60"/>
  <c r="C44" i="57"/>
  <c r="D42"/>
  <c r="C44" i="56"/>
  <c r="D42"/>
  <c r="B60" i="58"/>
  <c r="B61"/>
  <c r="B58" i="52"/>
  <c r="B61"/>
  <c r="I61" i="22"/>
  <c r="I60"/>
  <c r="I64"/>
  <c r="B56" i="44"/>
  <c r="B58"/>
  <c r="C52" i="35"/>
  <c r="C50"/>
  <c r="M38" i="22"/>
  <c r="C50" i="36"/>
  <c r="C52"/>
  <c r="F61" i="22"/>
  <c r="F60"/>
  <c r="F64"/>
  <c r="D42" i="48"/>
  <c r="C44"/>
  <c r="D107" i="6"/>
  <c r="B38" i="22"/>
  <c r="J60"/>
  <c r="J61"/>
  <c r="J64"/>
  <c r="C44" i="44"/>
  <c r="D42"/>
  <c r="B60" i="48"/>
  <c r="B61"/>
  <c r="G60" i="22"/>
  <c r="G61"/>
  <c r="G64"/>
  <c r="H60"/>
  <c r="H61"/>
  <c r="H64"/>
  <c r="K64"/>
  <c r="K60"/>
  <c r="K61"/>
  <c r="E58"/>
  <c r="M58"/>
  <c r="M64"/>
  <c r="B38" i="61"/>
  <c r="B58"/>
  <c r="N49"/>
  <c r="N53"/>
  <c r="C40"/>
  <c r="C42"/>
  <c r="E42" i="56"/>
  <c r="C46" i="60"/>
  <c r="D44"/>
  <c r="E44"/>
  <c r="D44" i="59"/>
  <c r="E44"/>
  <c r="T44" i="60"/>
  <c r="C46" i="52"/>
  <c r="D44"/>
  <c r="E44"/>
  <c r="B60"/>
  <c r="C46" i="57"/>
  <c r="D44"/>
  <c r="E44"/>
  <c r="E42" i="60"/>
  <c r="E42" i="52"/>
  <c r="E42" i="57"/>
  <c r="C46" i="59"/>
  <c r="C46" i="58"/>
  <c r="D44"/>
  <c r="E44"/>
  <c r="C46" i="56"/>
  <c r="D44"/>
  <c r="E44"/>
  <c r="E42" i="59"/>
  <c r="E42" i="58"/>
  <c r="E42" i="44"/>
  <c r="B61"/>
  <c r="B60"/>
  <c r="D44" i="48"/>
  <c r="E44"/>
  <c r="C46"/>
  <c r="E64" i="22"/>
  <c r="E60"/>
  <c r="E61"/>
  <c r="C46" i="44"/>
  <c r="D44"/>
  <c r="E44"/>
  <c r="F44"/>
  <c r="B38" i="23"/>
  <c r="N38" i="22"/>
  <c r="N49" i="23"/>
  <c r="N53"/>
  <c r="C40"/>
  <c r="C42"/>
  <c r="E42" i="48"/>
  <c r="C54" i="36"/>
  <c r="D54"/>
  <c r="E54"/>
  <c r="C56"/>
  <c r="C58"/>
  <c r="C54" i="35"/>
  <c r="D54"/>
  <c r="E54"/>
  <c r="C56"/>
  <c r="C58"/>
  <c r="T42" i="59"/>
  <c r="F42"/>
  <c r="C48" i="58"/>
  <c r="D46"/>
  <c r="T42" i="57"/>
  <c r="T42" i="60"/>
  <c r="C48"/>
  <c r="D46"/>
  <c r="E46"/>
  <c r="B61" i="61"/>
  <c r="B60"/>
  <c r="T44" i="58"/>
  <c r="T42"/>
  <c r="C48" i="56"/>
  <c r="D46"/>
  <c r="C48" i="59"/>
  <c r="D46"/>
  <c r="E46"/>
  <c r="C48" i="57"/>
  <c r="D46"/>
  <c r="E46"/>
  <c r="C44" i="61"/>
  <c r="D42"/>
  <c r="F44" i="56"/>
  <c r="F44" i="57"/>
  <c r="F44" i="58"/>
  <c r="T44" i="56"/>
  <c r="U44"/>
  <c r="T44" i="59"/>
  <c r="F44"/>
  <c r="F44" i="60"/>
  <c r="C48" i="52"/>
  <c r="D46"/>
  <c r="E46"/>
  <c r="T42" i="56"/>
  <c r="F42"/>
  <c r="T44" i="57"/>
  <c r="U44"/>
  <c r="T44" i="52"/>
  <c r="F44" i="48"/>
  <c r="F44" i="52"/>
  <c r="O42" i="22"/>
  <c r="C48" i="44"/>
  <c r="D46"/>
  <c r="E46"/>
  <c r="F46"/>
  <c r="D46" i="48"/>
  <c r="C48"/>
  <c r="F42" i="44"/>
  <c r="T42" i="52"/>
  <c r="C44" i="23"/>
  <c r="U42" i="59"/>
  <c r="F42" i="57"/>
  <c r="E46" i="56"/>
  <c r="E46" i="58"/>
  <c r="C50" i="52"/>
  <c r="D50"/>
  <c r="E50"/>
  <c r="C52"/>
  <c r="D48"/>
  <c r="C46" i="61"/>
  <c r="D44"/>
  <c r="E44"/>
  <c r="T44"/>
  <c r="C52" i="59"/>
  <c r="C50"/>
  <c r="D50"/>
  <c r="E50"/>
  <c r="D48"/>
  <c r="E48"/>
  <c r="C50" i="60"/>
  <c r="D50"/>
  <c r="E50"/>
  <c r="C52"/>
  <c r="D48"/>
  <c r="F42"/>
  <c r="U44"/>
  <c r="U44" i="58"/>
  <c r="U42" i="57"/>
  <c r="E42" i="61"/>
  <c r="F46" i="59"/>
  <c r="F46" i="60"/>
  <c r="T46" i="59"/>
  <c r="U46"/>
  <c r="T46" i="60"/>
  <c r="U46"/>
  <c r="C50" i="57"/>
  <c r="D50"/>
  <c r="E50"/>
  <c r="C52"/>
  <c r="D48"/>
  <c r="E48"/>
  <c r="C52" i="56"/>
  <c r="C50"/>
  <c r="D50"/>
  <c r="E50"/>
  <c r="D48"/>
  <c r="E48"/>
  <c r="C50" i="58"/>
  <c r="D50"/>
  <c r="E50"/>
  <c r="T50"/>
  <c r="C52"/>
  <c r="D48"/>
  <c r="E48"/>
  <c r="U42" i="56"/>
  <c r="U44" i="59"/>
  <c r="U42" i="60"/>
  <c r="U44" i="52"/>
  <c r="E46" i="48"/>
  <c r="C46" i="23"/>
  <c r="F42" i="48"/>
  <c r="F42" i="52"/>
  <c r="U42"/>
  <c r="C50" i="48"/>
  <c r="D50"/>
  <c r="E50"/>
  <c r="C52"/>
  <c r="D48"/>
  <c r="E48"/>
  <c r="C50" i="44"/>
  <c r="D50"/>
  <c r="E50"/>
  <c r="F50"/>
  <c r="C52"/>
  <c r="D48"/>
  <c r="T50" i="60"/>
  <c r="T48" i="57"/>
  <c r="T46" i="56"/>
  <c r="F46"/>
  <c r="U46"/>
  <c r="C54" i="58"/>
  <c r="D54"/>
  <c r="E54"/>
  <c r="C56"/>
  <c r="D52"/>
  <c r="E52"/>
  <c r="C54" i="56"/>
  <c r="D54"/>
  <c r="E54"/>
  <c r="C56"/>
  <c r="D52"/>
  <c r="E52"/>
  <c r="C54" i="60"/>
  <c r="D54"/>
  <c r="E54"/>
  <c r="C56"/>
  <c r="D52"/>
  <c r="E52"/>
  <c r="C54" i="59"/>
  <c r="D54"/>
  <c r="E54"/>
  <c r="C56"/>
  <c r="D52"/>
  <c r="E52"/>
  <c r="C54" i="52"/>
  <c r="D54"/>
  <c r="E54"/>
  <c r="C56"/>
  <c r="D52"/>
  <c r="E52"/>
  <c r="F44" i="61"/>
  <c r="U44"/>
  <c r="T48" i="58"/>
  <c r="E48" i="60"/>
  <c r="F50" i="59"/>
  <c r="F50" i="60"/>
  <c r="U50"/>
  <c r="T50" i="59"/>
  <c r="E48" i="52"/>
  <c r="T46" i="58"/>
  <c r="F42"/>
  <c r="T50" i="57"/>
  <c r="T50" i="56"/>
  <c r="F50"/>
  <c r="F50" i="57"/>
  <c r="F50" i="58"/>
  <c r="U50"/>
  <c r="F48" i="56"/>
  <c r="F48" i="57"/>
  <c r="F48" i="58"/>
  <c r="T48" i="56"/>
  <c r="C54" i="57"/>
  <c r="D54"/>
  <c r="E54"/>
  <c r="C56"/>
  <c r="D52"/>
  <c r="E52"/>
  <c r="T42" i="61"/>
  <c r="F42"/>
  <c r="T48" i="59"/>
  <c r="F48"/>
  <c r="C48" i="61"/>
  <c r="D46"/>
  <c r="T46" i="57"/>
  <c r="T50" i="52"/>
  <c r="T46"/>
  <c r="F46" i="48"/>
  <c r="F46" i="52"/>
  <c r="F50" i="48"/>
  <c r="F50" i="52"/>
  <c r="E48" i="44"/>
  <c r="C56"/>
  <c r="C54"/>
  <c r="D54"/>
  <c r="E54"/>
  <c r="F54"/>
  <c r="D52"/>
  <c r="E52"/>
  <c r="F52"/>
  <c r="C54" i="48"/>
  <c r="D54"/>
  <c r="E54"/>
  <c r="C56"/>
  <c r="D52"/>
  <c r="E52"/>
  <c r="C48" i="23"/>
  <c r="U48" i="56"/>
  <c r="U50" i="59"/>
  <c r="T52" i="60"/>
  <c r="U50" i="56"/>
  <c r="T52" i="57"/>
  <c r="E46" i="61"/>
  <c r="C58" i="59"/>
  <c r="D56"/>
  <c r="F46" i="57"/>
  <c r="U46" i="52"/>
  <c r="D56" i="60"/>
  <c r="D58"/>
  <c r="T54"/>
  <c r="T52" i="58"/>
  <c r="T52" i="59"/>
  <c r="F52"/>
  <c r="F52" i="60"/>
  <c r="C58"/>
  <c r="E56"/>
  <c r="T54" i="56"/>
  <c r="F54"/>
  <c r="U54"/>
  <c r="F54" i="57"/>
  <c r="F54" i="58"/>
  <c r="T54"/>
  <c r="U54"/>
  <c r="U46" i="57"/>
  <c r="U48" i="59"/>
  <c r="U42" i="61"/>
  <c r="U50" i="57"/>
  <c r="U48" i="58"/>
  <c r="U48" i="57"/>
  <c r="T54"/>
  <c r="C58" i="56"/>
  <c r="D56"/>
  <c r="C50" i="61"/>
  <c r="D50"/>
  <c r="E50"/>
  <c r="T50"/>
  <c r="C52"/>
  <c r="D48"/>
  <c r="E48"/>
  <c r="C58" i="57"/>
  <c r="D56"/>
  <c r="E56"/>
  <c r="U42" i="58"/>
  <c r="T48" i="60"/>
  <c r="F48"/>
  <c r="U48"/>
  <c r="E58"/>
  <c r="C58" i="52"/>
  <c r="D56"/>
  <c r="E56"/>
  <c r="E58"/>
  <c r="T54" i="59"/>
  <c r="F54"/>
  <c r="U54"/>
  <c r="F54" i="60"/>
  <c r="F52" i="56"/>
  <c r="F52" i="57"/>
  <c r="F52" i="58"/>
  <c r="U52"/>
  <c r="T52" i="56"/>
  <c r="C58" i="58"/>
  <c r="D56"/>
  <c r="T54" i="52"/>
  <c r="T52"/>
  <c r="U50"/>
  <c r="C50" i="23"/>
  <c r="C52"/>
  <c r="C58" i="48"/>
  <c r="D56"/>
  <c r="C58" i="44"/>
  <c r="D56"/>
  <c r="E56"/>
  <c r="F56"/>
  <c r="F48"/>
  <c r="T48" i="52"/>
  <c r="F52" i="48"/>
  <c r="F52" i="52"/>
  <c r="F54" i="48"/>
  <c r="F54" i="52"/>
  <c r="U52" i="56"/>
  <c r="U52" i="59"/>
  <c r="E56"/>
  <c r="D58"/>
  <c r="D58" i="57"/>
  <c r="E56" i="58"/>
  <c r="D58"/>
  <c r="C54" i="61"/>
  <c r="D54"/>
  <c r="E54"/>
  <c r="T54"/>
  <c r="C56"/>
  <c r="D52"/>
  <c r="E52"/>
  <c r="T52"/>
  <c r="E56" i="56"/>
  <c r="D58"/>
  <c r="F46" i="58"/>
  <c r="T46" i="61"/>
  <c r="F46"/>
  <c r="U46"/>
  <c r="U54" i="57"/>
  <c r="U54" i="60"/>
  <c r="U52" i="57"/>
  <c r="T48" i="61"/>
  <c r="F48"/>
  <c r="E58" i="57"/>
  <c r="E58" i="44"/>
  <c r="U52" i="60"/>
  <c r="F50" i="61"/>
  <c r="U50"/>
  <c r="D58" i="52"/>
  <c r="U54"/>
  <c r="U52"/>
  <c r="D58" i="48"/>
  <c r="D58" i="44"/>
  <c r="F48" i="48"/>
  <c r="F48" i="52"/>
  <c r="U48"/>
  <c r="F58" i="44"/>
  <c r="C56" i="23"/>
  <c r="C54"/>
  <c r="D54"/>
  <c r="E54"/>
  <c r="E56" i="48"/>
  <c r="T56" i="58"/>
  <c r="E58"/>
  <c r="E58" i="56"/>
  <c r="T58" i="58"/>
  <c r="T56" i="56"/>
  <c r="F56"/>
  <c r="U56"/>
  <c r="T58"/>
  <c r="F56" i="59"/>
  <c r="T56"/>
  <c r="E58"/>
  <c r="U46" i="58"/>
  <c r="C58" i="61"/>
  <c r="D56"/>
  <c r="E56"/>
  <c r="D58"/>
  <c r="T56" i="57"/>
  <c r="F52" i="61"/>
  <c r="U52"/>
  <c r="T56" i="60"/>
  <c r="T58" i="57"/>
  <c r="U48" i="61"/>
  <c r="F54"/>
  <c r="F54" i="23"/>
  <c r="V54" i="52"/>
  <c r="V54" i="60"/>
  <c r="V54" i="57"/>
  <c r="V54" i="59"/>
  <c r="V54" i="61"/>
  <c r="V54" i="56"/>
  <c r="V54" i="58"/>
  <c r="T56" i="52"/>
  <c r="F56" i="48"/>
  <c r="E58"/>
  <c r="G54" i="23"/>
  <c r="G54" i="35"/>
  <c r="G54" i="36"/>
  <c r="G54" i="44"/>
  <c r="G54" i="48"/>
  <c r="G54" i="52"/>
  <c r="G54" i="56"/>
  <c r="G54" i="57"/>
  <c r="G54" i="58"/>
  <c r="G54" i="59"/>
  <c r="G54" i="60"/>
  <c r="G54" i="61"/>
  <c r="F54" i="35"/>
  <c r="F54" i="36"/>
  <c r="C58" i="23"/>
  <c r="F56" i="60"/>
  <c r="F58"/>
  <c r="F58" i="59"/>
  <c r="T56" i="61"/>
  <c r="T58" i="59"/>
  <c r="T58" i="60"/>
  <c r="F56" i="57"/>
  <c r="F58" i="56"/>
  <c r="U58"/>
  <c r="U54" i="61"/>
  <c r="U56" i="57"/>
  <c r="U56" i="59"/>
  <c r="E58" i="61"/>
  <c r="T58"/>
  <c r="W54" i="58"/>
  <c r="W54" i="57"/>
  <c r="W54" i="56"/>
  <c r="W54" i="59"/>
  <c r="W54" i="60"/>
  <c r="W54" i="61"/>
  <c r="W54" i="52"/>
  <c r="F58" i="48"/>
  <c r="F56" i="52"/>
  <c r="F58"/>
  <c r="T58"/>
  <c r="R4" i="45"/>
  <c r="S4"/>
  <c r="R5"/>
  <c r="S5"/>
  <c r="R3"/>
  <c r="U58" i="60"/>
  <c r="F56" i="58"/>
  <c r="F58" i="57"/>
  <c r="U58"/>
  <c r="U56" i="60"/>
  <c r="U58" i="59"/>
  <c r="F56" i="61"/>
  <c r="F58"/>
  <c r="U58"/>
  <c r="U58" i="52"/>
  <c r="U56"/>
  <c r="S3" i="45"/>
  <c r="S6"/>
  <c r="R6"/>
  <c r="F58" i="58"/>
  <c r="U58"/>
  <c r="U56"/>
  <c r="U56" i="61"/>
  <c r="C36" i="50"/>
  <c r="C42"/>
  <c r="C51"/>
  <c r="C52"/>
  <c r="J9"/>
  <c r="L9"/>
  <c r="D3" i="22"/>
  <c r="B3"/>
  <c r="C3"/>
  <c r="B16"/>
  <c r="B14"/>
  <c r="B50"/>
  <c r="B20"/>
  <c r="B18"/>
  <c r="B8"/>
  <c r="B40"/>
  <c r="B48"/>
  <c r="B10"/>
  <c r="B46"/>
  <c r="B42"/>
  <c r="B22"/>
  <c r="B22" i="23"/>
  <c r="D22"/>
  <c r="E22"/>
  <c r="F22"/>
  <c r="B12" i="22"/>
  <c r="B44"/>
  <c r="B52"/>
  <c r="C17" i="42"/>
  <c r="D31" i="22"/>
  <c r="C12" i="42"/>
  <c r="D9" i="40"/>
  <c r="C22" i="22"/>
  <c r="B22" i="35"/>
  <c r="D22"/>
  <c r="E22"/>
  <c r="C44" i="22"/>
  <c r="B44" i="35"/>
  <c r="D44"/>
  <c r="E44"/>
  <c r="C50" i="22"/>
  <c r="B50" i="35"/>
  <c r="D50"/>
  <c r="E50"/>
  <c r="C12" i="22"/>
  <c r="B12" i="35"/>
  <c r="D12"/>
  <c r="E12"/>
  <c r="C40" i="22"/>
  <c r="C42"/>
  <c r="B42" i="35"/>
  <c r="D42"/>
  <c r="E42"/>
  <c r="C2" i="22"/>
  <c r="C14"/>
  <c r="B14" i="35"/>
  <c r="D14"/>
  <c r="E14"/>
  <c r="C20" i="22"/>
  <c r="B20" i="35"/>
  <c r="D20"/>
  <c r="E20"/>
  <c r="C48" i="22"/>
  <c r="B48" i="35"/>
  <c r="D48"/>
  <c r="E48"/>
  <c r="C10" i="22"/>
  <c r="B10" i="35"/>
  <c r="D10"/>
  <c r="C8" i="22"/>
  <c r="C52"/>
  <c r="B52" i="35"/>
  <c r="D52"/>
  <c r="E52"/>
  <c r="C46" i="22"/>
  <c r="C16"/>
  <c r="B16" i="35"/>
  <c r="D16"/>
  <c r="E16"/>
  <c r="C18" i="22"/>
  <c r="B18" i="35"/>
  <c r="D18"/>
  <c r="E18"/>
  <c r="D16" i="22"/>
  <c r="B16" i="36"/>
  <c r="D16"/>
  <c r="E16"/>
  <c r="D50" i="22"/>
  <c r="B50" i="36"/>
  <c r="D50"/>
  <c r="E50"/>
  <c r="D14" i="22"/>
  <c r="B14" i="36"/>
  <c r="D14"/>
  <c r="E14"/>
  <c r="D46" i="22"/>
  <c r="D52"/>
  <c r="B52" i="36"/>
  <c r="D52"/>
  <c r="E52"/>
  <c r="D42" i="22"/>
  <c r="B42" i="36"/>
  <c r="D42"/>
  <c r="D18" i="22"/>
  <c r="B18" i="36"/>
  <c r="D18"/>
  <c r="E18"/>
  <c r="D10" i="22"/>
  <c r="B10" i="36"/>
  <c r="D10"/>
  <c r="D48" i="22"/>
  <c r="B48" i="36"/>
  <c r="D48"/>
  <c r="E48"/>
  <c r="D12" i="22"/>
  <c r="B12" i="36"/>
  <c r="D12"/>
  <c r="E12"/>
  <c r="D40" i="22"/>
  <c r="D44"/>
  <c r="B44" i="36"/>
  <c r="D44"/>
  <c r="E44"/>
  <c r="D2" i="22"/>
  <c r="D8"/>
  <c r="D22"/>
  <c r="B22" i="36"/>
  <c r="D22"/>
  <c r="E22"/>
  <c r="D20" i="22"/>
  <c r="B20" i="36"/>
  <c r="D20"/>
  <c r="E20"/>
  <c r="B31" i="22"/>
  <c r="C12" i="33"/>
  <c r="C17"/>
  <c r="C17" i="37"/>
  <c r="C12"/>
  <c r="C31" i="22"/>
  <c r="B56"/>
  <c r="B72"/>
  <c r="B73"/>
  <c r="D11" i="40"/>
  <c r="C67" i="22"/>
  <c r="V22" i="61"/>
  <c r="V22" i="60"/>
  <c r="V22" i="56"/>
  <c r="V22" i="52"/>
  <c r="V22" i="57"/>
  <c r="V22" i="59"/>
  <c r="V22" i="58"/>
  <c r="E10" i="35"/>
  <c r="B40"/>
  <c r="Q56" i="22"/>
  <c r="C14" i="42"/>
  <c r="C13"/>
  <c r="G22" i="23"/>
  <c r="G22" i="35"/>
  <c r="G22" i="36"/>
  <c r="G22" i="44"/>
  <c r="G22" i="48"/>
  <c r="G22" i="52"/>
  <c r="F22" i="35"/>
  <c r="F22" i="36"/>
  <c r="Q46" i="22"/>
  <c r="B46" i="23"/>
  <c r="D46"/>
  <c r="E46"/>
  <c r="F46"/>
  <c r="N46" i="22"/>
  <c r="O46"/>
  <c r="N8"/>
  <c r="B8" i="23"/>
  <c r="N20" i="22"/>
  <c r="O20"/>
  <c r="B20" i="23"/>
  <c r="D20"/>
  <c r="E20"/>
  <c r="F20"/>
  <c r="C63" i="22"/>
  <c r="C19" i="37"/>
  <c r="C18"/>
  <c r="C13" i="33"/>
  <c r="C14"/>
  <c r="B8" i="36"/>
  <c r="E10"/>
  <c r="E42"/>
  <c r="B46"/>
  <c r="D46"/>
  <c r="E46"/>
  <c r="B46" i="35"/>
  <c r="D46"/>
  <c r="E46"/>
  <c r="B8"/>
  <c r="D63" i="22"/>
  <c r="Q52"/>
  <c r="B52" i="23"/>
  <c r="D52"/>
  <c r="E52"/>
  <c r="F52"/>
  <c r="N52" i="22"/>
  <c r="O52"/>
  <c r="B12" i="23"/>
  <c r="D12"/>
  <c r="E12"/>
  <c r="F12"/>
  <c r="N12" i="22"/>
  <c r="O12"/>
  <c r="Q42"/>
  <c r="B42" i="23"/>
  <c r="D42"/>
  <c r="B10"/>
  <c r="D10"/>
  <c r="N10" i="22"/>
  <c r="O10"/>
  <c r="N40"/>
  <c r="B40" i="23"/>
  <c r="Q40" i="22"/>
  <c r="B18" i="23"/>
  <c r="D18"/>
  <c r="E18"/>
  <c r="F18"/>
  <c r="N18" i="22"/>
  <c r="O18"/>
  <c r="B50" i="23"/>
  <c r="D50"/>
  <c r="E50"/>
  <c r="F50"/>
  <c r="N50" i="22"/>
  <c r="O50"/>
  <c r="Q50"/>
  <c r="N16"/>
  <c r="O16"/>
  <c r="B16" i="23"/>
  <c r="D16"/>
  <c r="E16"/>
  <c r="F16"/>
  <c r="C24" i="22"/>
  <c r="B24"/>
  <c r="B69"/>
  <c r="B70"/>
  <c r="D24"/>
  <c r="C13" i="37"/>
  <c r="C14"/>
  <c r="C21"/>
  <c r="C18" i="33"/>
  <c r="C19"/>
  <c r="N31" i="22"/>
  <c r="B63"/>
  <c r="B40" i="36"/>
  <c r="C18" i="42"/>
  <c r="C19"/>
  <c r="Q44" i="22"/>
  <c r="B44" i="23"/>
  <c r="D44"/>
  <c r="E44"/>
  <c r="F44"/>
  <c r="N44" i="22"/>
  <c r="O44"/>
  <c r="N48"/>
  <c r="O48"/>
  <c r="Q48"/>
  <c r="B48" i="23"/>
  <c r="D48"/>
  <c r="E48"/>
  <c r="F48"/>
  <c r="B14"/>
  <c r="D14"/>
  <c r="E14"/>
  <c r="F14"/>
  <c r="N14" i="22"/>
  <c r="O14"/>
  <c r="C56"/>
  <c r="D56"/>
  <c r="D72"/>
  <c r="D73"/>
  <c r="C72"/>
  <c r="C73"/>
  <c r="B58"/>
  <c r="B60"/>
  <c r="B56" i="23"/>
  <c r="D56"/>
  <c r="E56"/>
  <c r="F56"/>
  <c r="B24" i="36"/>
  <c r="D24"/>
  <c r="E24"/>
  <c r="E26"/>
  <c r="D69" i="22"/>
  <c r="D70"/>
  <c r="B24" i="35"/>
  <c r="D24"/>
  <c r="E24"/>
  <c r="E26"/>
  <c r="C69" i="22"/>
  <c r="C70"/>
  <c r="V16" i="59"/>
  <c r="V16" i="56"/>
  <c r="V16" i="60"/>
  <c r="V18" i="59"/>
  <c r="V18" i="60"/>
  <c r="V18" i="57"/>
  <c r="V18" i="52"/>
  <c r="V50" i="57"/>
  <c r="V50" i="59"/>
  <c r="V50" i="56"/>
  <c r="V50" i="60"/>
  <c r="V12" i="58"/>
  <c r="V12" i="57"/>
  <c r="V12" i="52"/>
  <c r="V44" i="57"/>
  <c r="V44" i="52"/>
  <c r="V44" i="59"/>
  <c r="V44" i="61"/>
  <c r="V20" i="59"/>
  <c r="V20" i="57"/>
  <c r="V20" i="61"/>
  <c r="V14" i="59"/>
  <c r="V14" i="52"/>
  <c r="V14" i="61"/>
  <c r="V14" i="56"/>
  <c r="V52" i="61"/>
  <c r="V52" i="59"/>
  <c r="V52" i="58"/>
  <c r="V48"/>
  <c r="V48" i="56"/>
  <c r="V48" i="57"/>
  <c r="V48" i="52"/>
  <c r="V46" i="61"/>
  <c r="V46" i="56"/>
  <c r="V46" i="52"/>
  <c r="V46" i="58"/>
  <c r="V46" i="60"/>
  <c r="V46" i="59"/>
  <c r="V46" i="57"/>
  <c r="V16"/>
  <c r="V16" i="52"/>
  <c r="V16" i="61"/>
  <c r="V16" i="58"/>
  <c r="V18" i="61"/>
  <c r="V18" i="58"/>
  <c r="V18" i="56"/>
  <c r="V50" i="61"/>
  <c r="V50" i="52"/>
  <c r="V50" i="58"/>
  <c r="V12" i="56"/>
  <c r="V12" i="59"/>
  <c r="V12" i="61"/>
  <c r="V12" i="60"/>
  <c r="V44" i="58"/>
  <c r="V44" i="56"/>
  <c r="V44" i="60"/>
  <c r="V20"/>
  <c r="V20" i="56"/>
  <c r="V20" i="58"/>
  <c r="V20" i="52"/>
  <c r="V14" i="60"/>
  <c r="V14" i="57"/>
  <c r="V14" i="58"/>
  <c r="V52" i="56"/>
  <c r="V52" i="52"/>
  <c r="V52" i="57"/>
  <c r="V52" i="60"/>
  <c r="V48" i="61"/>
  <c r="V48" i="59"/>
  <c r="V48" i="60"/>
  <c r="G22" i="56"/>
  <c r="W22" i="52"/>
  <c r="B56" i="36"/>
  <c r="D56"/>
  <c r="G16" i="23"/>
  <c r="G16" i="35"/>
  <c r="G16" i="36"/>
  <c r="G16" i="44"/>
  <c r="G16" i="48"/>
  <c r="G16" i="52"/>
  <c r="F16" i="35"/>
  <c r="F16" i="36"/>
  <c r="B56" i="35"/>
  <c r="D56"/>
  <c r="G48" i="23"/>
  <c r="G48" i="35"/>
  <c r="G48" i="36"/>
  <c r="G48" i="44"/>
  <c r="G48" i="48"/>
  <c r="G48" i="52"/>
  <c r="F48" i="35"/>
  <c r="F48" i="36"/>
  <c r="F44" i="35"/>
  <c r="F44" i="36"/>
  <c r="G44" i="23"/>
  <c r="G44" i="35"/>
  <c r="G44" i="36"/>
  <c r="G44" i="44"/>
  <c r="G44" i="48"/>
  <c r="G44" i="52"/>
  <c r="B24" i="23"/>
  <c r="D24"/>
  <c r="E24"/>
  <c r="F24"/>
  <c r="N24" i="22"/>
  <c r="O24"/>
  <c r="H34"/>
  <c r="H35"/>
  <c r="G18" i="23"/>
  <c r="G18" i="35"/>
  <c r="G18" i="36"/>
  <c r="G18" i="44"/>
  <c r="G18" i="48"/>
  <c r="G18" i="52"/>
  <c r="F18" i="35"/>
  <c r="F18" i="36"/>
  <c r="E10" i="23"/>
  <c r="V10" i="58"/>
  <c r="G20" i="23"/>
  <c r="G20" i="35"/>
  <c r="G20" i="36"/>
  <c r="G20" i="44"/>
  <c r="G20" i="48"/>
  <c r="G20" i="52"/>
  <c r="F20" i="35"/>
  <c r="F20" i="36"/>
  <c r="D58" i="22"/>
  <c r="B58" i="23"/>
  <c r="D26" i="22"/>
  <c r="C58"/>
  <c r="G14" i="23"/>
  <c r="G14" i="35"/>
  <c r="G14" i="36"/>
  <c r="G14" i="44"/>
  <c r="G14" i="48"/>
  <c r="G14" i="52"/>
  <c r="F14" i="35"/>
  <c r="F14" i="36"/>
  <c r="F50" i="35"/>
  <c r="F50" i="36"/>
  <c r="G50" i="23"/>
  <c r="G50" i="35"/>
  <c r="G50" i="36"/>
  <c r="G50" i="44"/>
  <c r="G50" i="48"/>
  <c r="G50" i="52"/>
  <c r="B61" i="22"/>
  <c r="N58"/>
  <c r="O40"/>
  <c r="E42" i="23"/>
  <c r="V42" i="60"/>
  <c r="D58" i="23"/>
  <c r="G12"/>
  <c r="G12" i="35"/>
  <c r="G12" i="36"/>
  <c r="G12" i="44"/>
  <c r="G12" i="48"/>
  <c r="G12" i="52"/>
  <c r="F12" i="35"/>
  <c r="F12" i="36"/>
  <c r="F52" i="35"/>
  <c r="F52" i="36"/>
  <c r="G52" i="23"/>
  <c r="G52" i="35"/>
  <c r="G52" i="36"/>
  <c r="G52" i="44"/>
  <c r="G52" i="48"/>
  <c r="G52" i="52"/>
  <c r="O8" i="22"/>
  <c r="G46" i="23"/>
  <c r="G46" i="35"/>
  <c r="G46" i="36"/>
  <c r="G46" i="44"/>
  <c r="G46" i="48"/>
  <c r="G46" i="52"/>
  <c r="F46" i="35"/>
  <c r="F46" i="36"/>
  <c r="G56" i="23"/>
  <c r="C26" i="22"/>
  <c r="D26" i="36"/>
  <c r="C21" i="33"/>
  <c r="B26" i="22"/>
  <c r="C21" i="42"/>
  <c r="B58" i="35"/>
  <c r="D26"/>
  <c r="B58" i="36"/>
  <c r="B26"/>
  <c r="B28"/>
  <c r="B29"/>
  <c r="D26" i="23"/>
  <c r="B64" i="22"/>
  <c r="B26" i="35"/>
  <c r="B28"/>
  <c r="B29"/>
  <c r="B26" i="23"/>
  <c r="B28"/>
  <c r="B29"/>
  <c r="V10" i="61"/>
  <c r="V10" i="59"/>
  <c r="V10" i="57"/>
  <c r="V42"/>
  <c r="V42" i="52"/>
  <c r="V42" i="59"/>
  <c r="V24" i="60"/>
  <c r="V24" i="56"/>
  <c r="V24" i="57"/>
  <c r="V24" i="59"/>
  <c r="V10" i="52"/>
  <c r="V10" i="60"/>
  <c r="V10" i="56"/>
  <c r="V42"/>
  <c r="V42" i="58"/>
  <c r="V42" i="61"/>
  <c r="V24" i="58"/>
  <c r="V24" i="52"/>
  <c r="V24" i="61"/>
  <c r="G50" i="56"/>
  <c r="W50" i="52"/>
  <c r="G18" i="56"/>
  <c r="W18" i="52"/>
  <c r="G44" i="56"/>
  <c r="W44" i="52"/>
  <c r="G16" i="56"/>
  <c r="W16" i="52"/>
  <c r="G46" i="56"/>
  <c r="W46" i="52"/>
  <c r="G52" i="56"/>
  <c r="W52" i="52"/>
  <c r="G14" i="56"/>
  <c r="W14" i="52"/>
  <c r="G20" i="56"/>
  <c r="W20" i="52"/>
  <c r="G48" i="56"/>
  <c r="W48" i="52"/>
  <c r="G22" i="57"/>
  <c r="W22" i="56"/>
  <c r="G12"/>
  <c r="W12" i="52"/>
  <c r="N26" i="22"/>
  <c r="B60" i="35"/>
  <c r="B61"/>
  <c r="C28" i="22"/>
  <c r="C27"/>
  <c r="C30"/>
  <c r="C29"/>
  <c r="C32"/>
  <c r="C64"/>
  <c r="C61"/>
  <c r="C60"/>
  <c r="D29"/>
  <c r="D28"/>
  <c r="D27"/>
  <c r="D32"/>
  <c r="B61" i="23"/>
  <c r="B60"/>
  <c r="D64" i="22"/>
  <c r="D60"/>
  <c r="D61"/>
  <c r="E26" i="23"/>
  <c r="F26"/>
  <c r="G26"/>
  <c r="F10"/>
  <c r="G24"/>
  <c r="G24" i="35"/>
  <c r="G24" i="36"/>
  <c r="G24" i="44"/>
  <c r="G24" i="48"/>
  <c r="G24" i="52"/>
  <c r="F24" i="35"/>
  <c r="F24" i="36"/>
  <c r="B32" i="22"/>
  <c r="B28"/>
  <c r="B29"/>
  <c r="Q20"/>
  <c r="Q12"/>
  <c r="Q8"/>
  <c r="Q10"/>
  <c r="Q18"/>
  <c r="Q16"/>
  <c r="Q14"/>
  <c r="F42" i="23"/>
  <c r="E58"/>
  <c r="N60" i="22"/>
  <c r="O60"/>
  <c r="N61"/>
  <c r="B60" i="36"/>
  <c r="B61"/>
  <c r="D58" i="35"/>
  <c r="D13" i="40"/>
  <c r="D15"/>
  <c r="E56" i="35"/>
  <c r="E56" i="36"/>
  <c r="D58"/>
  <c r="Q24" i="22"/>
  <c r="V26" i="61"/>
  <c r="V26" i="52"/>
  <c r="V56" i="61"/>
  <c r="V56" i="57"/>
  <c r="V56" i="56"/>
  <c r="V56" i="58"/>
  <c r="V56" i="52"/>
  <c r="V56" i="60"/>
  <c r="V56" i="59"/>
  <c r="V26"/>
  <c r="V26" i="56"/>
  <c r="V26" i="58"/>
  <c r="V26" i="60"/>
  <c r="V26" i="57"/>
  <c r="G24" i="56"/>
  <c r="W24" i="52"/>
  <c r="G12" i="57"/>
  <c r="W12" i="56"/>
  <c r="G22" i="58"/>
  <c r="W22" i="57"/>
  <c r="G48"/>
  <c r="W48" i="56"/>
  <c r="G20" i="57"/>
  <c r="W20" i="56"/>
  <c r="G14" i="57"/>
  <c r="W14" i="56"/>
  <c r="G52" i="57"/>
  <c r="W52" i="56"/>
  <c r="G46" i="57"/>
  <c r="W46" i="56"/>
  <c r="G16" i="57"/>
  <c r="W16" i="56"/>
  <c r="G44" i="57"/>
  <c r="W44" i="56"/>
  <c r="G18" i="57"/>
  <c r="W18" i="56"/>
  <c r="G50" i="57"/>
  <c r="W50" i="56"/>
  <c r="G56" i="35"/>
  <c r="G56" i="36"/>
  <c r="G56" i="44"/>
  <c r="G56" i="48"/>
  <c r="G56" i="52"/>
  <c r="E58" i="35"/>
  <c r="F56"/>
  <c r="F42"/>
  <c r="F58" i="23"/>
  <c r="G42"/>
  <c r="F56" i="36"/>
  <c r="E58"/>
  <c r="B27" i="22"/>
  <c r="B30"/>
  <c r="N28"/>
  <c r="O28"/>
  <c r="F10" i="35"/>
  <c r="G10" i="23"/>
  <c r="G10" i="35"/>
  <c r="V58" i="56"/>
  <c r="V58" i="52"/>
  <c r="V58" i="58"/>
  <c r="V58" i="60"/>
  <c r="V58" i="61"/>
  <c r="V58" i="59"/>
  <c r="V58" i="57"/>
  <c r="G56" i="56"/>
  <c r="W56" i="52"/>
  <c r="G50" i="58"/>
  <c r="W50" i="57"/>
  <c r="G18" i="58"/>
  <c r="W18" i="57"/>
  <c r="G44" i="58"/>
  <c r="W44" i="57"/>
  <c r="G16" i="58"/>
  <c r="W16" i="57"/>
  <c r="G46" i="58"/>
  <c r="W46" i="57"/>
  <c r="G52" i="58"/>
  <c r="W52" i="57"/>
  <c r="G14" i="58"/>
  <c r="W14" i="57"/>
  <c r="G20" i="58"/>
  <c r="W20" i="57"/>
  <c r="G48" i="58"/>
  <c r="W48" i="57"/>
  <c r="G22" i="59"/>
  <c r="W22" i="58"/>
  <c r="G12"/>
  <c r="W12" i="57"/>
  <c r="G24"/>
  <c r="W24" i="56"/>
  <c r="F26" i="35"/>
  <c r="F10" i="36"/>
  <c r="F26"/>
  <c r="G26" i="35"/>
  <c r="G10" i="36"/>
  <c r="G58" i="23"/>
  <c r="G42" i="35"/>
  <c r="F58"/>
  <c r="F42" i="36"/>
  <c r="F58"/>
  <c r="G24" i="58"/>
  <c r="W24" i="57"/>
  <c r="G12" i="59"/>
  <c r="W12" i="58"/>
  <c r="G22" i="60"/>
  <c r="W22" i="59"/>
  <c r="G48"/>
  <c r="W48" i="58"/>
  <c r="G20" i="59"/>
  <c r="W20" i="58"/>
  <c r="G14" i="59"/>
  <c r="W14" i="58"/>
  <c r="G52" i="59"/>
  <c r="W52" i="58"/>
  <c r="G46" i="59"/>
  <c r="W46" i="58"/>
  <c r="G16" i="59"/>
  <c r="W16" i="58"/>
  <c r="G44" i="59"/>
  <c r="W44" i="58"/>
  <c r="G18" i="59"/>
  <c r="W18" i="58"/>
  <c r="G50" i="59"/>
  <c r="W50" i="58"/>
  <c r="G56" i="57"/>
  <c r="W56" i="56"/>
  <c r="G58" i="35"/>
  <c r="G42" i="36"/>
  <c r="G10" i="44"/>
  <c r="G26" i="36"/>
  <c r="G56" i="58"/>
  <c r="W56" i="57"/>
  <c r="G50" i="60"/>
  <c r="W50" i="59"/>
  <c r="G18" i="60"/>
  <c r="W18" i="59"/>
  <c r="G44" i="60"/>
  <c r="W44" i="59"/>
  <c r="G16" i="60"/>
  <c r="W16" i="59"/>
  <c r="G46" i="60"/>
  <c r="W46" i="59"/>
  <c r="G52" i="60"/>
  <c r="W52" i="59"/>
  <c r="G14" i="60"/>
  <c r="W14" i="59"/>
  <c r="G20" i="60"/>
  <c r="W20" i="59"/>
  <c r="G48" i="60"/>
  <c r="W48" i="59"/>
  <c r="G22" i="61"/>
  <c r="W22"/>
  <c r="W22" i="60"/>
  <c r="G12"/>
  <c r="W12" i="59"/>
  <c r="G24"/>
  <c r="W24" i="58"/>
  <c r="G42" i="44"/>
  <c r="G58" i="36"/>
  <c r="G10" i="48"/>
  <c r="G26" i="44"/>
  <c r="G24" i="60"/>
  <c r="W24" i="59"/>
  <c r="G12" i="61"/>
  <c r="W12"/>
  <c r="W12" i="60"/>
  <c r="G48" i="61"/>
  <c r="W48"/>
  <c r="W48" i="60"/>
  <c r="G20" i="61"/>
  <c r="W20"/>
  <c r="W20" i="60"/>
  <c r="G14" i="61"/>
  <c r="W14"/>
  <c r="W14" i="60"/>
  <c r="G52" i="61"/>
  <c r="W52"/>
  <c r="W52" i="60"/>
  <c r="G46" i="61"/>
  <c r="W46"/>
  <c r="W46" i="60"/>
  <c r="G16" i="61"/>
  <c r="W16"/>
  <c r="W16" i="60"/>
  <c r="G44" i="61"/>
  <c r="W44"/>
  <c r="W44" i="60"/>
  <c r="G18" i="61"/>
  <c r="W18"/>
  <c r="W18" i="60"/>
  <c r="G50" i="61"/>
  <c r="W50"/>
  <c r="W50" i="60"/>
  <c r="G56" i="59"/>
  <c r="W56" i="58"/>
  <c r="G26" i="48"/>
  <c r="G10" i="52"/>
  <c r="G42" i="48"/>
  <c r="G58" i="44"/>
  <c r="G26" i="52"/>
  <c r="W26"/>
  <c r="G10" i="56"/>
  <c r="W10" i="52"/>
  <c r="G56" i="60"/>
  <c r="W56" i="59"/>
  <c r="G24" i="61"/>
  <c r="W24" i="60"/>
  <c r="G58" i="48"/>
  <c r="G42" i="52"/>
  <c r="G58"/>
  <c r="W58"/>
  <c r="G42" i="56"/>
  <c r="W42" i="52"/>
  <c r="G56" i="61"/>
  <c r="W56"/>
  <c r="W56" i="60"/>
  <c r="G10" i="57"/>
  <c r="G26" i="56"/>
  <c r="W26"/>
  <c r="W10"/>
  <c r="W24" i="61"/>
  <c r="G10" i="58"/>
  <c r="G26" i="57"/>
  <c r="W26"/>
  <c r="W10"/>
  <c r="G42"/>
  <c r="G58" i="56"/>
  <c r="W58"/>
  <c r="W42"/>
  <c r="G42" i="58"/>
  <c r="G58" i="57"/>
  <c r="W58"/>
  <c r="W42"/>
  <c r="G10" i="59"/>
  <c r="G26" i="58"/>
  <c r="W26"/>
  <c r="W10"/>
  <c r="G10" i="60"/>
  <c r="G26" i="59"/>
  <c r="W26"/>
  <c r="W10"/>
  <c r="G42"/>
  <c r="G58" i="58"/>
  <c r="W58"/>
  <c r="W42"/>
  <c r="G10" i="61"/>
  <c r="W10" i="60"/>
  <c r="G26"/>
  <c r="W26"/>
  <c r="G42"/>
  <c r="G58" i="59"/>
  <c r="W58"/>
  <c r="W42"/>
  <c r="G42" i="61"/>
  <c r="G58" i="60"/>
  <c r="W58"/>
  <c r="W42"/>
  <c r="W10" i="61"/>
  <c r="G26"/>
  <c r="W26"/>
  <c r="G58"/>
  <c r="W58"/>
  <c r="W42"/>
</calcChain>
</file>

<file path=xl/comments1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</commentList>
</comments>
</file>

<file path=xl/comments10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AUG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AUG PRICE
</t>
        </r>
      </text>
    </comment>
  </commentList>
</comments>
</file>

<file path=xl/comments11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JULY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JULY PRICE
</t>
        </r>
      </text>
    </comment>
  </commentList>
</comments>
</file>

<file path=xl/comments12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Updated 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JUNE   PRICE = Updated</t>
        </r>
      </text>
    </comment>
  </commentList>
</comments>
</file>

<file path=xl/comments13.xml><?xml version="1.0" encoding="utf-8"?>
<comments xmlns="http://schemas.openxmlformats.org/spreadsheetml/2006/main">
  <authors>
    <author>Harvey Zelaya</author>
  </authors>
  <commentList>
    <comment ref="H3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Check NEL  thru Dec</t>
        </r>
      </text>
    </comment>
    <comment ref="A39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Ratio of Total Delivered to NEL</t>
        </r>
      </text>
    </comment>
    <comment ref="A5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Hybrids  </t>
        </r>
        <r>
          <rPr>
            <b/>
            <sz val="8"/>
            <color indexed="10"/>
            <rFont val="Tahoma"/>
            <family val="2"/>
          </rPr>
          <t>DONE</t>
        </r>
      </text>
    </comment>
    <comment ref="A5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MAKE SURE THAT ACTUAL VALUES MATCH IN EVERY TAB</t>
        </r>
      </text>
    </comment>
  </commentList>
</comments>
</file>

<file path=xl/comments14.xml><?xml version="1.0" encoding="utf-8"?>
<comments xmlns="http://schemas.openxmlformats.org/spreadsheetml/2006/main">
  <authors>
    <author>Harvey Zelaya</author>
    <author>Rosemary</author>
    <author>HAZ0UTF</author>
  </authors>
  <commentList>
    <comment ref="C3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FILE 2011_LT_Inputs, Col T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2011 LT Inputs, tab: Company Data, column T, Jan-June</t>
        </r>
      </text>
    </comment>
    <comment ref="J3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Match Form 27A JUL() REV in file F27A </t>
        </r>
      </text>
    </comment>
    <comment ref="J63" authorId="1">
      <text>
        <r>
          <rPr>
            <b/>
            <sz val="8"/>
            <color indexed="81"/>
            <rFont val="Tahoma"/>
            <family val="2"/>
          </rPr>
          <t>Rosemary:</t>
        </r>
        <r>
          <rPr>
            <sz val="8"/>
            <color indexed="81"/>
            <rFont val="Tahoma"/>
            <family val="2"/>
          </rPr>
          <t xml:space="preserve">
THIS ROW IS MISSING DSM
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CHECK</t>
        </r>
      </text>
    </comment>
  </commentList>
</comments>
</file>

<file path=xl/comments15.xml><?xml version="1.0" encoding="utf-8"?>
<comments xmlns="http://schemas.openxmlformats.org/spreadsheetml/2006/main">
  <authors>
    <author>HAZ0UTF</author>
    <author>Harvey Zelaya</author>
  </authors>
  <commentList>
    <comment ref="I39" authorId="0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UPDATE</t>
        </r>
      </text>
    </comment>
    <comment ref="F43" authorId="1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Adjusted by Feb value</t>
        </r>
      </text>
    </comment>
    <comment ref="D55" authorId="1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January 2012 Actuals</t>
        </r>
      </text>
    </comment>
    <comment ref="D62" authorId="1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JAN 2012 Actuals.</t>
        </r>
      </text>
    </comment>
  </commentList>
</comments>
</file>

<file path=xl/comments16.xml><?xml version="1.0" encoding="utf-8"?>
<comments xmlns="http://schemas.openxmlformats.org/spreadsheetml/2006/main">
  <authors>
    <author>Harvey Zelaya</author>
    <author>HAZ0UTF</author>
    <author/>
  </authors>
  <commentList>
    <comment ref="F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As of 04-03-2012. 
SEE BELOW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Adjustment used in March</t>
        </r>
      </text>
    </comment>
    <comment ref="J18" authorId="1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Average Apr 2011 thru March 2012
</t>
        </r>
      </text>
    </comment>
    <comment ref="C19" authorId="1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* Preliminary</t>
        </r>
      </text>
    </comment>
    <comment ref="L19" authorId="1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May adjustment; average May 2011 thru Apr 2012
</t>
        </r>
      </text>
    </comment>
    <comment ref="N20" authorId="1">
      <text>
        <r>
          <rPr>
            <b/>
            <sz val="8"/>
            <color indexed="81"/>
            <rFont val="Tahoma"/>
            <family val="2"/>
          </rPr>
          <t>HAZ0UTF:</t>
        </r>
        <r>
          <rPr>
            <sz val="8"/>
            <color indexed="81"/>
            <rFont val="Tahoma"/>
            <family val="2"/>
          </rPr>
          <t xml:space="preserve">
Avg Jun 2011 thru May 2012</t>
        </r>
      </text>
    </comment>
    <comment ref="F54" authorId="2">
      <text>
        <r>
          <rPr>
            <sz val="10"/>
            <rFont val="Arial"/>
            <family val="2"/>
          </rPr>
          <t xml:space="preserve">*  Preliminary
</t>
        </r>
      </text>
    </comment>
  </commentList>
</comments>
</file>

<file path=xl/comments17.xml><?xml version="1.0" encoding="utf-8"?>
<comments xmlns="http://schemas.openxmlformats.org/spreadsheetml/2006/main">
  <authors>
    <author>Harvey Zelaya</author>
    <author>FPL_User</author>
  </authors>
  <commentList>
    <comment ref="L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file: CPI for Energy as of 4-02-2012</t>
        </r>
      </text>
    </comment>
    <comment ref="T2" authorId="1">
      <text>
        <r>
          <rPr>
            <b/>
            <sz val="8"/>
            <color indexed="81"/>
            <rFont val="Tahoma"/>
            <family val="2"/>
          </rPr>
          <t>document actual prices each month before CPI for the current month is available</t>
        </r>
      </text>
    </comment>
  </commentList>
</comments>
</file>

<file path=xl/comments18.xml><?xml version="1.0" encoding="utf-8"?>
<comments xmlns="http://schemas.openxmlformats.org/spreadsheetml/2006/main">
  <authors>
    <author>Harvey Zelaya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MOPR file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MOPR file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From MOPR file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Jan and Feb 2011 data</t>
        </r>
      </text>
    </comment>
  </commentList>
</comments>
</file>

<file path=xl/comments2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</commentList>
</comments>
</file>

<file path=xl/comments3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MAR PRICE 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MAR PRICE </t>
        </r>
      </text>
    </comment>
  </commentList>
</comments>
</file>

<file path=xl/comments4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</commentList>
</comments>
</file>

<file path=xl/comments5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MAY  PRICE 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MAY
  PRICE </t>
        </r>
      </text>
    </comment>
  </commentList>
</comments>
</file>

<file path=xl/comments6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DEC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DEC PRICE
</t>
        </r>
      </text>
    </comment>
  </commentList>
</comments>
</file>

<file path=xl/comments7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NOV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NOV PRICE
</t>
        </r>
      </text>
    </comment>
  </commentList>
</comments>
</file>

<file path=xl/comments8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OCT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OCT PRICE
</t>
        </r>
      </text>
    </comment>
  </commentList>
</comments>
</file>

<file path=xl/comments9.xml><?xml version="1.0" encoding="utf-8"?>
<comments xmlns="http://schemas.openxmlformats.org/spreadsheetml/2006/main">
  <authors>
    <author>Harvey Zelaya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Was NEL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SEP PRICE
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Harvey Zelaya:</t>
        </r>
        <r>
          <rPr>
            <sz val="8"/>
            <color indexed="81"/>
            <rFont val="Tahoma"/>
            <family val="2"/>
          </rPr>
          <t xml:space="preserve">
INCLUDE SEP PRICE
</t>
        </r>
      </text>
    </comment>
  </commentList>
</comments>
</file>

<file path=xl/sharedStrings.xml><?xml version="1.0" encoding="utf-8"?>
<sst xmlns="http://schemas.openxmlformats.org/spreadsheetml/2006/main" count="2342" uniqueCount="506">
  <si>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</si>
  <si>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</si>
  <si>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</si>
  <si>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</si>
  <si>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</si>
  <si>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</si>
  <si>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</si>
  <si>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</si>
  <si>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</si>
  <si>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</si>
  <si>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</si>
  <si>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</si>
  <si>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Customers</t>
  </si>
  <si>
    <t>Economy</t>
  </si>
  <si>
    <t xml:space="preserve">Other  </t>
  </si>
  <si>
    <t>% Growth</t>
  </si>
  <si>
    <t>% Variance</t>
  </si>
  <si>
    <t>Month</t>
  </si>
  <si>
    <t>Variable</t>
  </si>
  <si>
    <t>Coefficient</t>
  </si>
  <si>
    <t>Constant Term</t>
  </si>
  <si>
    <t>NEL Predicted</t>
  </si>
  <si>
    <t>Binary.February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</si>
  <si>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</si>
  <si>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</si>
  <si>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</si>
  <si>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</si>
  <si>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</si>
  <si>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</si>
  <si>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</si>
  <si>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</si>
  <si>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</si>
  <si>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</si>
  <si>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</si>
  <si>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</si>
  <si>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Weather - Cooling</t>
  </si>
  <si>
    <t>Weather - Heating</t>
  </si>
  <si>
    <t>Other</t>
  </si>
  <si>
    <t>% Customer  Forecast Error</t>
  </si>
  <si>
    <t>Prices assumed  in SEPTEMBER</t>
  </si>
  <si>
    <t>Prices assumed  in OCTOBER</t>
  </si>
  <si>
    <t>Prices assumed  in NOVEMBER</t>
  </si>
  <si>
    <t>LEE</t>
  </si>
  <si>
    <t xml:space="preserve">Seminole </t>
  </si>
  <si>
    <t>Hybrids</t>
  </si>
  <si>
    <t>NEL Predicted - UPC</t>
  </si>
  <si>
    <t>NEL PRED</t>
  </si>
  <si>
    <t>INCLUDE ACTUALS</t>
  </si>
  <si>
    <t>Actual NEL</t>
  </si>
  <si>
    <t>Weather Norm</t>
  </si>
  <si>
    <t>Actual Customers</t>
  </si>
  <si>
    <t>DIFF</t>
  </si>
  <si>
    <t>NEL Predicted - UPC WITH ACTUALS</t>
  </si>
  <si>
    <t>SHOULD BE ZERO &gt;&gt;&gt;</t>
  </si>
  <si>
    <t>Weather Impact</t>
  </si>
  <si>
    <t>Annual</t>
  </si>
  <si>
    <t>Mandated Energy Effciency</t>
  </si>
  <si>
    <t>Empty Homes</t>
  </si>
  <si>
    <t>Forecasted Ratio</t>
  </si>
  <si>
    <t>Total Customers</t>
  </si>
  <si>
    <t>Inactive Meters</t>
  </si>
  <si>
    <t>Actual Ratio</t>
  </si>
  <si>
    <t>Difference Actual  -  Pred with Actuals</t>
  </si>
  <si>
    <t xml:space="preserve"> ACTUALS FROM VARIANCE PLAN (ROW 27 and down below)</t>
  </si>
  <si>
    <t>&lt;&lt;&lt; INCLUDE ACTUALS</t>
  </si>
  <si>
    <t xml:space="preserve">2011 ACTUAL </t>
  </si>
  <si>
    <t>Growth in 2011</t>
  </si>
  <si>
    <t>F</t>
  </si>
  <si>
    <t>O</t>
  </si>
  <si>
    <t>R</t>
  </si>
  <si>
    <t>E</t>
  </si>
  <si>
    <t>C</t>
  </si>
  <si>
    <t>A</t>
  </si>
  <si>
    <t>S</t>
  </si>
  <si>
    <t>T</t>
  </si>
  <si>
    <t>Actual</t>
  </si>
  <si>
    <t>SAP Change in number of days</t>
  </si>
  <si>
    <t>Variance  in 2011</t>
  </si>
  <si>
    <t>Actual CDH</t>
  </si>
  <si>
    <t>Normal CDH</t>
  </si>
  <si>
    <t>CDH Variance</t>
  </si>
  <si>
    <t>CDH Impact</t>
  </si>
  <si>
    <t>Total Weather Impact</t>
  </si>
  <si>
    <t>SAP</t>
  </si>
  <si>
    <t>CONST</t>
  </si>
  <si>
    <t>Weather.Cal_HDD_based_on_45_degrees</t>
  </si>
  <si>
    <t>Weather.CDH_Calendar</t>
  </si>
  <si>
    <t>Weather.Cal_Winter_HDD</t>
  </si>
  <si>
    <t>Misc.Inactive_Ratio</t>
  </si>
  <si>
    <t>Misc.NEPACT_WeatSens_UPC_Normal_CDH</t>
  </si>
  <si>
    <t>Monthly_Inputs.Real_PerCapita_Inc_Wgtby_EmpPop_Ratio</t>
  </si>
  <si>
    <t>Binary.March_2003</t>
  </si>
  <si>
    <t>Binary.April</t>
  </si>
  <si>
    <t>Binary.June</t>
  </si>
  <si>
    <t>Binary.September</t>
  </si>
  <si>
    <t>Binary.May_2004</t>
  </si>
  <si>
    <t>Binary.November</t>
  </si>
  <si>
    <t>Binary.November_2005</t>
  </si>
  <si>
    <t>Economics.CPI_Energy</t>
  </si>
  <si>
    <t>AR(1)</t>
  </si>
  <si>
    <t>Wauchula</t>
  </si>
  <si>
    <t>Florida Keys</t>
  </si>
  <si>
    <t>CPI for ENERGY</t>
  </si>
  <si>
    <t>NEL Predicted from Model</t>
  </si>
  <si>
    <t xml:space="preserve">Differencia </t>
  </si>
  <si>
    <t>From P&amp;E 2012 Plan &gt;&gt;&gt;</t>
  </si>
  <si>
    <t>CPI Energy</t>
  </si>
  <si>
    <t>&lt;&lt;&lt; Pred from Model</t>
  </si>
  <si>
    <t>Diff</t>
  </si>
  <si>
    <t>INCLUDE 2012  ACTUALS</t>
  </si>
  <si>
    <t xml:space="preserve">Actual 2011 NEL </t>
  </si>
  <si>
    <t xml:space="preserve">2011 ACTUALS </t>
  </si>
  <si>
    <t xml:space="preserve">2012 FORECAST </t>
  </si>
  <si>
    <t>2012 ACTUAL</t>
  </si>
  <si>
    <t>2011 NEL</t>
  </si>
  <si>
    <r>
      <t>Actual 2012 NEL (</t>
    </r>
    <r>
      <rPr>
        <b/>
        <sz val="9"/>
        <color indexed="10"/>
        <rFont val="Arial"/>
        <family val="2"/>
      </rPr>
      <t>INCLUDE</t>
    </r>
    <r>
      <rPr>
        <b/>
        <sz val="9"/>
        <rFont val="Arial"/>
        <family val="2"/>
      </rPr>
      <t>) &gt;&gt;&gt;</t>
    </r>
  </si>
  <si>
    <t>Incremental DSM</t>
  </si>
  <si>
    <t>INCLUDE 2011  ACTUALS</t>
  </si>
  <si>
    <t>Actual 2012 NEL</t>
  </si>
  <si>
    <t>2012  Forecast NEL</t>
  </si>
  <si>
    <t>http://www.floridapsc.com/utilities/electricgas/statistics/statistics-2010.pdf#xml=http://www.psc.state.fl.us/search/pdfhi.aspx?query=City+of+Homestead&amp;pr=default&amp;prox=page&amp;rorder=500&amp;rprox=500&amp;rdfreq=500&amp;rwfreq=500&amp;rlead=500&amp;rdepth=0&amp;sufs=0&amp;order=r&amp;mode=</t>
  </si>
  <si>
    <t>2012 NORMAL RETAIL DELIVERED</t>
  </si>
  <si>
    <r>
      <t xml:space="preserve">Factors Explaining Growth in 2011 </t>
    </r>
    <r>
      <rPr>
        <b/>
        <sz val="12"/>
        <color indexed="10"/>
        <rFont val="Arial"/>
        <family val="2"/>
      </rPr>
      <t>Retail Delivered Sales:</t>
    </r>
  </si>
  <si>
    <t>Losses &gt;&gt;&gt;</t>
  </si>
  <si>
    <t>2011 ACTUAL Retail Delivered</t>
  </si>
  <si>
    <t>2012 Forecast for DELIVERED RETAIL SALES</t>
  </si>
  <si>
    <t>2012 Actual RETAIL DELIVERED</t>
  </si>
  <si>
    <r>
      <t xml:space="preserve">2012 Actual </t>
    </r>
    <r>
      <rPr>
        <b/>
        <sz val="12"/>
        <color indexed="10"/>
        <rFont val="Arial"/>
        <family val="2"/>
      </rPr>
      <t xml:space="preserve">Retail Delivered Sales </t>
    </r>
  </si>
  <si>
    <t>Price</t>
  </si>
  <si>
    <t>Total Usage</t>
  </si>
  <si>
    <t>Retail Usage</t>
  </si>
  <si>
    <t>Quarter to Date</t>
  </si>
  <si>
    <t>Year to Date</t>
  </si>
  <si>
    <t>prior retail delivered</t>
  </si>
  <si>
    <t>$</t>
  </si>
  <si>
    <t>Mandated Efficiency</t>
  </si>
  <si>
    <t xml:space="preserve">Growth </t>
  </si>
  <si>
    <t>plan retail</t>
  </si>
  <si>
    <t>Mandate Energy Efficiency</t>
  </si>
  <si>
    <t>delivered retail $</t>
  </si>
  <si>
    <t xml:space="preserve">Variance  </t>
  </si>
  <si>
    <t>2011 Retail Delivered Sales</t>
  </si>
  <si>
    <t>Factors Explaining Growth in 2011 Retail Delivered Sales (Plan)</t>
  </si>
  <si>
    <t>Factors Explaining Variance in Forecast for 2012 Retail Delivered Sales  (Plan):</t>
  </si>
  <si>
    <t>2012 Actual Retail Delivered Sales</t>
  </si>
  <si>
    <t>2012 Forecast for Retail Delivered Sales</t>
  </si>
  <si>
    <t>Factors Explaining Variance in Forecast for 2012 Retail Delivered Sales  (Plan Forecast):</t>
  </si>
  <si>
    <t>INCLUDE THIS MONTH DATA &gt;&gt;&gt;&gt;&gt;&gt;</t>
  </si>
  <si>
    <t>2012 ACTUAL RETAIL DELIVERED</t>
  </si>
  <si>
    <t>Actual HDD</t>
  </si>
  <si>
    <t>Actual 45 HDD</t>
  </si>
  <si>
    <t>Normal 45 HDD</t>
  </si>
  <si>
    <t>HDD Variance</t>
  </si>
  <si>
    <t>HDD 45 Variance</t>
  </si>
  <si>
    <t>HDD Impact</t>
  </si>
  <si>
    <t>HDD 45 Impact</t>
  </si>
  <si>
    <t>Cummulative Weather Impact</t>
  </si>
  <si>
    <t>Estimated : July 2001 - June 2011</t>
  </si>
  <si>
    <t>Databases, Tables &amp; Calculators by Subject</t>
  </si>
  <si>
    <t>FONT SIZE:</t>
  </si>
  <si>
    <t>Change Output Options:</t>
  </si>
  <si>
    <t>From:</t>
  </si>
  <si>
    <t>  To:</t>
  </si>
  <si>
    <t>  </t>
  </si>
  <si>
    <t>include graphs</t>
  </si>
  <si>
    <t>Data extracted on: February 2, 2012 (8:14:23 AM)</t>
  </si>
  <si>
    <t>Consumer Price Index - All Urban Consumers</t>
  </si>
  <si>
    <t>Seasonally Adjusted</t>
  </si>
  <si>
    <t>Item:         Energy</t>
  </si>
  <si>
    <t>Download:</t>
  </si>
  <si>
    <t>Year</t>
  </si>
  <si>
    <t>HALF1</t>
  </si>
  <si>
    <t>HALF2</t>
  </si>
  <si>
    <t>Not Seasonally Adjusted</t>
  </si>
  <si>
    <r>
      <t>Series Id:    </t>
    </r>
    <r>
      <rPr>
        <sz val="10"/>
        <rFont val="Arial Unicode MS"/>
        <family val="2"/>
      </rPr>
      <t>CUSR0000SA0E</t>
    </r>
  </si>
  <si>
    <r>
      <t>Area:         </t>
    </r>
    <r>
      <rPr>
        <sz val="10"/>
        <rFont val="Arial Unicode MS"/>
        <family val="2"/>
      </rPr>
      <t>U.S. city average</t>
    </r>
  </si>
  <si>
    <r>
      <t>Base Period:  </t>
    </r>
    <r>
      <rPr>
        <sz val="10"/>
        <rFont val="Arial Unicode MS"/>
        <family val="2"/>
      </rPr>
      <t>1982-84=100</t>
    </r>
  </si>
  <si>
    <r>
      <t>Series Id:    </t>
    </r>
    <r>
      <rPr>
        <sz val="10"/>
        <rFont val="Arial Unicode MS"/>
        <family val="2"/>
      </rPr>
      <t>CUUR0000SA0E</t>
    </r>
  </si>
  <si>
    <t>Financial Report to Management</t>
  </si>
  <si>
    <t>Florida Power &amp; Light Company Consolidated</t>
  </si>
  <si>
    <t>Analysis of Operating Revenues</t>
  </si>
  <si>
    <t>Last Refreshed</t>
  </si>
  <si>
    <t>2/5/2012 15:18:17</t>
  </si>
  <si>
    <t xml:space="preserve"> JAN 2012</t>
  </si>
  <si>
    <t>JAN 2012
Month
Plan</t>
  </si>
  <si>
    <t xml:space="preserve"> JAN 2011</t>
  </si>
  <si>
    <t>Month
Variance
Plan</t>
  </si>
  <si>
    <t>Month
Variance
Prior</t>
  </si>
  <si>
    <t xml:space="preserve"> JAN 2012 QTD
Plan</t>
  </si>
  <si>
    <t>QTD
Variance 
Plan</t>
  </si>
  <si>
    <t>QTD
Variance
Prior</t>
  </si>
  <si>
    <t xml:space="preserve"> JAN 2012 YTD
Plan</t>
  </si>
  <si>
    <t>YTD
Variance
Plan</t>
  </si>
  <si>
    <t>YTD
Variance
Prior</t>
  </si>
  <si>
    <t>Base Retail Revs: Billed</t>
  </si>
  <si>
    <t>WC3 Base Revenue Reclass-Offset</t>
  </si>
  <si>
    <t>Base Retail Revs: Current Year Provision</t>
  </si>
  <si>
    <t>Base Retail Revs: Billed - Rate Refunds - Actual</t>
  </si>
  <si>
    <t>Base Retail Revs: Prior Year Provision Reversal</t>
  </si>
  <si>
    <t>Base Retail Revs: Unbilled</t>
  </si>
  <si>
    <t xml:space="preserve">   Base Retail Delivered Revenues</t>
  </si>
  <si>
    <t>Base Wholesale Revs: Billed</t>
  </si>
  <si>
    <t>Base Wholesale Revs: Unbilled</t>
  </si>
  <si>
    <t>Provision for Rate Refunds: FERC</t>
  </si>
  <si>
    <t xml:space="preserve">   Base Wholesale Delivered Revenues</t>
  </si>
  <si>
    <t>Fiber Optic &amp; Other Rentals</t>
  </si>
  <si>
    <t>Transmission Service</t>
  </si>
  <si>
    <t>Interchange Revenues</t>
  </si>
  <si>
    <t>Late Payments and Field Collections</t>
  </si>
  <si>
    <t>Misc Service Revenues</t>
  </si>
  <si>
    <t>EMT Brokerage</t>
  </si>
  <si>
    <t>Perf Cont &amp; Oth Mkt Programs</t>
  </si>
  <si>
    <t>Unrealized Inc/Exp from Trading &amp; Managed Hedges</t>
  </si>
  <si>
    <t>Other Base Revs: Other-retail</t>
  </si>
  <si>
    <t>Other Base Revs: Other-wholesale</t>
  </si>
  <si>
    <t xml:space="preserve">   Other Base Revenues</t>
  </si>
  <si>
    <t xml:space="preserve">      Total Base Revenues</t>
  </si>
  <si>
    <t>Fuel Clause Revenues</t>
  </si>
  <si>
    <t>Fuel Revs: Fuels Clause Refund</t>
  </si>
  <si>
    <t>Fuel Revs: Interchange Recoverable</t>
  </si>
  <si>
    <t>Deferred Fuel Revs: FPSC</t>
  </si>
  <si>
    <t>Deferred Fuel Revs: FERC</t>
  </si>
  <si>
    <t xml:space="preserve">   Fuel Revenues</t>
  </si>
  <si>
    <t>CCRC Clause Revenues</t>
  </si>
  <si>
    <t>WC3-Capacity Revenue Reclass</t>
  </si>
  <si>
    <t>CCRC Clause Revs: Interchange Accounts</t>
  </si>
  <si>
    <t>CCRC Deferred Revenues</t>
  </si>
  <si>
    <t xml:space="preserve">   Capacity Cost Recovery Revenues</t>
  </si>
  <si>
    <t>Conservation Clause Revenues</t>
  </si>
  <si>
    <t>Conservation Deferred Revenues</t>
  </si>
  <si>
    <t xml:space="preserve">   Conservation Revenues</t>
  </si>
  <si>
    <t>ECRC Clause Revenues</t>
  </si>
  <si>
    <t>ECRC Deferred Revenues</t>
  </si>
  <si>
    <t xml:space="preserve">   Environmental Cost Recovery Revenues</t>
  </si>
  <si>
    <t xml:space="preserve">   Storm Fund Deficiency</t>
  </si>
  <si>
    <t xml:space="preserve">   Gross Receipts Tax Revenues</t>
  </si>
  <si>
    <t xml:space="preserve">   Franchise Tax Revenues</t>
  </si>
  <si>
    <t xml:space="preserve">      Clause &amp; Franchise - w/o Fuel</t>
  </si>
  <si>
    <t xml:space="preserve">      Clause &amp; Franchise Revenues</t>
  </si>
  <si>
    <t xml:space="preserve">         Total Revenues</t>
  </si>
  <si>
    <t>Analysis of KWH Sales</t>
  </si>
  <si>
    <t>Prior</t>
  </si>
  <si>
    <t>Variance
Plan</t>
  </si>
  <si>
    <t>Variance
Prior</t>
  </si>
  <si>
    <t>QTD
Plan</t>
  </si>
  <si>
    <t>Variance 
Plan</t>
  </si>
  <si>
    <t>Variance Prior</t>
  </si>
  <si>
    <t>YTD
Plan</t>
  </si>
  <si>
    <t>MKWH Sales:</t>
  </si>
  <si>
    <t xml:space="preserve">  Billed Sales</t>
  </si>
  <si>
    <t xml:space="preserve">  Unbilled Sales</t>
  </si>
  <si>
    <t xml:space="preserve">  Interchange Sales</t>
  </si>
  <si>
    <t xml:space="preserve">     Total Sales</t>
  </si>
  <si>
    <t>SEC Revenues:</t>
  </si>
  <si>
    <t>Fiber Optic &amp; Other Rentals Expense</t>
  </si>
  <si>
    <t>Perf Cont, Gas Sales &amp; Oth Mkt Programs Expense</t>
  </si>
  <si>
    <t>Other Base Revs: Other-retail Expense</t>
  </si>
  <si>
    <t>FERC Revenues:</t>
  </si>
  <si>
    <t>Forecasted Employment</t>
  </si>
  <si>
    <t>Actual Seasonally Adj Employmet</t>
  </si>
  <si>
    <t>Calendar v Fiscal Month</t>
  </si>
  <si>
    <t>sum dailies (1/1 - 1/31)</t>
  </si>
  <si>
    <t>sum dailies (12/29-1/28)</t>
  </si>
  <si>
    <t>Adj for Dec2010&amp;Jan2011</t>
  </si>
  <si>
    <t>Form 27</t>
  </si>
  <si>
    <t>Adj for Dec2010&amp;Jan2011 (WN)</t>
  </si>
  <si>
    <t>Jan 2011 fiscal retail delivered</t>
  </si>
  <si>
    <t>Jan 2012 calendar delivered</t>
  </si>
  <si>
    <t>Est. Jan 2011 calendar retail delivered</t>
  </si>
  <si>
    <t>W/N Total</t>
  </si>
  <si>
    <t>&lt; nominal impact</t>
  </si>
  <si>
    <t>could be broken between weather &amp; weather-normalized</t>
  </si>
  <si>
    <t>SAP (W/N)</t>
  </si>
  <si>
    <t>December 2010</t>
  </si>
  <si>
    <t>Normal HDD</t>
  </si>
  <si>
    <t>W/N NEL</t>
  </si>
  <si>
    <t>January 2011</t>
  </si>
  <si>
    <t>Estimated Jan</t>
  </si>
  <si>
    <t>Est Adj Jan</t>
  </si>
  <si>
    <t>Actual CPI</t>
  </si>
  <si>
    <t>Ratio Actual/Forecast</t>
  </si>
  <si>
    <t>INCLUDE THIS MONTH DATA &gt;&gt;&gt;&gt;&gt;&gt;&gt;&gt;&gt;&gt;&gt;&gt;&gt;&gt;&gt;</t>
  </si>
  <si>
    <t>Actual CPI as of Mar-05 2012</t>
  </si>
  <si>
    <t>Estimated February</t>
  </si>
  <si>
    <t>CPI for ENERGY used in Variance Plan Calculations</t>
  </si>
  <si>
    <t>JAN</t>
  </si>
  <si>
    <t>FEB</t>
  </si>
  <si>
    <t>MAR</t>
  </si>
  <si>
    <t>State and Area Employment, Hours, and Earnings</t>
  </si>
  <si>
    <r>
      <t>Series Id:    </t>
    </r>
    <r>
      <rPr>
        <sz val="10"/>
        <rFont val="Arial Unicode MS"/>
        <family val="2"/>
      </rPr>
      <t>SMS12000000000000001</t>
    </r>
  </si>
  <si>
    <r>
      <t>State:        </t>
    </r>
    <r>
      <rPr>
        <sz val="10"/>
        <rFont val="Arial Unicode MS"/>
        <family val="2"/>
      </rPr>
      <t>Florida</t>
    </r>
  </si>
  <si>
    <r>
      <t>Area:         </t>
    </r>
    <r>
      <rPr>
        <sz val="10"/>
        <rFont val="Arial Unicode MS"/>
        <family val="2"/>
      </rPr>
      <t>Statewide</t>
    </r>
  </si>
  <si>
    <r>
      <t>Supersector:  </t>
    </r>
    <r>
      <rPr>
        <sz val="10"/>
        <rFont val="Arial Unicode MS"/>
        <family val="2"/>
      </rPr>
      <t>Total Nonfarm</t>
    </r>
  </si>
  <si>
    <r>
      <t>Data Type:    </t>
    </r>
    <r>
      <rPr>
        <sz val="10"/>
        <rFont val="Arial Unicode MS"/>
        <family val="2"/>
      </rPr>
      <t>All Employees, In Thousands</t>
    </r>
  </si>
  <si>
    <t>P : Preliminary</t>
  </si>
  <si>
    <t>NEL - sum dailies (2/1 - 2/29)</t>
  </si>
  <si>
    <t>FEB 29-LEAP YEAR (one more day???)</t>
  </si>
  <si>
    <t>sum dailies (2/1 - 2/28)</t>
  </si>
  <si>
    <t>sum dailies (1/29 - 2/28)</t>
  </si>
  <si>
    <t>Adj for Jan2011&amp;Feb 2012</t>
  </si>
  <si>
    <t>Adj for Jan2011&amp;Feb2012 (WN)</t>
  </si>
  <si>
    <t>Feb 2011 fiscal retail delivered</t>
  </si>
  <si>
    <t>Feb2012 calendar delivered</t>
  </si>
  <si>
    <t>&lt;&lt;&lt;  2012 Feb Actual</t>
  </si>
  <si>
    <t>Diff (2012 - 2011)</t>
  </si>
  <si>
    <t>Est. Feb 2011 calendar retail delivered</t>
  </si>
  <si>
    <t>Feb 2012 calendar delivered</t>
  </si>
  <si>
    <t>&lt;&lt;&lt;INCLUDE Feb Data from tab: Feb_data (2)</t>
  </si>
  <si>
    <t>???</t>
  </si>
  <si>
    <t>2/29/2012 ???</t>
  </si>
  <si>
    <t>Data extracted on: March 5, 2012 (1:24:14 PM)</t>
  </si>
  <si>
    <t>3/5/2012 10:15:54</t>
  </si>
  <si>
    <t xml:space="preserve"> FEB 2012</t>
  </si>
  <si>
    <t>FEB 2012
Month
Plan</t>
  </si>
  <si>
    <t xml:space="preserve"> FEB 2011</t>
  </si>
  <si>
    <t xml:space="preserve"> FEB 2012 YTD
Plan</t>
  </si>
  <si>
    <t>NEL</t>
  </si>
  <si>
    <t>Delivered</t>
  </si>
  <si>
    <t>Leap Year</t>
  </si>
  <si>
    <t>Remaining Other</t>
  </si>
  <si>
    <t>Monthly</t>
  </si>
  <si>
    <t>March 2011</t>
  </si>
  <si>
    <t>sum dailies (3/1 - 3/31)</t>
  </si>
  <si>
    <t>sum dailies (2/26-3/28)</t>
  </si>
  <si>
    <t>Mar 2011 fiscal retail delivered</t>
  </si>
  <si>
    <t>Mar 2012 calendar delivered</t>
  </si>
  <si>
    <t>Est. Mar 2011 calendar retail delivered</t>
  </si>
  <si>
    <t>&lt;&lt;&lt; Include data from mar data (2): R36</t>
  </si>
  <si>
    <t>CDH</t>
  </si>
  <si>
    <t>HDD</t>
  </si>
  <si>
    <t>Normal</t>
  </si>
  <si>
    <t>Impact</t>
  </si>
  <si>
    <t>HDD45</t>
  </si>
  <si>
    <t>WN</t>
  </si>
  <si>
    <t>&lt;&lt;&lt; Include data from mar data (2): R5</t>
  </si>
  <si>
    <t>Estimated March</t>
  </si>
  <si>
    <t>Actual CPI as of Apr-02 2012</t>
  </si>
  <si>
    <t>AVG</t>
  </si>
  <si>
    <t>&lt;&lt;&lt; March Actual</t>
  </si>
  <si>
    <t>Adj for Feb2011&amp;March2011</t>
  </si>
  <si>
    <t>Adj for Feb2011&amp;March2011(WN)</t>
  </si>
  <si>
    <t>Data extracted on: April 3, 2012 (10:27:18 AM)</t>
  </si>
  <si>
    <t>SEE BELOW DATA FOR JAN &amp; FEB</t>
  </si>
  <si>
    <t>Industry:     Total Nonfarm</t>
  </si>
  <si>
    <t>Est Adj Feb</t>
  </si>
  <si>
    <t>&lt;&lt;JAN Adj't</t>
  </si>
  <si>
    <t>&lt;&lt; FEB Adj</t>
  </si>
  <si>
    <t>Data extracted on: April 2, 2012 (3:05:42 PM)</t>
  </si>
  <si>
    <r>
      <t>Item:        </t>
    </r>
    <r>
      <rPr>
        <b/>
        <sz val="10"/>
        <color indexed="10"/>
        <rFont val="Arial Unicode MS"/>
        <family val="2"/>
      </rPr>
      <t> Energy</t>
    </r>
  </si>
  <si>
    <t>4/5/2012 10:39:23</t>
  </si>
  <si>
    <t xml:space="preserve"> MAR 2012</t>
  </si>
  <si>
    <t>MAR 2012
Month
Plan</t>
  </si>
  <si>
    <t xml:space="preserve"> MAR 2011</t>
  </si>
  <si>
    <t xml:space="preserve"> MAR 2012 YTD
Plan</t>
  </si>
  <si>
    <t>April2011</t>
  </si>
  <si>
    <t>sum dailies (4/1 - 4/30)</t>
  </si>
  <si>
    <t>&lt;&lt;&lt; MTD - UPDATE</t>
  </si>
  <si>
    <t>sum dailies (3/29 - 4/30)</t>
  </si>
  <si>
    <t>Adj for MAR2011 &amp; APR2011</t>
  </si>
  <si>
    <t>Adj for MAR2011 &amp; APR2011 (WN)</t>
  </si>
  <si>
    <t>INCLUDE APRIL 2012 DATA</t>
  </si>
  <si>
    <t>APR 2011 fiscal retail delivered</t>
  </si>
  <si>
    <t>APR 2012 calendar delivered</t>
  </si>
  <si>
    <t>&lt;&lt;&lt; - UPDATE</t>
  </si>
  <si>
    <t>Est. APR 2011 calendar retail delivered</t>
  </si>
  <si>
    <t>Actual CPI May 1</t>
  </si>
  <si>
    <t>7328.7(P)</t>
  </si>
  <si>
    <t>&lt;&lt;  Adj</t>
  </si>
  <si>
    <t>&lt;&lt; Est April</t>
  </si>
  <si>
    <t>5/4/2012 09:55:22</t>
  </si>
  <si>
    <t xml:space="preserve"> APR 2012</t>
  </si>
  <si>
    <t>APR 2012
Month
Plan</t>
  </si>
  <si>
    <t xml:space="preserve"> APR 2011</t>
  </si>
  <si>
    <t xml:space="preserve"> APR 2012 QTD
Plan</t>
  </si>
  <si>
    <t xml:space="preserve"> APR 2012 YTD
Plan</t>
  </si>
  <si>
    <t>April adjustment</t>
  </si>
  <si>
    <t>May adjustment</t>
  </si>
  <si>
    <t>Original Data Value</t>
  </si>
  <si>
    <t>Data extracted on: May 31, 2012 (2:41:22 PM)</t>
  </si>
  <si>
    <t>Series Id:</t>
  </si>
  <si>
    <t>SMS12000000000000001</t>
  </si>
  <si>
    <t>State:</t>
  </si>
  <si>
    <t>Florida</t>
  </si>
  <si>
    <t>Area:</t>
  </si>
  <si>
    <t>Statewide</t>
  </si>
  <si>
    <t>Supersector:</t>
  </si>
  <si>
    <t>Total Nonfarm</t>
  </si>
  <si>
    <t>Industry:</t>
  </si>
  <si>
    <t>Data Type:</t>
  </si>
  <si>
    <t>All Employees, In Thousands</t>
  </si>
  <si>
    <t>Years:</t>
  </si>
  <si>
    <t>2002 to 2012</t>
  </si>
  <si>
    <t>Actual CPI May 23</t>
  </si>
  <si>
    <t>Estimated April</t>
  </si>
  <si>
    <t>Estimated May</t>
  </si>
  <si>
    <t>APR</t>
  </si>
  <si>
    <t>MAY</t>
  </si>
  <si>
    <t>INCLUDE APRIL / MAY DATA</t>
  </si>
  <si>
    <t>May 2011</t>
  </si>
  <si>
    <t>sum dailies (5/1 - 5/31)</t>
  </si>
  <si>
    <t>INCLUDE MAY</t>
  </si>
  <si>
    <t>sum dailies (4/29 - 5/28)</t>
  </si>
  <si>
    <t>Adj for APR2011 &amp; MAY2011</t>
  </si>
  <si>
    <t>Adj for APR2011 &amp; MAY2011 (WN)</t>
  </si>
  <si>
    <t>INCLUDE MAY 2012 DATA</t>
  </si>
  <si>
    <t>MAY 2011 fiscal retail delivered</t>
  </si>
  <si>
    <t>MAY2012 calendar delivered</t>
  </si>
  <si>
    <t>MAY 2012 calendar delivered</t>
  </si>
  <si>
    <t>INCLUDEMAY 2012 DATA</t>
  </si>
  <si>
    <t>&lt;&lt;&lt; Include data from may data (2): R5</t>
  </si>
  <si>
    <t>&lt;&lt;&lt; Include data from may data (2): R36</t>
  </si>
  <si>
    <t>Data extracted on: May 23, 2012 (8:52:33 AM)</t>
  </si>
  <si>
    <t>CUSR0000SA0E</t>
  </si>
  <si>
    <t>U.S. city average</t>
  </si>
  <si>
    <t>Item:</t>
  </si>
  <si>
    <t>Energy</t>
  </si>
  <si>
    <t>Base Period:</t>
  </si>
  <si>
    <t>1982-84=100</t>
  </si>
  <si>
    <t>CPI for Energy</t>
  </si>
  <si>
    <t>6/6/2012 09:31:30</t>
  </si>
  <si>
    <t xml:space="preserve"> MAY 2012</t>
  </si>
  <si>
    <t>MAY 2012
Month
Plan</t>
  </si>
  <si>
    <t xml:space="preserve"> MAY 2011</t>
  </si>
  <si>
    <t xml:space="preserve"> MAY 2012 YTD
Plan</t>
  </si>
  <si>
    <t>Est. MAY 2011 calendar retail delivered</t>
  </si>
  <si>
    <t>Actual CPI June 27</t>
  </si>
  <si>
    <t>Estimated June</t>
  </si>
  <si>
    <t>JUN</t>
  </si>
  <si>
    <t>JUL</t>
  </si>
  <si>
    <t>AUG</t>
  </si>
  <si>
    <t>SEP</t>
  </si>
  <si>
    <t>OCT</t>
  </si>
  <si>
    <t>NOV</t>
  </si>
  <si>
    <t>DEC</t>
  </si>
  <si>
    <t>Extracted on June 27, 2012</t>
  </si>
  <si>
    <t>Data extracted on: June 27, 2012 (4:07:40 PM)</t>
  </si>
  <si>
    <r>
      <t>Industry:     </t>
    </r>
    <r>
      <rPr>
        <sz val="10"/>
        <rFont val="Arial Unicode MS"/>
        <family val="2"/>
      </rPr>
      <t>Total Nonfarm</t>
    </r>
  </si>
  <si>
    <t>7323.0(P)</t>
  </si>
  <si>
    <t>June adjustment</t>
  </si>
  <si>
    <t>sum dailies (6/1 - 6/30)</t>
  </si>
  <si>
    <t>INCLUDEJUNE</t>
  </si>
  <si>
    <t>sum dailies (5/29 - 6/28)</t>
  </si>
  <si>
    <t>Adj for MAY2011 &amp; JUN2011</t>
  </si>
  <si>
    <t>Adj for MAY2011 &amp; JUN2011 (WN)</t>
  </si>
  <si>
    <t>INCLUDE JUNE 2012 DATA</t>
  </si>
  <si>
    <t>JUNE 2011 fiscal retail delivered</t>
  </si>
  <si>
    <t>JUNE 2012 calendar delivered</t>
  </si>
  <si>
    <t>Est. JUN 2011 calendar retail delivered</t>
  </si>
  <si>
    <t>JUN 2012 calendar delivered</t>
  </si>
  <si>
    <t>&lt;&lt;&lt; Include data from THIS MONTH data (2): R5</t>
  </si>
  <si>
    <t>&lt;&lt;&lt; Include data from THIS MONTH data (2): R36</t>
  </si>
  <si>
    <t>INCLUDE DATA FOR JUNE</t>
  </si>
  <si>
    <t>CHECK CHECK</t>
  </si>
  <si>
    <t>June 2011</t>
  </si>
  <si>
    <t>&lt;&lt;&lt;INCLUDE DATA</t>
  </si>
  <si>
    <t>7/6/2012 09:52:06</t>
  </si>
  <si>
    <t xml:space="preserve"> JUN 2012</t>
  </si>
  <si>
    <t>JUN 2012
Month
Plan</t>
  </si>
  <si>
    <t xml:space="preserve"> JUN 2011</t>
  </si>
  <si>
    <t xml:space="preserve"> JUN 2012 YTD
Plan</t>
  </si>
  <si>
    <t>INCLUDE THIS MONTH DATA &gt;&gt;&gt;&gt;&gt;&gt;&gt;</t>
  </si>
  <si>
    <t>CHECK COLUMNS</t>
  </si>
  <si>
    <t xml:space="preserve">Col E + Last Month Col G </t>
  </si>
  <si>
    <t>Col E + Last Month Col F</t>
  </si>
  <si>
    <t xml:space="preserve">Column E </t>
  </si>
  <si>
    <t>LEAP DAY</t>
  </si>
  <si>
    <t>Remaining Variance from Prior</t>
  </si>
  <si>
    <t>Remaining Variance from Plan</t>
  </si>
  <si>
    <t>Staff 005862
FPL RC-12</t>
  </si>
  <si>
    <t>Staff 005863
FPL RC-12</t>
  </si>
  <si>
    <t>Staff 005864
FPL RC-12</t>
  </si>
  <si>
    <t>Staff 005865
FPL RC-12</t>
  </si>
  <si>
    <t>Staff 005866
FPL RC-12</t>
  </si>
  <si>
    <t>Staff 005867
FPL RC-12</t>
  </si>
  <si>
    <t>Staff 005868
FPL RC-12</t>
  </si>
  <si>
    <t>Staff 005869
FPL RC-12</t>
  </si>
  <si>
    <t>Staff 005870
FPL RC-12</t>
  </si>
  <si>
    <t>Staff 005871
FPL RC-12</t>
  </si>
  <si>
    <t>Staff 005872
FPL RC-12</t>
  </si>
  <si>
    <t>Staff 005873
FPL RC-12</t>
  </si>
  <si>
    <t>Staff 005874
FPL RC-12</t>
  </si>
  <si>
    <t>Staff 005875
FPL RC-12</t>
  </si>
  <si>
    <t>Staff 005876
FPL RC-12</t>
  </si>
  <si>
    <t>Staff 005877
FPL RC-12</t>
  </si>
  <si>
    <t>Staff 005878
FPL RC-12</t>
  </si>
  <si>
    <t>Staff 005879
FPL RC-12</t>
  </si>
  <si>
    <t>Staff 005880
FPL RC-12</t>
  </si>
  <si>
    <t>Staff 005881
FPL RC-12</t>
  </si>
  <si>
    <t>Staff 005882
FPL RC-12</t>
  </si>
  <si>
    <t>Staff 005883
FPL RC-12</t>
  </si>
  <si>
    <t>Staff 005884
FPL RC-12</t>
  </si>
  <si>
    <t>Staff 005885
FPL RC-12</t>
  </si>
  <si>
    <t>Staff 005886
FPL RC-12</t>
  </si>
  <si>
    <t>Staff 005887
FPL RC-12</t>
  </si>
  <si>
    <t>Staff 005888
FPL RC-12</t>
  </si>
  <si>
    <t>Staff 005889
FPL RC-12</t>
  </si>
  <si>
    <t>Staff 005890
FPL RC-12</t>
  </si>
  <si>
    <t>Staff 005891
FPL RC-12</t>
  </si>
  <si>
    <t>Staff 005892
FPL RC-12</t>
  </si>
  <si>
    <t>Staff 005893
FPL RC-12</t>
  </si>
  <si>
    <t>Staff 005894
FPL RC-12</t>
  </si>
  <si>
    <t>Staff 005895
FPL RC-12</t>
  </si>
  <si>
    <t>Staff 005896
FPL RC-12</t>
  </si>
  <si>
    <t>Staff 005897
FPL RC-12</t>
  </si>
  <si>
    <t>Staff 005898
FPL RC-12</t>
  </si>
  <si>
    <t>Staff 005899
FPL RC-12</t>
  </si>
</sst>
</file>

<file path=xl/styles.xml><?xml version="1.0" encoding="utf-8"?>
<styleSheet xmlns="http://schemas.openxmlformats.org/spreadsheetml/2006/main">
  <numFmts count="3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;\-0.000"/>
    <numFmt numFmtId="165" formatCode="0.00000"/>
    <numFmt numFmtId="166" formatCode="#,##0.0000000"/>
    <numFmt numFmtId="167" formatCode="0.0000;\-0.0000"/>
    <numFmt numFmtId="168" formatCode="_(* #,##0_);_(* \(#,##0\);_(* &quot;-&quot;??_);_(@_)"/>
    <numFmt numFmtId="169" formatCode="#,##0.00000"/>
    <numFmt numFmtId="170" formatCode="0.0%"/>
    <numFmt numFmtId="171" formatCode="_(* #,##0.0_);_(* \(#,##0.0\);_(* &quot;-&quot;??_);_(@_)"/>
    <numFmt numFmtId="172" formatCode="0.000"/>
    <numFmt numFmtId="173" formatCode="0.0000"/>
    <numFmt numFmtId="174" formatCode="0.000%"/>
    <numFmt numFmtId="175" formatCode="0.000000"/>
    <numFmt numFmtId="176" formatCode="0.00000000"/>
    <numFmt numFmtId="177" formatCode="0.0000000"/>
    <numFmt numFmtId="178" formatCode="0.0;\-0.0"/>
    <numFmt numFmtId="179" formatCode="[$-409]mmm\-yy;@"/>
    <numFmt numFmtId="180" formatCode="_(&quot;$&quot;* #,##0_);_(&quot;$&quot;* \(#,##0\);_(&quot;$&quot;* &quot;-&quot;??_);_(@_)"/>
    <numFmt numFmtId="181" formatCode="#,##0.0"/>
    <numFmt numFmtId="182" formatCode="#,##0.000"/>
    <numFmt numFmtId="183" formatCode="#,##0.0000"/>
    <numFmt numFmtId="184" formatCode="0.00000;\-0.00000"/>
    <numFmt numFmtId="185" formatCode="0.0"/>
    <numFmt numFmtId="186" formatCode="#,##0\ ;&quot;(&quot;#,##0&quot;)&quot;"/>
    <numFmt numFmtId="187" formatCode="0.00000000;\-0.00000000"/>
    <numFmt numFmtId="188" formatCode="_(* #,##0.0000_);_(* \(#,##0.0000\);_(* &quot;-&quot;??_);_(@_)"/>
    <numFmt numFmtId="189" formatCode="#0.0"/>
    <numFmt numFmtId="190" formatCode="#0.000"/>
    <numFmt numFmtId="191" formatCode="0.0_);\(0.0\)"/>
  </numFmts>
  <fonts count="9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10"/>
      <name val="Tahoma"/>
      <family val="2"/>
    </font>
    <font>
      <sz val="12"/>
      <name val="Arial"/>
      <family val="2"/>
    </font>
    <font>
      <b/>
      <sz val="16"/>
      <color indexed="10"/>
      <name val="Arial"/>
      <family val="2"/>
    </font>
    <font>
      <b/>
      <sz val="10"/>
      <color indexed="14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0"/>
      <name val="Arial"/>
      <family val="2"/>
    </font>
    <font>
      <sz val="23"/>
      <color indexed="16"/>
      <name val="Times New Roman"/>
      <family val="1"/>
    </font>
    <font>
      <sz val="7.7"/>
      <color indexed="23"/>
      <name val="Tahoma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Tahoma"/>
      <family val="2"/>
    </font>
    <font>
      <sz val="10"/>
      <color indexed="63"/>
      <name val="Tahoma"/>
      <family val="2"/>
    </font>
    <font>
      <b/>
      <sz val="10.7"/>
      <color indexed="8"/>
      <name val="Arial"/>
      <family val="2"/>
    </font>
    <font>
      <b/>
      <sz val="10"/>
      <name val="Arial Unicode MS"/>
      <family val="2"/>
    </font>
    <font>
      <b/>
      <sz val="10"/>
      <color indexed="10"/>
      <name val="Arial Unicode MS"/>
      <family val="2"/>
    </font>
    <font>
      <b/>
      <sz val="9.1999999999999993"/>
      <name val="Tahoma"/>
      <family val="2"/>
    </font>
    <font>
      <sz val="9.1999999999999993"/>
      <name val="Tahoma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63"/>
      <name val="Tahoma"/>
      <family val="2"/>
    </font>
    <font>
      <b/>
      <sz val="9.1999999999999993"/>
      <color indexed="10"/>
      <name val="Tahoma"/>
      <family val="2"/>
    </font>
    <font>
      <b/>
      <sz val="10"/>
      <name val="Verdana"/>
      <family val="2"/>
    </font>
    <font>
      <b/>
      <sz val="10"/>
      <color indexed="10"/>
      <name val="Arial"/>
      <family val="2"/>
    </font>
    <font>
      <b/>
      <sz val="10"/>
      <color indexed="63"/>
      <name val="Tahoma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0.7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43" fontId="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9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2" fillId="2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23" borderId="7" applyNumberFormat="0" applyFont="0" applyAlignment="0" applyProtection="0"/>
    <xf numFmtId="0" fontId="43" fillId="20" borderId="8" applyNumberFormat="0" applyAlignment="0" applyProtection="0"/>
    <xf numFmtId="9" fontId="1" fillId="0" borderId="0" applyFont="0" applyFill="0" applyBorder="0" applyAlignment="0" applyProtection="0"/>
    <xf numFmtId="4" fontId="44" fillId="22" borderId="9" applyNumberFormat="0" applyProtection="0">
      <alignment vertical="center"/>
    </xf>
    <xf numFmtId="4" fontId="45" fillId="24" borderId="9" applyNumberFormat="0" applyProtection="0">
      <alignment vertical="center"/>
    </xf>
    <xf numFmtId="4" fontId="44" fillId="24" borderId="9" applyNumberFormat="0" applyProtection="0">
      <alignment horizontal="left" vertical="center" indent="1"/>
    </xf>
    <xf numFmtId="0" fontId="44" fillId="24" borderId="9" applyNumberFormat="0" applyProtection="0">
      <alignment horizontal="left" vertical="top" indent="1"/>
    </xf>
    <xf numFmtId="4" fontId="46" fillId="0" borderId="0" applyNumberFormat="0" applyProtection="0">
      <alignment horizontal="left"/>
    </xf>
    <xf numFmtId="4" fontId="47" fillId="3" borderId="9" applyNumberFormat="0" applyProtection="0">
      <alignment horizontal="right" vertical="center"/>
    </xf>
    <xf numFmtId="4" fontId="47" fillId="9" borderId="9" applyNumberFormat="0" applyProtection="0">
      <alignment horizontal="right" vertical="center"/>
    </xf>
    <xf numFmtId="4" fontId="47" fillId="17" borderId="9" applyNumberFormat="0" applyProtection="0">
      <alignment horizontal="right" vertical="center"/>
    </xf>
    <xf numFmtId="4" fontId="47" fillId="11" borderId="9" applyNumberFormat="0" applyProtection="0">
      <alignment horizontal="right" vertical="center"/>
    </xf>
    <xf numFmtId="4" fontId="47" fillId="15" borderId="9" applyNumberFormat="0" applyProtection="0">
      <alignment horizontal="right" vertical="center"/>
    </xf>
    <xf numFmtId="4" fontId="47" fillId="19" borderId="9" applyNumberFormat="0" applyProtection="0">
      <alignment horizontal="right" vertical="center"/>
    </xf>
    <xf numFmtId="4" fontId="47" fillId="18" borderId="9" applyNumberFormat="0" applyProtection="0">
      <alignment horizontal="right" vertical="center"/>
    </xf>
    <xf numFmtId="4" fontId="47" fillId="25" borderId="9" applyNumberFormat="0" applyProtection="0">
      <alignment horizontal="right" vertical="center"/>
    </xf>
    <xf numFmtId="4" fontId="47" fillId="10" borderId="9" applyNumberFormat="0" applyProtection="0">
      <alignment horizontal="right" vertical="center"/>
    </xf>
    <xf numFmtId="4" fontId="44" fillId="26" borderId="10" applyNumberFormat="0" applyProtection="0">
      <alignment horizontal="left" vertical="center" indent="1"/>
    </xf>
    <xf numFmtId="4" fontId="44" fillId="0" borderId="0" applyNumberFormat="0" applyProtection="0">
      <alignment horizontal="left" vertical="center" indent="1"/>
    </xf>
    <xf numFmtId="4" fontId="44" fillId="0" borderId="0" applyNumberFormat="0" applyProtection="0">
      <alignment horizontal="left" vertical="center" indent="1"/>
    </xf>
    <xf numFmtId="4" fontId="44" fillId="0" borderId="0" applyNumberFormat="0" applyProtection="0">
      <alignment horizontal="left" vertical="center" indent="1"/>
    </xf>
    <xf numFmtId="4" fontId="44" fillId="0" borderId="0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4" fontId="48" fillId="27" borderId="0" applyNumberFormat="0" applyProtection="0">
      <alignment horizontal="left" vertical="center" indent="1"/>
    </xf>
    <xf numFmtId="4" fontId="47" fillId="28" borderId="9" applyNumberFormat="0" applyProtection="0">
      <alignment horizontal="right" vertical="center"/>
    </xf>
    <xf numFmtId="4" fontId="49" fillId="0" borderId="0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4" fontId="84" fillId="0" borderId="0" applyNumberFormat="0" applyProtection="0">
      <alignment horizontal="left" vertical="center" indent="1"/>
    </xf>
    <xf numFmtId="4" fontId="91" fillId="0" borderId="0" applyNumberFormat="0" applyProtection="0">
      <alignment horizontal="left" vertical="center" indent="1"/>
    </xf>
    <xf numFmtId="4" fontId="49" fillId="29" borderId="0" applyNumberFormat="0" applyProtection="0">
      <alignment horizontal="left" vertical="center" indent="1"/>
    </xf>
    <xf numFmtId="4" fontId="47" fillId="29" borderId="0" applyNumberFormat="0" applyProtection="0">
      <alignment horizontal="left" vertical="center" indent="1"/>
    </xf>
    <xf numFmtId="4" fontId="84" fillId="29" borderId="0" applyNumberFormat="0" applyProtection="0">
      <alignment horizontal="left" vertical="center" indent="1"/>
    </xf>
    <xf numFmtId="4" fontId="91" fillId="29" borderId="0" applyNumberFormat="0" applyProtection="0">
      <alignment horizontal="left" vertical="center" indent="1"/>
    </xf>
    <xf numFmtId="0" fontId="9" fillId="27" borderId="9" applyNumberFormat="0" applyProtection="0">
      <alignment horizontal="left" vertical="center" indent="1"/>
    </xf>
    <xf numFmtId="0" fontId="1" fillId="27" borderId="9" applyNumberFormat="0" applyProtection="0">
      <alignment horizontal="left" vertical="top" indent="1"/>
    </xf>
    <xf numFmtId="0" fontId="1" fillId="29" borderId="9" applyNumberFormat="0" applyProtection="0">
      <alignment horizontal="left" vertical="center" indent="1"/>
    </xf>
    <xf numFmtId="0" fontId="71" fillId="0" borderId="0" applyNumberFormat="0" applyProtection="0">
      <alignment horizontal="left" vertical="center" indent="1"/>
    </xf>
    <xf numFmtId="0" fontId="71" fillId="0" borderId="0" applyNumberFormat="0" applyProtection="0">
      <alignment horizontal="left" vertical="center" indent="1"/>
    </xf>
    <xf numFmtId="0" fontId="71" fillId="0" borderId="0" applyNumberFormat="0" applyProtection="0">
      <alignment horizontal="left" vertical="center" indent="1"/>
    </xf>
    <xf numFmtId="0" fontId="71" fillId="0" borderId="0" applyNumberFormat="0" applyProtection="0">
      <alignment horizontal="left" vertical="center" indent="1"/>
    </xf>
    <xf numFmtId="0" fontId="1" fillId="29" borderId="9" applyNumberFormat="0" applyProtection="0">
      <alignment horizontal="left" vertical="top" indent="1"/>
    </xf>
    <xf numFmtId="0" fontId="18" fillId="30" borderId="9" applyNumberFormat="0" applyProtection="0">
      <alignment horizontal="left" vertical="center" indent="1"/>
    </xf>
    <xf numFmtId="0" fontId="1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" fillId="30" borderId="9" applyNumberFormat="0" applyProtection="0">
      <alignment horizontal="left" vertical="top" indent="1"/>
    </xf>
    <xf numFmtId="0" fontId="1" fillId="31" borderId="9" applyNumberFormat="0" applyProtection="0">
      <alignment horizontal="left" vertical="center" indent="1"/>
    </xf>
    <xf numFmtId="0" fontId="1" fillId="31" borderId="9" applyNumberFormat="0" applyProtection="0">
      <alignment horizontal="left" vertical="top" indent="1"/>
    </xf>
    <xf numFmtId="0" fontId="1" fillId="0" borderId="0"/>
    <xf numFmtId="4" fontId="47" fillId="32" borderId="9" applyNumberFormat="0" applyProtection="0">
      <alignment vertical="center"/>
    </xf>
    <xf numFmtId="4" fontId="50" fillId="32" borderId="9" applyNumberFormat="0" applyProtection="0">
      <alignment vertical="center"/>
    </xf>
    <xf numFmtId="4" fontId="47" fillId="32" borderId="9" applyNumberFormat="0" applyProtection="0">
      <alignment horizontal="left" vertical="center" indent="1"/>
    </xf>
    <xf numFmtId="0" fontId="47" fillId="32" borderId="9" applyNumberFormat="0" applyProtection="0">
      <alignment horizontal="left" vertical="top" indent="1"/>
    </xf>
    <xf numFmtId="4" fontId="47" fillId="0" borderId="0" applyNumberFormat="0" applyProtection="0">
      <alignment horizontal="right"/>
    </xf>
    <xf numFmtId="4" fontId="47" fillId="0" borderId="0" applyNumberFormat="0" applyProtection="0">
      <alignment horizontal="right" vertical="justify"/>
    </xf>
    <xf numFmtId="4" fontId="47" fillId="0" borderId="0" applyNumberFormat="0" applyProtection="0">
      <alignment horizontal="right" vertical="justify"/>
    </xf>
    <xf numFmtId="4" fontId="47" fillId="0" borderId="0" applyNumberFormat="0" applyProtection="0">
      <alignment horizontal="right" vertical="justify"/>
    </xf>
    <xf numFmtId="4" fontId="47" fillId="0" borderId="0" applyNumberFormat="0" applyProtection="0">
      <alignment horizontal="right" vertical="justify"/>
    </xf>
    <xf numFmtId="4" fontId="44" fillId="0" borderId="11" applyNumberFormat="0" applyProtection="0">
      <alignment horizontal="right" vertical="center"/>
    </xf>
    <xf numFmtId="4" fontId="44" fillId="0" borderId="0" applyNumberFormat="0" applyProtection="0">
      <alignment horizontal="left" vertical="center" wrapText="1" indent="1"/>
    </xf>
    <xf numFmtId="0" fontId="46" fillId="0" borderId="0" applyNumberFormat="0" applyProtection="0">
      <alignment horizontal="center" wrapText="1"/>
    </xf>
    <xf numFmtId="4" fontId="51" fillId="0" borderId="0" applyNumberFormat="0" applyProtection="0">
      <alignment horizontal="left"/>
    </xf>
    <xf numFmtId="4" fontId="52" fillId="0" borderId="0" applyNumberFormat="0" applyProtection="0">
      <alignment horizontal="right"/>
    </xf>
    <xf numFmtId="175" fontId="1" fillId="0" borderId="0">
      <alignment horizontal="left" wrapText="1"/>
    </xf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</cellStyleXfs>
  <cellXfs count="81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0" fillId="0" borderId="13" xfId="0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/>
    <xf numFmtId="3" fontId="3" fillId="0" borderId="0" xfId="47" applyNumberFormat="1" applyFont="1" applyAlignment="1">
      <alignment horizontal="center"/>
    </xf>
    <xf numFmtId="165" fontId="3" fillId="0" borderId="0" xfId="0" applyNumberFormat="1" applyFont="1"/>
    <xf numFmtId="166" fontId="3" fillId="0" borderId="0" xfId="47" applyNumberFormat="1" applyFont="1" applyAlignment="1">
      <alignment horizontal="center"/>
    </xf>
    <xf numFmtId="10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8" fontId="3" fillId="0" borderId="0" xfId="28" applyNumberFormat="1" applyFont="1" applyAlignment="1">
      <alignment horizontal="center"/>
    </xf>
    <xf numFmtId="1" fontId="4" fillId="0" borderId="0" xfId="0" quotePrefix="1" applyNumberFormat="1" applyFont="1" applyAlignment="1">
      <alignment horizontal="left"/>
    </xf>
    <xf numFmtId="0" fontId="0" fillId="0" borderId="13" xfId="0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2" fontId="3" fillId="0" borderId="0" xfId="28" applyNumberFormat="1" applyFont="1" applyAlignment="1">
      <alignment horizontal="center"/>
    </xf>
    <xf numFmtId="170" fontId="3" fillId="0" borderId="0" xfId="0" applyNumberFormat="1" applyFont="1"/>
    <xf numFmtId="3" fontId="7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left"/>
    </xf>
    <xf numFmtId="171" fontId="3" fillId="0" borderId="0" xfId="28" applyNumberFormat="1" applyFont="1"/>
    <xf numFmtId="3" fontId="3" fillId="0" borderId="0" xfId="0" applyNumberFormat="1" applyFont="1" applyFill="1"/>
    <xf numFmtId="0" fontId="7" fillId="0" borderId="0" xfId="0" quotePrefix="1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173" fontId="3" fillId="0" borderId="0" xfId="0" applyNumberFormat="1" applyFont="1" applyAlignment="1">
      <alignment horizontal="center"/>
    </xf>
    <xf numFmtId="0" fontId="9" fillId="0" borderId="0" xfId="0" applyFont="1"/>
    <xf numFmtId="0" fontId="12" fillId="0" borderId="0" xfId="0" quotePrefix="1" applyFont="1" applyAlignment="1">
      <alignment horizontal="left"/>
    </xf>
    <xf numFmtId="3" fontId="12" fillId="0" borderId="0" xfId="0" applyNumberFormat="1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2" fontId="0" fillId="0" borderId="0" xfId="0" applyNumberFormat="1"/>
    <xf numFmtId="168" fontId="0" fillId="0" borderId="0" xfId="0" applyNumberFormat="1"/>
    <xf numFmtId="0" fontId="10" fillId="0" borderId="0" xfId="0" applyFont="1" applyFill="1" applyBorder="1"/>
    <xf numFmtId="177" fontId="7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4" xfId="0" applyBorder="1"/>
    <xf numFmtId="3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/>
    <xf numFmtId="165" fontId="3" fillId="0" borderId="14" xfId="0" applyNumberFormat="1" applyFont="1" applyBorder="1"/>
    <xf numFmtId="165" fontId="3" fillId="0" borderId="14" xfId="0" applyNumberFormat="1" applyFont="1" applyFill="1" applyBorder="1"/>
    <xf numFmtId="3" fontId="3" fillId="0" borderId="14" xfId="47" applyNumberFormat="1" applyFont="1" applyBorder="1" applyAlignment="1">
      <alignment horizontal="center"/>
    </xf>
    <xf numFmtId="166" fontId="3" fillId="0" borderId="14" xfId="47" applyNumberFormat="1" applyFont="1" applyBorder="1" applyAlignment="1">
      <alignment horizontal="center"/>
    </xf>
    <xf numFmtId="3" fontId="3" fillId="0" borderId="14" xfId="0" applyNumberFormat="1" applyFont="1" applyBorder="1"/>
    <xf numFmtId="10" fontId="3" fillId="0" borderId="14" xfId="0" applyNumberFormat="1" applyFont="1" applyBorder="1"/>
    <xf numFmtId="0" fontId="3" fillId="0" borderId="14" xfId="0" applyFont="1" applyBorder="1"/>
    <xf numFmtId="2" fontId="3" fillId="33" borderId="0" xfId="0" applyNumberFormat="1" applyFont="1" applyFill="1" applyAlignment="1">
      <alignment horizontal="center"/>
    </xf>
    <xf numFmtId="165" fontId="3" fillId="33" borderId="0" xfId="0" applyNumberFormat="1" applyFont="1" applyFill="1" applyAlignment="1">
      <alignment horizontal="center"/>
    </xf>
    <xf numFmtId="169" fontId="3" fillId="33" borderId="0" xfId="0" applyNumberFormat="1" applyFont="1" applyFill="1" applyAlignment="1">
      <alignment horizontal="center"/>
    </xf>
    <xf numFmtId="3" fontId="12" fillId="3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14" xfId="0" applyNumberFormat="1" applyBorder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14" xfId="0" applyNumberForma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3" fontId="12" fillId="34" borderId="0" xfId="0" applyNumberFormat="1" applyFont="1" applyFill="1" applyBorder="1" applyAlignment="1">
      <alignment horizontal="center"/>
    </xf>
    <xf numFmtId="3" fontId="12" fillId="34" borderId="0" xfId="0" applyNumberFormat="1" applyFont="1" applyFill="1" applyAlignment="1">
      <alignment horizontal="left"/>
    </xf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0" fillId="0" borderId="14" xfId="0" applyBorder="1" applyAlignment="1">
      <alignment horizontal="center"/>
    </xf>
    <xf numFmtId="3" fontId="9" fillId="0" borderId="0" xfId="0" applyNumberFormat="1" applyFont="1"/>
    <xf numFmtId="0" fontId="0" fillId="30" borderId="0" xfId="0" applyFill="1" applyAlignment="1">
      <alignment horizontal="center"/>
    </xf>
    <xf numFmtId="0" fontId="8" fillId="30" borderId="0" xfId="0" applyFont="1" applyFill="1"/>
    <xf numFmtId="3" fontId="8" fillId="30" borderId="0" xfId="0" applyNumberFormat="1" applyFont="1" applyFill="1"/>
    <xf numFmtId="0" fontId="0" fillId="30" borderId="0" xfId="0" applyFill="1"/>
    <xf numFmtId="3" fontId="15" fillId="30" borderId="0" xfId="0" applyNumberFormat="1" applyFont="1" applyFill="1" applyAlignment="1">
      <alignment horizontal="center"/>
    </xf>
    <xf numFmtId="0" fontId="12" fillId="0" borderId="0" xfId="0" applyFont="1" applyBorder="1"/>
    <xf numFmtId="173" fontId="3" fillId="33" borderId="0" xfId="0" applyNumberFormat="1" applyFont="1" applyFill="1" applyAlignment="1">
      <alignment horizontal="center"/>
    </xf>
    <xf numFmtId="178" fontId="0" fillId="0" borderId="0" xfId="0" applyNumberFormat="1" applyAlignment="1">
      <alignment horizontal="center"/>
    </xf>
    <xf numFmtId="1" fontId="13" fillId="0" borderId="0" xfId="0" quotePrefix="1" applyNumberFormat="1" applyFont="1" applyAlignment="1">
      <alignment horizontal="left"/>
    </xf>
    <xf numFmtId="2" fontId="7" fillId="34" borderId="0" xfId="0" applyNumberFormat="1" applyFont="1" applyFill="1" applyAlignment="1">
      <alignment horizontal="center"/>
    </xf>
    <xf numFmtId="3" fontId="12" fillId="34" borderId="0" xfId="0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174" fontId="0" fillId="0" borderId="0" xfId="50" applyNumberFormat="1" applyFont="1"/>
    <xf numFmtId="179" fontId="0" fillId="0" borderId="0" xfId="0" applyNumberFormat="1"/>
    <xf numFmtId="168" fontId="0" fillId="0" borderId="0" xfId="28" applyNumberFormat="1" applyFont="1"/>
    <xf numFmtId="174" fontId="0" fillId="35" borderId="0" xfId="50" applyNumberFormat="1" applyFont="1" applyFill="1"/>
    <xf numFmtId="0" fontId="10" fillId="0" borderId="0" xfId="0" applyFont="1" applyFill="1"/>
    <xf numFmtId="176" fontId="0" fillId="0" borderId="0" xfId="0" applyNumberFormat="1" applyAlignment="1">
      <alignment horizontal="center"/>
    </xf>
    <xf numFmtId="176" fontId="17" fillId="0" borderId="0" xfId="0" applyNumberFormat="1" applyFont="1" applyAlignment="1">
      <alignment horizontal="center"/>
    </xf>
    <xf numFmtId="176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175" fontId="3" fillId="0" borderId="0" xfId="0" quotePrefix="1" applyNumberFormat="1" applyFont="1" applyAlignment="1">
      <alignment horizontal="left"/>
    </xf>
    <xf numFmtId="0" fontId="14" fillId="0" borderId="0" xfId="0" applyFont="1" applyFill="1" applyBorder="1"/>
    <xf numFmtId="168" fontId="18" fillId="0" borderId="0" xfId="0" quotePrefix="1" applyNumberFormat="1" applyFont="1"/>
    <xf numFmtId="0" fontId="19" fillId="0" borderId="0" xfId="0" quotePrefix="1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17" fontId="20" fillId="0" borderId="0" xfId="0" applyNumberFormat="1" applyFont="1" applyAlignment="1">
      <alignment horizontal="center"/>
    </xf>
    <xf numFmtId="3" fontId="20" fillId="0" borderId="0" xfId="0" applyNumberFormat="1" applyFont="1"/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70" fontId="20" fillId="0" borderId="0" xfId="50" applyNumberFormat="1" applyFont="1"/>
    <xf numFmtId="3" fontId="20" fillId="0" borderId="0" xfId="0" quotePrefix="1" applyNumberFormat="1" applyFont="1" applyAlignment="1">
      <alignment horizontal="center"/>
    </xf>
    <xf numFmtId="170" fontId="20" fillId="0" borderId="0" xfId="0" applyNumberFormat="1" applyFont="1" applyAlignment="1">
      <alignment horizontal="center"/>
    </xf>
    <xf numFmtId="0" fontId="20" fillId="0" borderId="0" xfId="0" quotePrefix="1" applyFont="1" applyAlignment="1">
      <alignment horizontal="left"/>
    </xf>
    <xf numFmtId="170" fontId="20" fillId="0" borderId="0" xfId="0" applyNumberFormat="1" applyFont="1"/>
    <xf numFmtId="3" fontId="21" fillId="0" borderId="0" xfId="0" applyNumberFormat="1" applyFont="1"/>
    <xf numFmtId="43" fontId="20" fillId="0" borderId="0" xfId="0" applyNumberFormat="1" applyFont="1"/>
    <xf numFmtId="0" fontId="9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17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17" fillId="0" borderId="0" xfId="0" applyFont="1"/>
    <xf numFmtId="170" fontId="0" fillId="0" borderId="0" xfId="50" applyNumberFormat="1" applyFont="1"/>
    <xf numFmtId="10" fontId="0" fillId="0" borderId="0" xfId="50" applyNumberFormat="1" applyFont="1"/>
    <xf numFmtId="175" fontId="16" fillId="0" borderId="0" xfId="0" applyNumberFormat="1" applyFont="1" applyAlignment="1">
      <alignment horizontal="center"/>
    </xf>
    <xf numFmtId="177" fontId="17" fillId="0" borderId="0" xfId="0" applyNumberFormat="1" applyFont="1" applyAlignment="1">
      <alignment horizontal="center"/>
    </xf>
    <xf numFmtId="177" fontId="16" fillId="0" borderId="0" xfId="0" applyNumberFormat="1" applyFont="1" applyAlignment="1">
      <alignment horizontal="center"/>
    </xf>
    <xf numFmtId="175" fontId="17" fillId="0" borderId="0" xfId="0" applyNumberFormat="1" applyFont="1"/>
    <xf numFmtId="0" fontId="17" fillId="0" borderId="0" xfId="0" quotePrefix="1" applyFont="1" applyAlignment="1">
      <alignment horizontal="center" wrapText="1"/>
    </xf>
    <xf numFmtId="176" fontId="17" fillId="0" borderId="0" xfId="0" applyNumberFormat="1" applyFont="1"/>
    <xf numFmtId="4" fontId="3" fillId="0" borderId="0" xfId="0" applyNumberFormat="1" applyFont="1" applyAlignment="1">
      <alignment horizontal="center"/>
    </xf>
    <xf numFmtId="174" fontId="0" fillId="0" borderId="0" xfId="0" applyNumberFormat="1"/>
    <xf numFmtId="176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77" fontId="17" fillId="0" borderId="0" xfId="0" applyNumberFormat="1" applyFont="1"/>
    <xf numFmtId="168" fontId="9" fillId="0" borderId="0" xfId="0" applyNumberFormat="1" applyFont="1"/>
    <xf numFmtId="0" fontId="20" fillId="0" borderId="0" xfId="0" applyFont="1" applyAlignment="1">
      <alignment horizontal="right" wrapText="1"/>
    </xf>
    <xf numFmtId="168" fontId="20" fillId="0" borderId="0" xfId="28" applyNumberFormat="1" applyFont="1"/>
    <xf numFmtId="2" fontId="12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0" fontId="17" fillId="0" borderId="14" xfId="0" applyFont="1" applyBorder="1"/>
    <xf numFmtId="2" fontId="7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79" fontId="0" fillId="0" borderId="14" xfId="0" applyNumberFormat="1" applyBorder="1"/>
    <xf numFmtId="174" fontId="0" fillId="0" borderId="14" xfId="50" applyNumberFormat="1" applyFont="1" applyBorder="1"/>
    <xf numFmtId="174" fontId="0" fillId="0" borderId="14" xfId="0" applyNumberFormat="1" applyBorder="1"/>
    <xf numFmtId="179" fontId="9" fillId="0" borderId="0" xfId="0" applyNumberFormat="1" applyFont="1"/>
    <xf numFmtId="0" fontId="3" fillId="33" borderId="0" xfId="0" applyFont="1" applyFill="1"/>
    <xf numFmtId="3" fontId="0" fillId="0" borderId="14" xfId="0" applyNumberFormat="1" applyBorder="1"/>
    <xf numFmtId="0" fontId="10" fillId="0" borderId="14" xfId="0" applyFont="1" applyFill="1" applyBorder="1"/>
    <xf numFmtId="0" fontId="0" fillId="0" borderId="0" xfId="0" applyFill="1"/>
    <xf numFmtId="2" fontId="7" fillId="0" borderId="0" xfId="0" applyNumberFormat="1" applyFont="1" applyFill="1" applyAlignment="1">
      <alignment horizontal="center"/>
    </xf>
    <xf numFmtId="175" fontId="12" fillId="0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176" fontId="17" fillId="0" borderId="14" xfId="0" applyNumberFormat="1" applyFont="1" applyBorder="1" applyAlignment="1">
      <alignment horizontal="center"/>
    </xf>
    <xf numFmtId="2" fontId="9" fillId="35" borderId="0" xfId="0" applyNumberFormat="1" applyFont="1" applyFill="1" applyAlignment="1">
      <alignment horizontal="center"/>
    </xf>
    <xf numFmtId="175" fontId="21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33" borderId="15" xfId="0" applyNumberFormat="1" applyFont="1" applyFill="1" applyBorder="1" applyAlignment="1">
      <alignment horizontal="center"/>
    </xf>
    <xf numFmtId="0" fontId="10" fillId="0" borderId="14" xfId="0" applyFont="1" applyBorder="1"/>
    <xf numFmtId="175" fontId="10" fillId="0" borderId="0" xfId="0" applyNumberFormat="1" applyFont="1" applyFill="1" applyAlignment="1">
      <alignment horizontal="center"/>
    </xf>
    <xf numFmtId="175" fontId="16" fillId="0" borderId="0" xfId="0" applyNumberFormat="1" applyFont="1" applyFill="1" applyAlignment="1">
      <alignment horizontal="center"/>
    </xf>
    <xf numFmtId="3" fontId="9" fillId="0" borderId="0" xfId="46" applyNumberFormat="1" applyFont="1" applyBorder="1" applyAlignment="1">
      <alignment horizontal="center"/>
    </xf>
    <xf numFmtId="3" fontId="18" fillId="0" borderId="0" xfId="46" applyNumberFormat="1" applyFont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Fill="1"/>
    <xf numFmtId="170" fontId="3" fillId="0" borderId="0" xfId="50" applyNumberFormat="1" applyFont="1" applyFill="1"/>
    <xf numFmtId="42" fontId="21" fillId="0" borderId="0" xfId="0" applyNumberFormat="1" applyFont="1" applyBorder="1"/>
    <xf numFmtId="3" fontId="12" fillId="34" borderId="15" xfId="0" applyNumberFormat="1" applyFont="1" applyFill="1" applyBorder="1" applyAlignment="1">
      <alignment horizontal="left"/>
    </xf>
    <xf numFmtId="165" fontId="12" fillId="33" borderId="0" xfId="0" applyNumberFormat="1" applyFont="1" applyFill="1" applyAlignment="1">
      <alignment horizontal="center"/>
    </xf>
    <xf numFmtId="0" fontId="0" fillId="0" borderId="0" xfId="0" applyBorder="1"/>
    <xf numFmtId="3" fontId="0" fillId="0" borderId="0" xfId="0" applyNumberFormat="1" applyFill="1" applyBorder="1"/>
    <xf numFmtId="0" fontId="0" fillId="0" borderId="14" xfId="0" applyFill="1" applyBorder="1"/>
    <xf numFmtId="170" fontId="1" fillId="0" borderId="0" xfId="50" applyNumberFormat="1"/>
    <xf numFmtId="2" fontId="10" fillId="0" borderId="0" xfId="0" applyNumberFormat="1" applyFont="1" applyFill="1" applyAlignment="1">
      <alignment horizontal="center"/>
    </xf>
    <xf numFmtId="175" fontId="0" fillId="0" borderId="0" xfId="0" applyNumberFormat="1"/>
    <xf numFmtId="168" fontId="12" fillId="0" borderId="0" xfId="28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81" fontId="12" fillId="0" borderId="0" xfId="0" applyNumberFormat="1" applyFont="1" applyAlignment="1">
      <alignment horizontal="center"/>
    </xf>
    <xf numFmtId="169" fontId="3" fillId="0" borderId="0" xfId="0" applyNumberFormat="1" applyFont="1"/>
    <xf numFmtId="173" fontId="1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31" borderId="0" xfId="0" applyFill="1"/>
    <xf numFmtId="173" fontId="0" fillId="31" borderId="0" xfId="0" applyNumberFormat="1" applyFill="1" applyAlignment="1">
      <alignment horizontal="center"/>
    </xf>
    <xf numFmtId="164" fontId="3" fillId="31" borderId="0" xfId="0" applyNumberFormat="1" applyFont="1" applyFill="1" applyAlignment="1">
      <alignment horizontal="center"/>
    </xf>
    <xf numFmtId="0" fontId="3" fillId="31" borderId="0" xfId="0" applyFont="1" applyFill="1" applyBorder="1" applyAlignment="1"/>
    <xf numFmtId="0" fontId="3" fillId="31" borderId="0" xfId="0" applyFont="1" applyFill="1" applyAlignment="1"/>
    <xf numFmtId="165" fontId="3" fillId="31" borderId="0" xfId="0" applyNumberFormat="1" applyFont="1" applyFill="1"/>
    <xf numFmtId="3" fontId="3" fillId="31" borderId="0" xfId="47" applyNumberFormat="1" applyFont="1" applyFill="1" applyAlignment="1">
      <alignment horizontal="center"/>
    </xf>
    <xf numFmtId="166" fontId="3" fillId="31" borderId="0" xfId="47" applyNumberFormat="1" applyFont="1" applyFill="1" applyAlignment="1">
      <alignment horizontal="center"/>
    </xf>
    <xf numFmtId="3" fontId="3" fillId="31" borderId="0" xfId="0" applyNumberFormat="1" applyFont="1" applyFill="1"/>
    <xf numFmtId="10" fontId="3" fillId="31" borderId="0" xfId="0" applyNumberFormat="1" applyFont="1" applyFill="1"/>
    <xf numFmtId="0" fontId="3" fillId="31" borderId="0" xfId="0" applyFont="1" applyFill="1"/>
    <xf numFmtId="2" fontId="12" fillId="33" borderId="0" xfId="0" applyNumberFormat="1" applyFont="1" applyFill="1" applyAlignment="1">
      <alignment horizontal="center"/>
    </xf>
    <xf numFmtId="183" fontId="12" fillId="0" borderId="0" xfId="0" applyNumberFormat="1" applyFont="1" applyAlignment="1">
      <alignment horizontal="center"/>
    </xf>
    <xf numFmtId="173" fontId="12" fillId="33" borderId="0" xfId="0" applyNumberFormat="1" applyFont="1" applyFill="1" applyAlignment="1">
      <alignment horizontal="center"/>
    </xf>
    <xf numFmtId="0" fontId="0" fillId="0" borderId="14" xfId="0" applyBorder="1" applyAlignment="1">
      <alignment horizontal="left"/>
    </xf>
    <xf numFmtId="0" fontId="8" fillId="0" borderId="0" xfId="0" applyFont="1" applyAlignment="1">
      <alignment horizontal="center" wrapText="1"/>
    </xf>
    <xf numFmtId="3" fontId="23" fillId="0" borderId="0" xfId="0" applyNumberFormat="1" applyFont="1"/>
    <xf numFmtId="0" fontId="0" fillId="0" borderId="0" xfId="0" applyNumberFormat="1"/>
    <xf numFmtId="184" fontId="0" fillId="0" borderId="0" xfId="0" applyNumberFormat="1" applyAlignment="1">
      <alignment horizontal="center"/>
    </xf>
    <xf numFmtId="175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9" fontId="9" fillId="0" borderId="14" xfId="0" applyNumberFormat="1" applyFont="1" applyBorder="1"/>
    <xf numFmtId="10" fontId="0" fillId="0" borderId="14" xfId="50" applyNumberFormat="1" applyFont="1" applyBorder="1"/>
    <xf numFmtId="3" fontId="27" fillId="0" borderId="0" xfId="0" applyNumberFormat="1" applyFont="1"/>
    <xf numFmtId="174" fontId="27" fillId="0" borderId="0" xfId="50" applyNumberFormat="1" applyFont="1"/>
    <xf numFmtId="2" fontId="26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center"/>
    </xf>
    <xf numFmtId="170" fontId="1" fillId="0" borderId="0" xfId="50" applyNumberFormat="1" applyFont="1"/>
    <xf numFmtId="172" fontId="1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175" fontId="3" fillId="33" borderId="0" xfId="0" applyNumberFormat="1" applyFont="1" applyFill="1" applyAlignment="1">
      <alignment horizontal="center"/>
    </xf>
    <xf numFmtId="0" fontId="57" fillId="0" borderId="0" xfId="0" applyFont="1" applyAlignment="1">
      <alignment horizontal="right"/>
    </xf>
    <xf numFmtId="3" fontId="57" fillId="0" borderId="0" xfId="0" applyNumberFormat="1" applyFont="1"/>
    <xf numFmtId="3" fontId="56" fillId="0" borderId="0" xfId="0" applyNumberFormat="1" applyFont="1"/>
    <xf numFmtId="0" fontId="23" fillId="0" borderId="0" xfId="0" applyFont="1"/>
    <xf numFmtId="172" fontId="20" fillId="0" borderId="0" xfId="0" applyNumberFormat="1" applyFont="1" applyAlignment="1">
      <alignment horizontal="center"/>
    </xf>
    <xf numFmtId="17" fontId="9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0" fontId="21" fillId="0" borderId="0" xfId="0" applyFont="1"/>
    <xf numFmtId="168" fontId="1" fillId="0" borderId="0" xfId="28" applyNumberFormat="1"/>
    <xf numFmtId="171" fontId="1" fillId="0" borderId="0" xfId="28" applyNumberFormat="1"/>
    <xf numFmtId="9" fontId="1" fillId="0" borderId="0" xfId="50"/>
    <xf numFmtId="9" fontId="0" fillId="0" borderId="0" xfId="0" applyNumberFormat="1"/>
    <xf numFmtId="43" fontId="0" fillId="0" borderId="0" xfId="0" applyNumberFormat="1"/>
    <xf numFmtId="171" fontId="0" fillId="0" borderId="0" xfId="0" applyNumberFormat="1"/>
    <xf numFmtId="0" fontId="3" fillId="0" borderId="0" xfId="0" quotePrefix="1" applyFont="1" applyAlignment="1">
      <alignment horizontal="left"/>
    </xf>
    <xf numFmtId="170" fontId="3" fillId="0" borderId="0" xfId="0" applyNumberFormat="1" applyFont="1" applyAlignment="1">
      <alignment horizontal="center"/>
    </xf>
    <xf numFmtId="17" fontId="0" fillId="0" borderId="0" xfId="0" quotePrefix="1" applyNumberFormat="1" applyAlignment="1">
      <alignment horizontal="center"/>
    </xf>
    <xf numFmtId="168" fontId="0" fillId="0" borderId="0" xfId="0" applyNumberFormat="1" applyFill="1"/>
    <xf numFmtId="10" fontId="1" fillId="0" borderId="0" xfId="50" applyNumberFormat="1"/>
    <xf numFmtId="0" fontId="23" fillId="35" borderId="0" xfId="0" applyFont="1" applyFill="1"/>
    <xf numFmtId="3" fontId="23" fillId="35" borderId="0" xfId="0" applyNumberFormat="1" applyFont="1" applyFill="1" applyAlignment="1">
      <alignment horizontal="center"/>
    </xf>
    <xf numFmtId="3" fontId="23" fillId="35" borderId="0" xfId="0" applyNumberFormat="1" applyFont="1" applyFill="1"/>
    <xf numFmtId="185" fontId="3" fillId="0" borderId="0" xfId="0" applyNumberFormat="1" applyFont="1" applyAlignment="1">
      <alignment horizontal="center"/>
    </xf>
    <xf numFmtId="185" fontId="12" fillId="0" borderId="0" xfId="0" applyNumberFormat="1" applyFont="1" applyAlignment="1">
      <alignment horizontal="center"/>
    </xf>
    <xf numFmtId="0" fontId="8" fillId="0" borderId="0" xfId="0" applyFont="1"/>
    <xf numFmtId="168" fontId="57" fillId="0" borderId="0" xfId="28" applyNumberFormat="1" applyFont="1"/>
    <xf numFmtId="37" fontId="57" fillId="0" borderId="0" xfId="0" applyNumberFormat="1" applyFont="1"/>
    <xf numFmtId="172" fontId="1" fillId="35" borderId="0" xfId="0" applyNumberFormat="1" applyFont="1" applyFill="1" applyAlignment="1">
      <alignment horizontal="center"/>
    </xf>
    <xf numFmtId="182" fontId="12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185" fontId="3" fillId="33" borderId="0" xfId="0" applyNumberFormat="1" applyFont="1" applyFill="1" applyAlignment="1">
      <alignment horizontal="center"/>
    </xf>
    <xf numFmtId="0" fontId="3" fillId="0" borderId="14" xfId="0" applyFont="1" applyFill="1" applyBorder="1" applyAlignment="1">
      <alignment horizontal="center"/>
    </xf>
    <xf numFmtId="2" fontId="10" fillId="0" borderId="14" xfId="0" applyNumberFormat="1" applyFont="1" applyFill="1" applyBorder="1" applyAlignment="1">
      <alignment horizontal="center"/>
    </xf>
    <xf numFmtId="175" fontId="12" fillId="0" borderId="14" xfId="0" applyNumberFormat="1" applyFont="1" applyFill="1" applyBorder="1" applyAlignment="1">
      <alignment horizontal="center"/>
    </xf>
    <xf numFmtId="175" fontId="21" fillId="0" borderId="14" xfId="0" applyNumberFormat="1" applyFont="1" applyBorder="1"/>
    <xf numFmtId="175" fontId="17" fillId="0" borderId="14" xfId="0" applyNumberFormat="1" applyFont="1" applyBorder="1"/>
    <xf numFmtId="0" fontId="9" fillId="34" borderId="0" xfId="0" applyFont="1" applyFill="1"/>
    <xf numFmtId="0" fontId="12" fillId="34" borderId="0" xfId="0" applyFont="1" applyFill="1" applyAlignment="1">
      <alignment horizontal="center"/>
    </xf>
    <xf numFmtId="0" fontId="9" fillId="34" borderId="14" xfId="0" applyFont="1" applyFill="1" applyBorder="1"/>
    <xf numFmtId="0" fontId="59" fillId="0" borderId="0" xfId="0" applyFont="1"/>
    <xf numFmtId="1" fontId="3" fillId="0" borderId="0" xfId="0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7" fontId="21" fillId="0" borderId="0" xfId="0" applyNumberFormat="1" applyFont="1"/>
    <xf numFmtId="0" fontId="9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/>
    <xf numFmtId="168" fontId="1" fillId="0" borderId="0" xfId="28" applyNumberFormat="1" applyFill="1" applyBorder="1"/>
    <xf numFmtId="0" fontId="18" fillId="0" borderId="0" xfId="0" applyFont="1" applyFill="1" applyBorder="1" applyAlignment="1">
      <alignment horizontal="right"/>
    </xf>
    <xf numFmtId="173" fontId="0" fillId="0" borderId="0" xfId="0" applyNumberFormat="1" applyFill="1" applyBorder="1"/>
    <xf numFmtId="37" fontId="0" fillId="0" borderId="0" xfId="0" applyNumberFormat="1" applyFill="1" applyBorder="1"/>
    <xf numFmtId="9" fontId="18" fillId="0" borderId="0" xfId="50" applyFont="1" applyFill="1" applyBorder="1" applyAlignment="1">
      <alignment horizontal="right"/>
    </xf>
    <xf numFmtId="168" fontId="1" fillId="0" borderId="0" xfId="28" applyNumberFormat="1" applyBorder="1"/>
    <xf numFmtId="164" fontId="0" fillId="0" borderId="0" xfId="0" applyNumberFormat="1"/>
    <xf numFmtId="3" fontId="20" fillId="0" borderId="0" xfId="0" applyNumberFormat="1" applyFont="1" applyFill="1" applyAlignment="1">
      <alignment horizontal="center"/>
    </xf>
    <xf numFmtId="0" fontId="21" fillId="0" borderId="0" xfId="0" applyFont="1" applyFill="1"/>
    <xf numFmtId="9" fontId="0" fillId="0" borderId="0" xfId="0" applyNumberFormat="1" applyFill="1"/>
    <xf numFmtId="168" fontId="1" fillId="0" borderId="15" xfId="28" applyNumberFormat="1" applyFill="1" applyBorder="1"/>
    <xf numFmtId="9" fontId="1" fillId="0" borderId="0" xfId="50" applyFill="1"/>
    <xf numFmtId="3" fontId="57" fillId="0" borderId="0" xfId="0" applyNumberFormat="1" applyFont="1" applyFill="1"/>
    <xf numFmtId="43" fontId="0" fillId="0" borderId="0" xfId="0" applyNumberFormat="1" applyFill="1"/>
    <xf numFmtId="173" fontId="9" fillId="0" borderId="0" xfId="0" applyNumberFormat="1" applyFont="1" applyFill="1"/>
    <xf numFmtId="0" fontId="23" fillId="0" borderId="0" xfId="0" applyFont="1" applyFill="1"/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/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 indent="1"/>
    </xf>
    <xf numFmtId="0" fontId="62" fillId="0" borderId="0" xfId="0" applyFont="1" applyAlignment="1">
      <alignment horizontal="left" wrapText="1"/>
    </xf>
    <xf numFmtId="0" fontId="63" fillId="0" borderId="0" xfId="0" applyFont="1" applyAlignment="1">
      <alignment horizontal="left" wrapText="1"/>
    </xf>
    <xf numFmtId="0" fontId="63" fillId="0" borderId="0" xfId="0" applyFont="1" applyAlignment="1">
      <alignment horizontal="right" wrapText="1"/>
    </xf>
    <xf numFmtId="0" fontId="64" fillId="0" borderId="0" xfId="0" applyFont="1" applyAlignment="1">
      <alignment horizontal="left" wrapText="1"/>
    </xf>
    <xf numFmtId="0" fontId="64" fillId="0" borderId="0" xfId="0" applyFont="1" applyAlignment="1">
      <alignment horizontal="right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left" indent="1"/>
    </xf>
    <xf numFmtId="0" fontId="0" fillId="36" borderId="0" xfId="0" applyFill="1" applyAlignment="1">
      <alignment horizontal="left" indent="1"/>
    </xf>
    <xf numFmtId="0" fontId="66" fillId="0" borderId="0" xfId="0" applyFont="1" applyAlignment="1">
      <alignment horizontal="left"/>
    </xf>
    <xf numFmtId="0" fontId="0" fillId="36" borderId="0" xfId="0" applyFill="1" applyAlignment="1">
      <alignment horizontal="left"/>
    </xf>
    <xf numFmtId="0" fontId="0" fillId="36" borderId="0" xfId="0" applyFill="1"/>
    <xf numFmtId="0" fontId="67" fillId="36" borderId="0" xfId="0" applyFont="1" applyFill="1" applyAlignment="1">
      <alignment horizontal="left"/>
    </xf>
    <xf numFmtId="0" fontId="68" fillId="36" borderId="0" xfId="0" applyFont="1" applyFill="1" applyAlignment="1">
      <alignment horizontal="left"/>
    </xf>
    <xf numFmtId="0" fontId="69" fillId="37" borderId="16" xfId="0" applyFont="1" applyFill="1" applyBorder="1" applyAlignment="1">
      <alignment horizontal="center" wrapText="1"/>
    </xf>
    <xf numFmtId="0" fontId="69" fillId="37" borderId="17" xfId="0" applyFont="1" applyFill="1" applyBorder="1" applyAlignment="1">
      <alignment horizontal="center" wrapText="1"/>
    </xf>
    <xf numFmtId="0" fontId="69" fillId="36" borderId="18" xfId="0" applyFont="1" applyFill="1" applyBorder="1" applyAlignment="1">
      <alignment horizontal="left" vertical="center" indent="1"/>
    </xf>
    <xf numFmtId="0" fontId="70" fillId="36" borderId="18" xfId="0" applyFont="1" applyFill="1" applyBorder="1" applyAlignment="1">
      <alignment horizontal="right" vertical="center" indent="1"/>
    </xf>
    <xf numFmtId="0" fontId="70" fillId="36" borderId="19" xfId="0" applyFont="1" applyFill="1" applyBorder="1" applyAlignment="1">
      <alignment horizontal="right" vertical="center" indent="1"/>
    </xf>
    <xf numFmtId="0" fontId="69" fillId="38" borderId="18" xfId="0" applyFont="1" applyFill="1" applyBorder="1" applyAlignment="1">
      <alignment horizontal="left" vertical="center" indent="1"/>
    </xf>
    <xf numFmtId="0" fontId="69" fillId="36" borderId="18" xfId="0" applyFont="1" applyFill="1" applyBorder="1" applyAlignment="1">
      <alignment horizontal="right" vertical="center" indent="1"/>
    </xf>
    <xf numFmtId="0" fontId="72" fillId="0" borderId="0" xfId="0" applyFont="1" applyFill="1" applyAlignment="1">
      <alignment horizontal="left"/>
    </xf>
    <xf numFmtId="0" fontId="73" fillId="0" borderId="0" xfId="0" applyFont="1" applyFill="1" applyAlignment="1">
      <alignment horizontal="left"/>
    </xf>
    <xf numFmtId="0" fontId="74" fillId="0" borderId="0" xfId="110" quotePrefix="1" applyNumberFormat="1" applyFont="1">
      <alignment horizontal="left"/>
    </xf>
    <xf numFmtId="0" fontId="51" fillId="0" borderId="0" xfId="110" applyNumberFormat="1">
      <alignment horizontal="left"/>
    </xf>
    <xf numFmtId="0" fontId="46" fillId="0" borderId="0" xfId="55" applyNumberFormat="1">
      <alignment horizontal="left"/>
    </xf>
    <xf numFmtId="0" fontId="44" fillId="0" borderId="0" xfId="68" quotePrefix="1" applyNumberFormat="1">
      <alignment horizontal="left" vertical="center" indent="1"/>
    </xf>
    <xf numFmtId="0" fontId="49" fillId="29" borderId="0" xfId="77" applyNumberFormat="1">
      <alignment horizontal="left" vertical="center" indent="1"/>
    </xf>
    <xf numFmtId="0" fontId="49" fillId="0" borderId="0" xfId="73" quotePrefix="1" applyNumberFormat="1">
      <alignment horizontal="left" vertical="center" indent="1"/>
    </xf>
    <xf numFmtId="0" fontId="4" fillId="0" borderId="0" xfId="0" applyFont="1"/>
    <xf numFmtId="0" fontId="0" fillId="0" borderId="14" xfId="0" quotePrefix="1" applyBorder="1"/>
    <xf numFmtId="0" fontId="46" fillId="0" borderId="20" xfId="109" quotePrefix="1" applyBorder="1">
      <alignment horizontal="center" wrapText="1"/>
    </xf>
    <xf numFmtId="0" fontId="46" fillId="0" borderId="0" xfId="109" quotePrefix="1">
      <alignment horizontal="center" wrapText="1"/>
    </xf>
    <xf numFmtId="0" fontId="46" fillId="0" borderId="21" xfId="109" quotePrefix="1" applyBorder="1">
      <alignment horizontal="center" wrapText="1"/>
    </xf>
    <xf numFmtId="0" fontId="46" fillId="0" borderId="0" xfId="109" applyFill="1" applyBorder="1">
      <alignment horizontal="center" wrapText="1"/>
    </xf>
    <xf numFmtId="0" fontId="46" fillId="0" borderId="0" xfId="55" applyNumberFormat="1" applyFont="1">
      <alignment horizontal="left"/>
    </xf>
    <xf numFmtId="0" fontId="18" fillId="0" borderId="0" xfId="92" quotePrefix="1" applyAlignment="1">
      <alignment vertical="center"/>
    </xf>
    <xf numFmtId="180" fontId="47" fillId="0" borderId="20" xfId="31" quotePrefix="1" applyNumberFormat="1" applyFont="1" applyBorder="1" applyAlignment="1">
      <alignment horizontal="right" vertical="justify"/>
    </xf>
    <xf numFmtId="180" fontId="47" fillId="0" borderId="0" xfId="31" quotePrefix="1" applyNumberFormat="1" applyFont="1" applyAlignment="1">
      <alignment horizontal="right" vertical="justify"/>
    </xf>
    <xf numFmtId="180" fontId="47" fillId="0" borderId="21" xfId="31" quotePrefix="1" applyNumberFormat="1" applyFont="1" applyBorder="1" applyAlignment="1">
      <alignment horizontal="right" vertical="justify"/>
    </xf>
    <xf numFmtId="180" fontId="47" fillId="0" borderId="0" xfId="31" applyNumberFormat="1" applyFont="1" applyAlignment="1">
      <alignment horizontal="right" vertical="justify"/>
    </xf>
    <xf numFmtId="180" fontId="47" fillId="0" borderId="21" xfId="31" applyNumberFormat="1" applyFont="1" applyBorder="1" applyAlignment="1">
      <alignment horizontal="right" vertical="justify"/>
    </xf>
    <xf numFmtId="37" fontId="47" fillId="0" borderId="20" xfId="31" quotePrefix="1" applyNumberFormat="1" applyFont="1" applyBorder="1" applyAlignment="1">
      <alignment horizontal="right" vertical="justify"/>
    </xf>
    <xf numFmtId="37" fontId="47" fillId="0" borderId="0" xfId="31" quotePrefix="1" applyNumberFormat="1" applyFont="1" applyAlignment="1">
      <alignment horizontal="right" vertical="justify"/>
    </xf>
    <xf numFmtId="37" fontId="47" fillId="0" borderId="21" xfId="31" quotePrefix="1" applyNumberFormat="1" applyFont="1" applyBorder="1" applyAlignment="1">
      <alignment horizontal="right" vertical="justify"/>
    </xf>
    <xf numFmtId="37" fontId="47" fillId="0" borderId="0" xfId="31" applyNumberFormat="1" applyFont="1" applyAlignment="1">
      <alignment horizontal="right" vertical="justify"/>
    </xf>
    <xf numFmtId="37" fontId="47" fillId="0" borderId="21" xfId="31" applyNumberFormat="1" applyFont="1" applyBorder="1" applyAlignment="1">
      <alignment horizontal="right" vertical="justify"/>
    </xf>
    <xf numFmtId="0" fontId="18" fillId="0" borderId="0" xfId="92" quotePrefix="1" applyFont="1" applyBorder="1" applyAlignment="1">
      <alignment vertical="center"/>
    </xf>
    <xf numFmtId="37" fontId="47" fillId="0" borderId="22" xfId="31" quotePrefix="1" applyNumberFormat="1" applyFont="1" applyBorder="1" applyAlignment="1">
      <alignment horizontal="right" vertical="justify"/>
    </xf>
    <xf numFmtId="37" fontId="47" fillId="0" borderId="14" xfId="31" quotePrefix="1" applyNumberFormat="1" applyFont="1" applyBorder="1" applyAlignment="1">
      <alignment horizontal="right" vertical="justify"/>
    </xf>
    <xf numFmtId="37" fontId="47" fillId="0" borderId="23" xfId="31" quotePrefix="1" applyNumberFormat="1" applyFont="1" applyBorder="1" applyAlignment="1">
      <alignment horizontal="right" vertical="justify"/>
    </xf>
    <xf numFmtId="37" fontId="47" fillId="0" borderId="14" xfId="31" applyNumberFormat="1" applyFont="1" applyBorder="1" applyAlignment="1">
      <alignment horizontal="right" vertical="justify"/>
    </xf>
    <xf numFmtId="37" fontId="47" fillId="0" borderId="23" xfId="31" applyNumberFormat="1" applyFont="1" applyBorder="1" applyAlignment="1">
      <alignment horizontal="right" vertical="justify"/>
    </xf>
    <xf numFmtId="0" fontId="9" fillId="0" borderId="0" xfId="92" quotePrefix="1" applyFont="1" applyBorder="1" applyAlignment="1">
      <alignment vertical="center"/>
    </xf>
    <xf numFmtId="0" fontId="18" fillId="0" borderId="0" xfId="86" quotePrefix="1" applyFont="1" applyBorder="1" applyAlignment="1">
      <alignment vertical="center"/>
    </xf>
    <xf numFmtId="0" fontId="18" fillId="0" borderId="0" xfId="92" quotePrefix="1" applyBorder="1" applyAlignment="1">
      <alignment vertical="center"/>
    </xf>
    <xf numFmtId="37" fontId="47" fillId="0" borderId="0" xfId="31" quotePrefix="1" applyNumberFormat="1" applyFont="1" applyBorder="1" applyAlignment="1">
      <alignment horizontal="right" vertical="justify"/>
    </xf>
    <xf numFmtId="37" fontId="47" fillId="0" borderId="0" xfId="31" applyNumberFormat="1" applyFont="1" applyBorder="1" applyAlignment="1">
      <alignment horizontal="right" vertical="justify"/>
    </xf>
    <xf numFmtId="0" fontId="71" fillId="0" borderId="0" xfId="92" quotePrefix="1" applyFont="1" applyBorder="1" applyAlignment="1">
      <alignment vertical="center"/>
    </xf>
    <xf numFmtId="37" fontId="47" fillId="0" borderId="24" xfId="31" quotePrefix="1" applyNumberFormat="1" applyFont="1" applyBorder="1" applyAlignment="1">
      <alignment horizontal="right" vertical="justify"/>
    </xf>
    <xf numFmtId="37" fontId="47" fillId="0" borderId="25" xfId="31" quotePrefix="1" applyNumberFormat="1" applyFont="1" applyBorder="1" applyAlignment="1">
      <alignment horizontal="right" vertical="justify"/>
    </xf>
    <xf numFmtId="37" fontId="47" fillId="0" borderId="26" xfId="31" quotePrefix="1" applyNumberFormat="1" applyFont="1" applyBorder="1" applyAlignment="1">
      <alignment horizontal="right" vertical="justify"/>
    </xf>
    <xf numFmtId="37" fontId="47" fillId="0" borderId="25" xfId="31" applyNumberFormat="1" applyFont="1" applyBorder="1" applyAlignment="1">
      <alignment horizontal="right" vertical="justify"/>
    </xf>
    <xf numFmtId="37" fontId="47" fillId="0" borderId="26" xfId="31" applyNumberFormat="1" applyFont="1" applyBorder="1" applyAlignment="1">
      <alignment horizontal="right" vertical="justify"/>
    </xf>
    <xf numFmtId="0" fontId="71" fillId="0" borderId="0" xfId="86" quotePrefix="1" applyFont="1" applyBorder="1" applyAlignment="1">
      <alignment vertical="center"/>
    </xf>
    <xf numFmtId="0" fontId="71" fillId="0" borderId="0" xfId="92" quotePrefix="1" applyFont="1" applyAlignment="1">
      <alignment vertical="center"/>
    </xf>
    <xf numFmtId="0" fontId="71" fillId="0" borderId="0" xfId="0" quotePrefix="1" applyFont="1" applyAlignment="1"/>
    <xf numFmtId="0" fontId="23" fillId="0" borderId="0" xfId="0" quotePrefix="1" applyFont="1" applyAlignment="1"/>
    <xf numFmtId="180" fontId="47" fillId="0" borderId="27" xfId="31" quotePrefix="1" applyNumberFormat="1" applyFont="1" applyBorder="1" applyAlignment="1">
      <alignment horizontal="right" vertical="justify"/>
    </xf>
    <xf numFmtId="180" fontId="47" fillId="0" borderId="28" xfId="31" quotePrefix="1" applyNumberFormat="1" applyFont="1" applyBorder="1" applyAlignment="1">
      <alignment horizontal="right" vertical="justify"/>
    </xf>
    <xf numFmtId="180" fontId="47" fillId="0" borderId="29" xfId="31" quotePrefix="1" applyNumberFormat="1" applyFont="1" applyBorder="1" applyAlignment="1">
      <alignment horizontal="right" vertical="justify"/>
    </xf>
    <xf numFmtId="180" fontId="47" fillId="0" borderId="28" xfId="31" applyNumberFormat="1" applyFont="1" applyBorder="1" applyAlignment="1">
      <alignment horizontal="right" vertical="justify"/>
    </xf>
    <xf numFmtId="180" fontId="47" fillId="0" borderId="29" xfId="31" applyNumberFormat="1" applyFont="1" applyBorder="1" applyAlignment="1">
      <alignment horizontal="right" vertical="justify"/>
    </xf>
    <xf numFmtId="0" fontId="0" fillId="0" borderId="0" xfId="0" quotePrefix="1" applyAlignment="1">
      <alignment horizontal="left" indent="2"/>
    </xf>
    <xf numFmtId="0" fontId="51" fillId="0" borderId="0" xfId="110" quotePrefix="1" applyNumberFormat="1">
      <alignment horizontal="left"/>
    </xf>
    <xf numFmtId="0" fontId="75" fillId="0" borderId="0" xfId="108" quotePrefix="1" applyNumberFormat="1" applyFont="1">
      <alignment horizontal="left" vertical="center" wrapText="1" indent="1"/>
    </xf>
    <xf numFmtId="186" fontId="47" fillId="0" borderId="14" xfId="105" applyNumberFormat="1" applyBorder="1">
      <alignment horizontal="right" vertical="justify"/>
    </xf>
    <xf numFmtId="0" fontId="47" fillId="0" borderId="0" xfId="108" quotePrefix="1" applyNumberFormat="1" applyFont="1">
      <alignment horizontal="left" vertical="center" wrapText="1" indent="1"/>
    </xf>
    <xf numFmtId="168" fontId="47" fillId="0" borderId="20" xfId="28" quotePrefix="1" applyNumberFormat="1" applyFont="1" applyBorder="1" applyAlignment="1">
      <alignment horizontal="right" vertical="justify"/>
    </xf>
    <xf numFmtId="168" fontId="47" fillId="0" borderId="0" xfId="28" quotePrefix="1" applyNumberFormat="1" applyFont="1" applyAlignment="1">
      <alignment horizontal="right" vertical="justify"/>
    </xf>
    <xf numFmtId="168" fontId="47" fillId="0" borderId="21" xfId="28" quotePrefix="1" applyNumberFormat="1" applyFont="1" applyBorder="1" applyAlignment="1">
      <alignment horizontal="right" vertical="justify"/>
    </xf>
    <xf numFmtId="168" fontId="47" fillId="0" borderId="0" xfId="28" applyNumberFormat="1" applyFont="1" applyAlignment="1">
      <alignment horizontal="right" vertical="justify"/>
    </xf>
    <xf numFmtId="168" fontId="47" fillId="0" borderId="21" xfId="28" applyNumberFormat="1" applyFont="1" applyBorder="1" applyAlignment="1">
      <alignment horizontal="right" vertical="justify"/>
    </xf>
    <xf numFmtId="168" fontId="47" fillId="0" borderId="20" xfId="28" applyNumberFormat="1" applyFont="1" applyBorder="1" applyAlignment="1">
      <alignment horizontal="right" vertical="justify"/>
    </xf>
    <xf numFmtId="0" fontId="44" fillId="0" borderId="0" xfId="108" quotePrefix="1" applyNumberFormat="1" applyFont="1">
      <alignment horizontal="left" vertical="center" wrapText="1" indent="1"/>
    </xf>
    <xf numFmtId="168" fontId="47" fillId="0" borderId="27" xfId="28" quotePrefix="1" applyNumberFormat="1" applyFont="1" applyBorder="1" applyAlignment="1">
      <alignment horizontal="right" vertical="justify"/>
    </xf>
    <xf numFmtId="168" fontId="47" fillId="0" borderId="28" xfId="28" quotePrefix="1" applyNumberFormat="1" applyFont="1" applyBorder="1" applyAlignment="1">
      <alignment horizontal="right" vertical="justify"/>
    </xf>
    <xf numFmtId="168" fontId="47" fillId="0" borderId="29" xfId="28" quotePrefix="1" applyNumberFormat="1" applyFont="1" applyBorder="1" applyAlignment="1">
      <alignment horizontal="right" vertical="justify"/>
    </xf>
    <xf numFmtId="168" fontId="47" fillId="0" borderId="28" xfId="28" applyNumberFormat="1" applyFont="1" applyBorder="1" applyAlignment="1">
      <alignment horizontal="right" vertical="justify"/>
    </xf>
    <xf numFmtId="168" fontId="47" fillId="0" borderId="29" xfId="28" applyNumberFormat="1" applyFont="1" applyBorder="1" applyAlignment="1">
      <alignment horizontal="right" vertical="justify"/>
    </xf>
    <xf numFmtId="0" fontId="0" fillId="0" borderId="0" xfId="0" quotePrefix="1" applyAlignment="1">
      <alignment horizontal="left" indent="4"/>
    </xf>
    <xf numFmtId="0" fontId="4" fillId="0" borderId="0" xfId="0" applyFont="1" applyFill="1" applyAlignment="1">
      <alignment horizontal="left"/>
    </xf>
    <xf numFmtId="180" fontId="0" fillId="0" borderId="0" xfId="0" applyNumberFormat="1" applyFill="1" applyAlignment="1">
      <alignment horizontal="center"/>
    </xf>
    <xf numFmtId="0" fontId="0" fillId="0" borderId="0" xfId="0" quotePrefix="1" applyFill="1" applyAlignment="1">
      <alignment horizontal="left" indent="4"/>
    </xf>
    <xf numFmtId="180" fontId="0" fillId="0" borderId="0" xfId="0" applyNumberFormat="1" applyFill="1"/>
    <xf numFmtId="0" fontId="29" fillId="0" borderId="0" xfId="0" quotePrefix="1" applyFont="1" applyFill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37" fontId="0" fillId="0" borderId="30" xfId="0" applyNumberFormat="1" applyFill="1" applyBorder="1"/>
    <xf numFmtId="37" fontId="0" fillId="0" borderId="31" xfId="0" applyNumberFormat="1" applyFill="1" applyBorder="1"/>
    <xf numFmtId="0" fontId="0" fillId="0" borderId="32" xfId="0" applyFill="1" applyBorder="1"/>
    <xf numFmtId="37" fontId="0" fillId="0" borderId="32" xfId="0" applyNumberFormat="1" applyFill="1" applyBorder="1"/>
    <xf numFmtId="0" fontId="18" fillId="0" borderId="0" xfId="92" quotePrefix="1" applyFont="1" applyFill="1" applyBorder="1" applyAlignment="1">
      <alignment vertical="center"/>
    </xf>
    <xf numFmtId="37" fontId="1" fillId="0" borderId="20" xfId="0" applyNumberFormat="1" applyFont="1" applyFill="1" applyBorder="1"/>
    <xf numFmtId="37" fontId="1" fillId="0" borderId="21" xfId="0" applyNumberFormat="1" applyFont="1" applyFill="1" applyBorder="1"/>
    <xf numFmtId="37" fontId="47" fillId="0" borderId="20" xfId="31" quotePrefix="1" applyNumberFormat="1" applyFont="1" applyFill="1" applyBorder="1" applyAlignment="1">
      <alignment horizontal="right" vertical="justify"/>
    </xf>
    <xf numFmtId="37" fontId="47" fillId="0" borderId="0" xfId="31" quotePrefix="1" applyNumberFormat="1" applyFont="1" applyFill="1" applyAlignment="1">
      <alignment horizontal="right" vertical="justify"/>
    </xf>
    <xf numFmtId="37" fontId="0" fillId="0" borderId="20" xfId="0" applyNumberFormat="1" applyFill="1" applyBorder="1"/>
    <xf numFmtId="37" fontId="0" fillId="0" borderId="21" xfId="0" applyNumberFormat="1" applyFill="1" applyBorder="1"/>
    <xf numFmtId="39" fontId="0" fillId="0" borderId="0" xfId="0" applyNumberFormat="1" applyFill="1" applyBorder="1"/>
    <xf numFmtId="37" fontId="1" fillId="0" borderId="21" xfId="28" applyNumberFormat="1" applyFont="1" applyFill="1" applyBorder="1"/>
    <xf numFmtId="37" fontId="47" fillId="0" borderId="21" xfId="31" quotePrefix="1" applyNumberFormat="1" applyFont="1" applyFill="1" applyBorder="1" applyAlignment="1">
      <alignment horizontal="right" vertical="justify"/>
    </xf>
    <xf numFmtId="37" fontId="1" fillId="0" borderId="22" xfId="0" applyNumberFormat="1" applyFont="1" applyFill="1" applyBorder="1"/>
    <xf numFmtId="37" fontId="1" fillId="0" borderId="23" xfId="0" applyNumberFormat="1" applyFont="1" applyFill="1" applyBorder="1"/>
    <xf numFmtId="37" fontId="47" fillId="0" borderId="22" xfId="31" quotePrefix="1" applyNumberFormat="1" applyFont="1" applyFill="1" applyBorder="1" applyAlignment="1">
      <alignment horizontal="right" vertical="justify"/>
    </xf>
    <xf numFmtId="180" fontId="1" fillId="0" borderId="27" xfId="31" applyNumberFormat="1" applyFill="1" applyBorder="1"/>
    <xf numFmtId="180" fontId="1" fillId="0" borderId="28" xfId="31" applyNumberFormat="1" applyFill="1" applyBorder="1"/>
    <xf numFmtId="180" fontId="1" fillId="0" borderId="29" xfId="31" applyNumberFormat="1" applyFill="1" applyBorder="1"/>
    <xf numFmtId="0" fontId="0" fillId="0" borderId="0" xfId="0" quotePrefix="1" applyAlignment="1">
      <alignment horizontal="left" indent="3"/>
    </xf>
    <xf numFmtId="17" fontId="0" fillId="0" borderId="0" xfId="0" applyNumberFormat="1"/>
    <xf numFmtId="0" fontId="0" fillId="24" borderId="0" xfId="0" applyFill="1"/>
    <xf numFmtId="0" fontId="0" fillId="0" borderId="0" xfId="0" applyAlignment="1">
      <alignment wrapText="1"/>
    </xf>
    <xf numFmtId="2" fontId="0" fillId="24" borderId="0" xfId="0" applyNumberFormat="1" applyFill="1" applyBorder="1" applyAlignment="1">
      <alignment horizontal="center"/>
    </xf>
    <xf numFmtId="170" fontId="0" fillId="0" borderId="0" xfId="0" applyNumberFormat="1"/>
    <xf numFmtId="17" fontId="0" fillId="0" borderId="0" xfId="0" quotePrefix="1" applyNumberFormat="1" applyAlignment="1">
      <alignment horizontal="left"/>
    </xf>
    <xf numFmtId="14" fontId="0" fillId="0" borderId="0" xfId="0" applyNumberFormat="1"/>
    <xf numFmtId="3" fontId="0" fillId="24" borderId="0" xfId="0" applyNumberFormat="1" applyFill="1"/>
    <xf numFmtId="17" fontId="0" fillId="0" borderId="0" xfId="0" applyNumberFormat="1" applyAlignment="1">
      <alignment horizontal="right"/>
    </xf>
    <xf numFmtId="3" fontId="0" fillId="0" borderId="0" xfId="0" applyNumberFormat="1" applyFill="1"/>
    <xf numFmtId="0" fontId="0" fillId="0" borderId="0" xfId="0" applyAlignment="1">
      <alignment horizontal="right"/>
    </xf>
    <xf numFmtId="0" fontId="18" fillId="0" borderId="0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 wrapText="1"/>
    </xf>
    <xf numFmtId="14" fontId="18" fillId="24" borderId="0" xfId="0" applyNumberFormat="1" applyFont="1" applyFill="1" applyBorder="1" applyAlignment="1">
      <alignment horizontal="center"/>
    </xf>
    <xf numFmtId="2" fontId="18" fillId="24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187" fontId="0" fillId="24" borderId="0" xfId="0" applyNumberFormat="1" applyFill="1"/>
    <xf numFmtId="17" fontId="0" fillId="0" borderId="0" xfId="0" applyNumberFormat="1" applyBorder="1"/>
    <xf numFmtId="0" fontId="7" fillId="0" borderId="0" xfId="0" applyFont="1" applyAlignment="1">
      <alignment horizontal="center" wrapText="1"/>
    </xf>
    <xf numFmtId="170" fontId="3" fillId="0" borderId="0" xfId="50" applyNumberFormat="1" applyFont="1" applyAlignment="1">
      <alignment horizontal="center"/>
    </xf>
    <xf numFmtId="171" fontId="1" fillId="35" borderId="0" xfId="28" applyNumberFormat="1" applyFill="1"/>
    <xf numFmtId="168" fontId="0" fillId="35" borderId="0" xfId="0" applyNumberFormat="1" applyFill="1"/>
    <xf numFmtId="0" fontId="0" fillId="35" borderId="0" xfId="0" applyFill="1"/>
    <xf numFmtId="168" fontId="1" fillId="35" borderId="0" xfId="28" applyNumberFormat="1" applyFill="1"/>
    <xf numFmtId="0" fontId="21" fillId="0" borderId="0" xfId="0" applyFont="1" applyAlignment="1">
      <alignment horizontal="center" wrapText="1"/>
    </xf>
    <xf numFmtId="0" fontId="76" fillId="0" borderId="0" xfId="0" quotePrefix="1" applyFont="1" applyAlignment="1">
      <alignment horizontal="left"/>
    </xf>
    <xf numFmtId="168" fontId="8" fillId="33" borderId="0" xfId="28" applyNumberFormat="1" applyFont="1" applyFill="1"/>
    <xf numFmtId="37" fontId="8" fillId="33" borderId="0" xfId="0" applyNumberFormat="1" applyFont="1" applyFill="1"/>
    <xf numFmtId="168" fontId="9" fillId="35" borderId="0" xfId="0" applyNumberFormat="1" applyFont="1" applyFill="1"/>
    <xf numFmtId="168" fontId="9" fillId="0" borderId="0" xfId="28" applyNumberFormat="1" applyFont="1"/>
    <xf numFmtId="173" fontId="21" fillId="0" borderId="0" xfId="0" applyNumberFormat="1" applyFont="1" applyAlignment="1">
      <alignment horizontal="center"/>
    </xf>
    <xf numFmtId="173" fontId="12" fillId="0" borderId="0" xfId="0" applyNumberFormat="1" applyFont="1" applyFill="1" applyAlignment="1">
      <alignment horizontal="center"/>
    </xf>
    <xf numFmtId="173" fontId="12" fillId="0" borderId="14" xfId="0" applyNumberFormat="1" applyFont="1" applyFill="1" applyBorder="1" applyAlignment="1">
      <alignment horizontal="center"/>
    </xf>
    <xf numFmtId="17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172" fontId="12" fillId="0" borderId="0" xfId="0" applyNumberFormat="1" applyFont="1" applyAlignment="1">
      <alignment horizontal="center"/>
    </xf>
    <xf numFmtId="0" fontId="77" fillId="0" borderId="0" xfId="0" applyFont="1" applyAlignment="1">
      <alignment horizontal="left" indent="1"/>
    </xf>
    <xf numFmtId="17" fontId="9" fillId="0" borderId="0" xfId="0" applyNumberFormat="1" applyFont="1"/>
    <xf numFmtId="0" fontId="8" fillId="0" borderId="0" xfId="0" applyFont="1" applyAlignment="1">
      <alignment horizontal="center"/>
    </xf>
    <xf numFmtId="17" fontId="8" fillId="0" borderId="0" xfId="0" applyNumberFormat="1" applyFont="1"/>
    <xf numFmtId="17" fontId="9" fillId="33" borderId="0" xfId="0" applyNumberFormat="1" applyFont="1" applyFill="1"/>
    <xf numFmtId="170" fontId="9" fillId="33" borderId="0" xfId="0" applyNumberFormat="1" applyFont="1" applyFill="1"/>
    <xf numFmtId="14" fontId="9" fillId="0" borderId="0" xfId="0" applyNumberFormat="1" applyFont="1"/>
    <xf numFmtId="14" fontId="21" fillId="0" borderId="0" xfId="0" applyNumberFormat="1" applyFont="1"/>
    <xf numFmtId="17" fontId="9" fillId="0" borderId="0" xfId="0" quotePrefix="1" applyNumberFormat="1" applyFont="1" applyBorder="1" applyAlignment="1">
      <alignment horizontal="center"/>
    </xf>
    <xf numFmtId="14" fontId="9" fillId="24" borderId="0" xfId="0" applyNumberFormat="1" applyFont="1" applyFill="1" applyBorder="1" applyAlignment="1">
      <alignment horizontal="center"/>
    </xf>
    <xf numFmtId="0" fontId="0" fillId="24" borderId="0" xfId="0" applyFill="1" applyBorder="1"/>
    <xf numFmtId="0" fontId="21" fillId="0" borderId="0" xfId="0" applyFont="1" applyBorder="1"/>
    <xf numFmtId="3" fontId="9" fillId="0" borderId="0" xfId="0" applyNumberFormat="1" applyFont="1" applyBorder="1"/>
    <xf numFmtId="43" fontId="1" fillId="0" borderId="0" xfId="28" applyBorder="1"/>
    <xf numFmtId="17" fontId="9" fillId="0" borderId="0" xfId="0" applyNumberFormat="1" applyFont="1" applyBorder="1"/>
    <xf numFmtId="14" fontId="9" fillId="24" borderId="0" xfId="0" applyNumberFormat="1" applyFont="1" applyFill="1"/>
    <xf numFmtId="14" fontId="21" fillId="24" borderId="0" xfId="0" applyNumberFormat="1" applyFont="1" applyFill="1"/>
    <xf numFmtId="172" fontId="18" fillId="24" borderId="0" xfId="0" applyNumberFormat="1" applyFont="1" applyFill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173" fontId="9" fillId="35" borderId="0" xfId="0" applyNumberFormat="1" applyFont="1" applyFill="1" applyAlignment="1">
      <alignment horizontal="center"/>
    </xf>
    <xf numFmtId="0" fontId="78" fillId="36" borderId="18" xfId="0" applyFont="1" applyFill="1" applyBorder="1" applyAlignment="1">
      <alignment horizontal="right" vertical="center" indent="1"/>
    </xf>
    <xf numFmtId="3" fontId="71" fillId="35" borderId="0" xfId="0" applyNumberFormat="1" applyFont="1" applyFill="1" applyAlignment="1">
      <alignment horizontal="center"/>
    </xf>
    <xf numFmtId="170" fontId="15" fillId="0" borderId="0" xfId="50" applyNumberFormat="1" applyFont="1" applyAlignment="1">
      <alignment horizontal="center"/>
    </xf>
    <xf numFmtId="0" fontId="44" fillId="0" borderId="0" xfId="67" quotePrefix="1" applyNumberFormat="1">
      <alignment horizontal="left" vertical="center" indent="1"/>
    </xf>
    <xf numFmtId="0" fontId="18" fillId="0" borderId="0" xfId="91" quotePrefix="1" applyAlignment="1">
      <alignment vertical="center"/>
    </xf>
    <xf numFmtId="0" fontId="18" fillId="0" borderId="0" xfId="91" quotePrefix="1" applyFont="1" applyBorder="1" applyAlignment="1">
      <alignment vertical="center"/>
    </xf>
    <xf numFmtId="0" fontId="9" fillId="0" borderId="0" xfId="91" quotePrefix="1" applyFont="1" applyBorder="1" applyAlignment="1">
      <alignment vertical="center"/>
    </xf>
    <xf numFmtId="0" fontId="18" fillId="0" borderId="0" xfId="85" quotePrefix="1" applyFont="1" applyBorder="1" applyAlignment="1">
      <alignment vertical="center"/>
    </xf>
    <xf numFmtId="0" fontId="18" fillId="0" borderId="0" xfId="91" quotePrefix="1" applyBorder="1" applyAlignment="1">
      <alignment vertical="center"/>
    </xf>
    <xf numFmtId="0" fontId="71" fillId="0" borderId="0" xfId="91" quotePrefix="1" applyFont="1" applyBorder="1" applyAlignment="1">
      <alignment vertical="center"/>
    </xf>
    <xf numFmtId="0" fontId="71" fillId="0" borderId="0" xfId="85" quotePrefix="1" applyFont="1" applyBorder="1" applyAlignment="1">
      <alignment vertical="center"/>
    </xf>
    <xf numFmtId="0" fontId="71" fillId="0" borderId="0" xfId="91" quotePrefix="1" applyFont="1" applyAlignment="1">
      <alignment vertical="center"/>
    </xf>
    <xf numFmtId="186" fontId="47" fillId="0" borderId="14" xfId="104" applyNumberFormat="1" applyBorder="1">
      <alignment horizontal="right" vertical="justify"/>
    </xf>
    <xf numFmtId="0" fontId="18" fillId="0" borderId="0" xfId="91" quotePrefix="1" applyFont="1" applyFill="1" applyBorder="1" applyAlignment="1">
      <alignment vertical="center"/>
    </xf>
    <xf numFmtId="180" fontId="0" fillId="0" borderId="0" xfId="0" applyNumberFormat="1"/>
    <xf numFmtId="180" fontId="0" fillId="0" borderId="0" xfId="31" applyNumberFormat="1" applyFont="1"/>
    <xf numFmtId="17" fontId="18" fillId="0" borderId="0" xfId="0" quotePrefix="1" applyNumberFormat="1" applyFont="1" applyBorder="1" applyAlignment="1">
      <alignment horizontal="center"/>
    </xf>
    <xf numFmtId="3" fontId="9" fillId="24" borderId="0" xfId="0" applyNumberFormat="1" applyFont="1" applyFill="1"/>
    <xf numFmtId="0" fontId="18" fillId="0" borderId="0" xfId="0" applyFont="1"/>
    <xf numFmtId="0" fontId="22" fillId="0" borderId="0" xfId="0" applyFont="1" applyAlignment="1"/>
    <xf numFmtId="0" fontId="79" fillId="0" borderId="0" xfId="0" applyFont="1" applyAlignment="1"/>
    <xf numFmtId="0" fontId="22" fillId="0" borderId="14" xfId="0" applyFont="1" applyBorder="1" applyAlignment="1"/>
    <xf numFmtId="173" fontId="21" fillId="0" borderId="0" xfId="0" applyNumberFormat="1" applyFont="1"/>
    <xf numFmtId="175" fontId="7" fillId="0" borderId="0" xfId="0" applyNumberFormat="1" applyFont="1" applyAlignment="1">
      <alignment horizontal="center"/>
    </xf>
    <xf numFmtId="188" fontId="12" fillId="0" borderId="0" xfId="28" applyNumberFormat="1" applyFont="1" applyAlignment="1">
      <alignment horizontal="center"/>
    </xf>
    <xf numFmtId="3" fontId="57" fillId="0" borderId="0" xfId="0" applyNumberFormat="1" applyFont="1" applyAlignment="1">
      <alignment horizontal="center"/>
    </xf>
    <xf numFmtId="3" fontId="58" fillId="0" borderId="0" xfId="0" applyNumberFormat="1" applyFont="1" applyAlignment="1">
      <alignment horizontal="center"/>
    </xf>
    <xf numFmtId="0" fontId="9" fillId="24" borderId="0" xfId="0" applyFont="1" applyFill="1"/>
    <xf numFmtId="0" fontId="44" fillId="0" borderId="0" xfId="69" quotePrefix="1" applyNumberFormat="1">
      <alignment horizontal="left" vertical="center" indent="1"/>
    </xf>
    <xf numFmtId="0" fontId="18" fillId="0" borderId="0" xfId="93" quotePrefix="1" applyAlignment="1">
      <alignment vertical="center"/>
    </xf>
    <xf numFmtId="0" fontId="18" fillId="0" borderId="0" xfId="93" quotePrefix="1" applyFont="1" applyBorder="1" applyAlignment="1">
      <alignment vertical="center"/>
    </xf>
    <xf numFmtId="0" fontId="9" fillId="0" borderId="0" xfId="93" quotePrefix="1" applyFont="1" applyBorder="1" applyAlignment="1">
      <alignment vertical="center"/>
    </xf>
    <xf numFmtId="0" fontId="18" fillId="0" borderId="0" xfId="87" quotePrefix="1" applyFont="1" applyBorder="1" applyAlignment="1">
      <alignment vertical="center"/>
    </xf>
    <xf numFmtId="0" fontId="18" fillId="0" borderId="0" xfId="93" quotePrefix="1" applyBorder="1" applyAlignment="1">
      <alignment vertical="center"/>
    </xf>
    <xf numFmtId="0" fontId="71" fillId="0" borderId="0" xfId="93" quotePrefix="1" applyFont="1" applyBorder="1" applyAlignment="1">
      <alignment vertical="center"/>
    </xf>
    <xf numFmtId="0" fontId="71" fillId="0" borderId="0" xfId="87" quotePrefix="1" applyFont="1" applyBorder="1" applyAlignment="1">
      <alignment vertical="center"/>
    </xf>
    <xf numFmtId="0" fontId="71" fillId="0" borderId="0" xfId="93" quotePrefix="1" applyFont="1" applyAlignment="1">
      <alignment vertical="center"/>
    </xf>
    <xf numFmtId="186" fontId="47" fillId="0" borderId="14" xfId="106" applyNumberFormat="1" applyBorder="1">
      <alignment horizontal="right" vertical="justify"/>
    </xf>
    <xf numFmtId="0" fontId="18" fillId="0" borderId="0" xfId="93" quotePrefix="1" applyFont="1" applyFill="1" applyBorder="1" applyAlignment="1">
      <alignment vertical="center"/>
    </xf>
    <xf numFmtId="37" fontId="47" fillId="35" borderId="0" xfId="31" quotePrefix="1" applyNumberFormat="1" applyFont="1" applyFill="1" applyAlignment="1">
      <alignment horizontal="right" vertical="justify"/>
    </xf>
    <xf numFmtId="37" fontId="47" fillId="35" borderId="21" xfId="31" quotePrefix="1" applyNumberFormat="1" applyFont="1" applyFill="1" applyBorder="1" applyAlignment="1">
      <alignment horizontal="right" vertical="justify"/>
    </xf>
    <xf numFmtId="0" fontId="80" fillId="0" borderId="0" xfId="0" applyFont="1"/>
    <xf numFmtId="168" fontId="57" fillId="39" borderId="0" xfId="28" applyNumberFormat="1" applyFont="1" applyFill="1"/>
    <xf numFmtId="37" fontId="57" fillId="39" borderId="0" xfId="0" applyNumberFormat="1" applyFont="1" applyFill="1"/>
    <xf numFmtId="17" fontId="18" fillId="0" borderId="0" xfId="43" quotePrefix="1" applyNumberFormat="1" applyFont="1" applyBorder="1" applyAlignment="1">
      <alignment horizontal="center"/>
    </xf>
    <xf numFmtId="0" fontId="9" fillId="0" borderId="0" xfId="43" applyFont="1" applyBorder="1" applyAlignment="1">
      <alignment horizontal="center" wrapText="1"/>
    </xf>
    <xf numFmtId="0" fontId="9" fillId="0" borderId="0" xfId="43" quotePrefix="1" applyFont="1" applyBorder="1" applyAlignment="1">
      <alignment horizontal="center" wrapText="1"/>
    </xf>
    <xf numFmtId="0" fontId="18" fillId="0" borderId="0" xfId="43" applyFill="1" applyBorder="1" applyAlignment="1">
      <alignment wrapText="1"/>
    </xf>
    <xf numFmtId="0" fontId="9" fillId="0" borderId="0" xfId="43" applyFont="1" applyFill="1" applyBorder="1" applyAlignment="1">
      <alignment horizontal="center" wrapText="1"/>
    </xf>
    <xf numFmtId="0" fontId="18" fillId="0" borderId="0" xfId="43" applyFill="1" applyBorder="1"/>
    <xf numFmtId="14" fontId="18" fillId="24" borderId="0" xfId="43" applyNumberFormat="1" applyFont="1" applyFill="1" applyBorder="1" applyAlignment="1">
      <alignment horizontal="center"/>
    </xf>
    <xf numFmtId="2" fontId="18" fillId="24" borderId="0" xfId="43" applyNumberFormat="1" applyFont="1" applyFill="1" applyBorder="1" applyAlignment="1">
      <alignment horizontal="center"/>
    </xf>
    <xf numFmtId="172" fontId="18" fillId="24" borderId="0" xfId="43" applyNumberFormat="1" applyFont="1" applyFill="1" applyBorder="1" applyAlignment="1">
      <alignment horizontal="center"/>
    </xf>
    <xf numFmtId="2" fontId="18" fillId="24" borderId="0" xfId="43" applyNumberFormat="1" applyFill="1" applyBorder="1" applyAlignment="1">
      <alignment horizontal="center"/>
    </xf>
    <xf numFmtId="0" fontId="18" fillId="0" borderId="0" xfId="43" applyFont="1" applyFill="1" applyBorder="1" applyAlignment="1">
      <alignment horizontal="right"/>
    </xf>
    <xf numFmtId="173" fontId="18" fillId="0" borderId="0" xfId="43" applyNumberFormat="1" applyFill="1" applyBorder="1"/>
    <xf numFmtId="168" fontId="18" fillId="0" borderId="0" xfId="28" applyNumberFormat="1" applyFont="1" applyFill="1" applyBorder="1"/>
    <xf numFmtId="3" fontId="18" fillId="0" borderId="0" xfId="43" applyNumberFormat="1" applyFill="1" applyBorder="1"/>
    <xf numFmtId="37" fontId="18" fillId="0" borderId="0" xfId="43" applyNumberFormat="1" applyFill="1" applyBorder="1"/>
    <xf numFmtId="0" fontId="18" fillId="0" borderId="0" xfId="43" applyBorder="1"/>
    <xf numFmtId="17" fontId="80" fillId="35" borderId="0" xfId="0" applyNumberFormat="1" applyFont="1" applyFill="1"/>
    <xf numFmtId="3" fontId="18" fillId="0" borderId="0" xfId="43" applyNumberFormat="1" applyBorder="1"/>
    <xf numFmtId="3" fontId="9" fillId="0" borderId="0" xfId="43" applyNumberFormat="1" applyFont="1" applyBorder="1"/>
    <xf numFmtId="2" fontId="18" fillId="0" borderId="0" xfId="43" applyNumberFormat="1" applyBorder="1"/>
    <xf numFmtId="0" fontId="7" fillId="0" borderId="0" xfId="43" quotePrefix="1" applyFont="1" applyAlignment="1">
      <alignment horizontal="left"/>
    </xf>
    <xf numFmtId="0" fontId="7" fillId="0" borderId="0" xfId="43" applyFont="1"/>
    <xf numFmtId="172" fontId="18" fillId="0" borderId="0" xfId="43" applyNumberFormat="1" applyFill="1" applyBorder="1"/>
    <xf numFmtId="0" fontId="18" fillId="0" borderId="0" xfId="43"/>
    <xf numFmtId="164" fontId="18" fillId="0" borderId="0" xfId="43" applyNumberFormat="1"/>
    <xf numFmtId="0" fontId="18" fillId="24" borderId="0" xfId="43" applyFill="1"/>
    <xf numFmtId="187" fontId="18" fillId="24" borderId="0" xfId="43" applyNumberFormat="1" applyFill="1"/>
    <xf numFmtId="17" fontId="18" fillId="0" borderId="0" xfId="43" applyNumberFormat="1" applyBorder="1"/>
    <xf numFmtId="3" fontId="12" fillId="0" borderId="0" xfId="43" applyNumberFormat="1" applyFont="1" applyAlignment="1">
      <alignment horizontal="center"/>
    </xf>
    <xf numFmtId="0" fontId="18" fillId="0" borderId="0" xfId="43" quotePrefix="1" applyFont="1" applyBorder="1" applyAlignment="1">
      <alignment horizontal="center"/>
    </xf>
    <xf numFmtId="3" fontId="21" fillId="35" borderId="0" xfId="0" applyNumberFormat="1" applyFont="1" applyFill="1"/>
    <xf numFmtId="170" fontId="18" fillId="0" borderId="0" xfId="50" applyNumberFormat="1" applyFont="1"/>
    <xf numFmtId="17" fontId="18" fillId="0" borderId="0" xfId="0" applyNumberFormat="1" applyFont="1"/>
    <xf numFmtId="3" fontId="80" fillId="35" borderId="0" xfId="0" applyNumberFormat="1" applyFont="1" applyFill="1"/>
    <xf numFmtId="0" fontId="52" fillId="0" borderId="0" xfId="0" applyFont="1"/>
    <xf numFmtId="168" fontId="18" fillId="0" borderId="0" xfId="28" applyNumberFormat="1" applyFont="1"/>
    <xf numFmtId="182" fontId="0" fillId="0" borderId="0" xfId="0" applyNumberFormat="1" applyAlignment="1">
      <alignment horizontal="center" wrapText="1"/>
    </xf>
    <xf numFmtId="182" fontId="0" fillId="0" borderId="0" xfId="0" applyNumberFormat="1" applyAlignment="1">
      <alignment horizontal="center"/>
    </xf>
    <xf numFmtId="0" fontId="70" fillId="40" borderId="18" xfId="0" applyFont="1" applyFill="1" applyBorder="1" applyAlignment="1">
      <alignment horizontal="right" vertical="center" indent="1"/>
    </xf>
    <xf numFmtId="0" fontId="69" fillId="36" borderId="16" xfId="0" applyFont="1" applyFill="1" applyBorder="1" applyAlignment="1">
      <alignment horizontal="left" vertical="center" indent="1"/>
    </xf>
    <xf numFmtId="0" fontId="70" fillId="36" borderId="16" xfId="0" applyFont="1" applyFill="1" applyBorder="1" applyAlignment="1">
      <alignment horizontal="right" vertical="center" indent="1"/>
    </xf>
    <xf numFmtId="0" fontId="70" fillId="36" borderId="17" xfId="0" applyFont="1" applyFill="1" applyBorder="1" applyAlignment="1">
      <alignment horizontal="right" vertical="center" indent="1"/>
    </xf>
    <xf numFmtId="0" fontId="69" fillId="40" borderId="18" xfId="0" applyFont="1" applyFill="1" applyBorder="1" applyAlignment="1">
      <alignment horizontal="left" vertical="center" indent="1"/>
    </xf>
    <xf numFmtId="0" fontId="70" fillId="40" borderId="19" xfId="0" applyFont="1" applyFill="1" applyBorder="1" applyAlignment="1">
      <alignment horizontal="right" vertical="center" indent="1"/>
    </xf>
    <xf numFmtId="0" fontId="0" fillId="36" borderId="33" xfId="0" applyFill="1" applyBorder="1"/>
    <xf numFmtId="0" fontId="0" fillId="36" borderId="34" xfId="0" applyFill="1" applyBorder="1"/>
    <xf numFmtId="0" fontId="1" fillId="0" borderId="0" xfId="45" applyFill="1"/>
    <xf numFmtId="0" fontId="73" fillId="0" borderId="0" xfId="45" applyFont="1" applyFill="1" applyAlignment="1">
      <alignment horizontal="left"/>
    </xf>
    <xf numFmtId="0" fontId="72" fillId="0" borderId="0" xfId="45" applyFont="1" applyFill="1" applyAlignment="1">
      <alignment horizontal="left"/>
    </xf>
    <xf numFmtId="0" fontId="1" fillId="0" borderId="0" xfId="45"/>
    <xf numFmtId="0" fontId="44" fillId="0" borderId="0" xfId="66" quotePrefix="1" applyNumberFormat="1">
      <alignment horizontal="left" vertical="center" indent="1"/>
    </xf>
    <xf numFmtId="0" fontId="47" fillId="29" borderId="0" xfId="78" applyNumberFormat="1">
      <alignment horizontal="left" vertical="center" indent="1"/>
    </xf>
    <xf numFmtId="0" fontId="47" fillId="0" borderId="0" xfId="74" quotePrefix="1" applyNumberFormat="1">
      <alignment horizontal="left" vertical="center" indent="1"/>
    </xf>
    <xf numFmtId="0" fontId="4" fillId="0" borderId="0" xfId="45" applyFont="1"/>
    <xf numFmtId="0" fontId="1" fillId="0" borderId="14" xfId="45" quotePrefix="1" applyBorder="1"/>
    <xf numFmtId="0" fontId="1" fillId="0" borderId="14" xfId="45" applyBorder="1"/>
    <xf numFmtId="0" fontId="1" fillId="0" borderId="0" xfId="90" quotePrefix="1" applyAlignment="1">
      <alignment vertical="center"/>
    </xf>
    <xf numFmtId="0" fontId="1" fillId="0" borderId="0" xfId="90" quotePrefix="1" applyFont="1" applyBorder="1" applyAlignment="1">
      <alignment vertical="center"/>
    </xf>
    <xf numFmtId="0" fontId="9" fillId="0" borderId="0" xfId="90" quotePrefix="1" applyFont="1" applyBorder="1" applyAlignment="1">
      <alignment vertical="center"/>
    </xf>
    <xf numFmtId="0" fontId="1" fillId="0" borderId="0" xfId="84" quotePrefix="1" applyFont="1" applyBorder="1" applyAlignment="1">
      <alignment vertical="center"/>
    </xf>
    <xf numFmtId="0" fontId="1" fillId="0" borderId="0" xfId="90" quotePrefix="1" applyBorder="1" applyAlignment="1">
      <alignment vertical="center"/>
    </xf>
    <xf numFmtId="0" fontId="71" fillId="0" borderId="0" xfId="90" quotePrefix="1" applyFont="1" applyBorder="1" applyAlignment="1">
      <alignment vertical="center"/>
    </xf>
    <xf numFmtId="0" fontId="71" fillId="0" borderId="0" xfId="84" quotePrefix="1" applyFont="1" applyBorder="1" applyAlignment="1">
      <alignment vertical="center"/>
    </xf>
    <xf numFmtId="0" fontId="71" fillId="0" borderId="0" xfId="90" quotePrefix="1" applyFont="1" applyAlignment="1">
      <alignment vertical="center"/>
    </xf>
    <xf numFmtId="0" fontId="71" fillId="0" borderId="0" xfId="45" quotePrefix="1" applyFont="1" applyAlignment="1"/>
    <xf numFmtId="0" fontId="19" fillId="0" borderId="0" xfId="45" quotePrefix="1" applyFont="1" applyAlignment="1"/>
    <xf numFmtId="0" fontId="1" fillId="0" borderId="0" xfId="45" quotePrefix="1" applyAlignment="1">
      <alignment horizontal="left" indent="2"/>
    </xf>
    <xf numFmtId="186" fontId="47" fillId="0" borderId="14" xfId="103" applyNumberFormat="1" applyBorder="1">
      <alignment horizontal="right" vertical="justify"/>
    </xf>
    <xf numFmtId="0" fontId="1" fillId="0" borderId="0" xfId="45" quotePrefix="1" applyAlignment="1">
      <alignment horizontal="left" indent="4"/>
    </xf>
    <xf numFmtId="0" fontId="4" fillId="0" borderId="0" xfId="45" applyFont="1" applyFill="1" applyAlignment="1">
      <alignment horizontal="left"/>
    </xf>
    <xf numFmtId="180" fontId="1" fillId="0" borderId="0" xfId="45" applyNumberFormat="1" applyFill="1" applyAlignment="1">
      <alignment horizontal="center"/>
    </xf>
    <xf numFmtId="0" fontId="1" fillId="0" borderId="0" xfId="45" quotePrefix="1" applyFill="1" applyAlignment="1">
      <alignment horizontal="left" indent="4"/>
    </xf>
    <xf numFmtId="180" fontId="1" fillId="0" borderId="0" xfId="45" applyNumberFormat="1" applyFill="1"/>
    <xf numFmtId="0" fontId="29" fillId="0" borderId="0" xfId="45" quotePrefix="1" applyFont="1" applyFill="1" applyAlignment="1">
      <alignment horizontal="center"/>
    </xf>
    <xf numFmtId="0" fontId="1" fillId="0" borderId="30" xfId="45" applyFill="1" applyBorder="1"/>
    <xf numFmtId="0" fontId="1" fillId="0" borderId="31" xfId="45" applyFill="1" applyBorder="1"/>
    <xf numFmtId="37" fontId="1" fillId="0" borderId="30" xfId="45" applyNumberFormat="1" applyFill="1" applyBorder="1"/>
    <xf numFmtId="37" fontId="1" fillId="0" borderId="31" xfId="45" applyNumberFormat="1" applyFill="1" applyBorder="1"/>
    <xf numFmtId="0" fontId="1" fillId="0" borderId="32" xfId="45" applyFill="1" applyBorder="1"/>
    <xf numFmtId="37" fontId="1" fillId="0" borderId="32" xfId="45" applyNumberFormat="1" applyFill="1" applyBorder="1"/>
    <xf numFmtId="0" fontId="1" fillId="0" borderId="0" xfId="90" quotePrefix="1" applyFont="1" applyFill="1" applyBorder="1" applyAlignment="1">
      <alignment vertical="center"/>
    </xf>
    <xf numFmtId="37" fontId="1" fillId="0" borderId="20" xfId="45" applyNumberFormat="1" applyFont="1" applyFill="1" applyBorder="1"/>
    <xf numFmtId="37" fontId="1" fillId="0" borderId="21" xfId="45" applyNumberFormat="1" applyFont="1" applyFill="1" applyBorder="1"/>
    <xf numFmtId="37" fontId="1" fillId="0" borderId="0" xfId="45" applyNumberFormat="1" applyFill="1" applyBorder="1"/>
    <xf numFmtId="37" fontId="1" fillId="0" borderId="20" xfId="45" applyNumberFormat="1" applyFill="1" applyBorder="1"/>
    <xf numFmtId="37" fontId="1" fillId="0" borderId="21" xfId="45" applyNumberFormat="1" applyFill="1" applyBorder="1"/>
    <xf numFmtId="39" fontId="1" fillId="0" borderId="0" xfId="45" applyNumberFormat="1" applyFill="1" applyBorder="1"/>
    <xf numFmtId="37" fontId="1" fillId="0" borderId="22" xfId="45" applyNumberFormat="1" applyFont="1" applyFill="1" applyBorder="1"/>
    <xf numFmtId="37" fontId="1" fillId="0" borderId="23" xfId="45" applyNumberFormat="1" applyFont="1" applyFill="1" applyBorder="1"/>
    <xf numFmtId="0" fontId="1" fillId="0" borderId="0" xfId="45" quotePrefix="1" applyAlignment="1">
      <alignment horizontal="left" indent="3"/>
    </xf>
    <xf numFmtId="180" fontId="1" fillId="0" borderId="0" xfId="45" applyNumberFormat="1"/>
    <xf numFmtId="168" fontId="0" fillId="35" borderId="0" xfId="28" applyNumberFormat="1" applyFont="1" applyFill="1"/>
    <xf numFmtId="168" fontId="9" fillId="35" borderId="0" xfId="28" applyNumberFormat="1" applyFont="1" applyFill="1"/>
    <xf numFmtId="189" fontId="47" fillId="0" borderId="0" xfId="0" applyNumberFormat="1" applyFont="1" applyAlignment="1">
      <alignment horizontal="right"/>
    </xf>
    <xf numFmtId="182" fontId="9" fillId="0" borderId="0" xfId="0" applyNumberFormat="1" applyFont="1" applyAlignment="1">
      <alignment horizontal="center" wrapText="1"/>
    </xf>
    <xf numFmtId="177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1" fillId="0" borderId="0" xfId="0" applyFont="1" applyAlignment="1">
      <alignment horizontal="left" indent="1"/>
    </xf>
    <xf numFmtId="0" fontId="44" fillId="0" borderId="0" xfId="0" applyFont="1" applyAlignment="1">
      <alignment horizontal="left" vertical="top" wrapText="1"/>
    </xf>
    <xf numFmtId="0" fontId="44" fillId="0" borderId="36" xfId="0" applyFont="1" applyBorder="1" applyAlignment="1">
      <alignment horizontal="center" wrapText="1"/>
    </xf>
    <xf numFmtId="0" fontId="44" fillId="0" borderId="0" xfId="0" applyFont="1" applyAlignment="1">
      <alignment horizontal="left"/>
    </xf>
    <xf numFmtId="0" fontId="9" fillId="0" borderId="14" xfId="0" applyFont="1" applyBorder="1"/>
    <xf numFmtId="175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7" fontId="1" fillId="0" borderId="0" xfId="0" quotePrefix="1" applyNumberFormat="1" applyFont="1" applyBorder="1" applyAlignment="1">
      <alignment horizontal="center"/>
    </xf>
    <xf numFmtId="14" fontId="1" fillId="24" borderId="0" xfId="0" applyNumberFormat="1" applyFont="1" applyFill="1" applyBorder="1" applyAlignment="1">
      <alignment horizontal="center"/>
    </xf>
    <xf numFmtId="2" fontId="1" fillId="24" borderId="0" xfId="0" applyNumberFormat="1" applyFont="1" applyFill="1" applyBorder="1" applyAlignment="1">
      <alignment horizontal="center"/>
    </xf>
    <xf numFmtId="172" fontId="1" fillId="2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8" fontId="1" fillId="0" borderId="0" xfId="28" applyNumberFormat="1" applyFill="1" applyBorder="1" applyAlignment="1">
      <alignment horizontal="center"/>
    </xf>
    <xf numFmtId="3" fontId="1" fillId="0" borderId="0" xfId="44" applyNumberFormat="1" applyFill="1" applyBorder="1"/>
    <xf numFmtId="9" fontId="1" fillId="0" borderId="0" xfId="50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168" fontId="9" fillId="0" borderId="0" xfId="28" applyNumberFormat="1" applyFont="1" applyFill="1" applyBorder="1"/>
    <xf numFmtId="0" fontId="9" fillId="0" borderId="0" xfId="0" applyFont="1" applyBorder="1"/>
    <xf numFmtId="0" fontId="1" fillId="0" borderId="0" xfId="0" quotePrefix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7" fontId="1" fillId="0" borderId="0" xfId="0" applyNumberFormat="1" applyFont="1"/>
    <xf numFmtId="14" fontId="0" fillId="41" borderId="0" xfId="0" applyNumberFormat="1" applyFill="1"/>
    <xf numFmtId="3" fontId="9" fillId="24" borderId="0" xfId="0" applyNumberFormat="1" applyFont="1" applyFill="1" applyAlignment="1">
      <alignment horizontal="center"/>
    </xf>
    <xf numFmtId="3" fontId="0" fillId="24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1" fillId="0" borderId="0" xfId="28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170" fontId="1" fillId="0" borderId="0" xfId="50" applyNumberFormat="1" applyAlignment="1">
      <alignment horizontal="center"/>
    </xf>
    <xf numFmtId="0" fontId="47" fillId="0" borderId="0" xfId="0" applyFont="1" applyAlignment="1">
      <alignment horizontal="left"/>
    </xf>
    <xf numFmtId="0" fontId="44" fillId="0" borderId="0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189" fontId="82" fillId="0" borderId="0" xfId="0" applyNumberFormat="1" applyFont="1" applyAlignment="1">
      <alignment horizontal="center"/>
    </xf>
    <xf numFmtId="189" fontId="12" fillId="0" borderId="0" xfId="0" applyNumberFormat="1" applyFont="1" applyAlignment="1">
      <alignment horizontal="center"/>
    </xf>
    <xf numFmtId="17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84" fillId="29" borderId="0" xfId="79" applyNumberFormat="1">
      <alignment horizontal="left" vertical="center" indent="1"/>
    </xf>
    <xf numFmtId="0" fontId="84" fillId="0" borderId="0" xfId="75" quotePrefix="1" applyNumberFormat="1">
      <alignment horizontal="left" vertical="center" indent="1"/>
    </xf>
    <xf numFmtId="180" fontId="47" fillId="0" borderId="20" xfId="32" quotePrefix="1" applyNumberFormat="1" applyFont="1" applyBorder="1" applyAlignment="1">
      <alignment horizontal="right" vertical="justify"/>
    </xf>
    <xf numFmtId="180" fontId="47" fillId="0" borderId="0" xfId="32" quotePrefix="1" applyNumberFormat="1" applyFont="1" applyAlignment="1">
      <alignment horizontal="right" vertical="justify"/>
    </xf>
    <xf numFmtId="180" fontId="47" fillId="0" borderId="21" xfId="32" quotePrefix="1" applyNumberFormat="1" applyFont="1" applyBorder="1" applyAlignment="1">
      <alignment horizontal="right" vertical="justify"/>
    </xf>
    <xf numFmtId="180" fontId="47" fillId="0" borderId="0" xfId="32" applyNumberFormat="1" applyFont="1" applyAlignment="1">
      <alignment horizontal="right" vertical="justify"/>
    </xf>
    <xf numFmtId="180" fontId="47" fillId="0" borderId="21" xfId="32" applyNumberFormat="1" applyFont="1" applyBorder="1" applyAlignment="1">
      <alignment horizontal="right" vertical="justify"/>
    </xf>
    <xf numFmtId="37" fontId="47" fillId="0" borderId="20" xfId="32" quotePrefix="1" applyNumberFormat="1" applyFont="1" applyBorder="1" applyAlignment="1">
      <alignment horizontal="right" vertical="justify"/>
    </xf>
    <xf numFmtId="37" fontId="47" fillId="0" borderId="0" xfId="32" quotePrefix="1" applyNumberFormat="1" applyFont="1" applyAlignment="1">
      <alignment horizontal="right" vertical="justify"/>
    </xf>
    <xf numFmtId="37" fontId="47" fillId="0" borderId="21" xfId="32" quotePrefix="1" applyNumberFormat="1" applyFont="1" applyBorder="1" applyAlignment="1">
      <alignment horizontal="right" vertical="justify"/>
    </xf>
    <xf numFmtId="37" fontId="47" fillId="0" borderId="0" xfId="32" applyNumberFormat="1" applyFont="1" applyAlignment="1">
      <alignment horizontal="right" vertical="justify"/>
    </xf>
    <xf numFmtId="37" fontId="47" fillId="0" borderId="21" xfId="32" applyNumberFormat="1" applyFont="1" applyBorder="1" applyAlignment="1">
      <alignment horizontal="right" vertical="justify"/>
    </xf>
    <xf numFmtId="37" fontId="47" fillId="0" borderId="22" xfId="32" quotePrefix="1" applyNumberFormat="1" applyFont="1" applyBorder="1" applyAlignment="1">
      <alignment horizontal="right" vertical="justify"/>
    </xf>
    <xf numFmtId="37" fontId="47" fillId="0" borderId="14" xfId="32" quotePrefix="1" applyNumberFormat="1" applyFont="1" applyBorder="1" applyAlignment="1">
      <alignment horizontal="right" vertical="justify"/>
    </xf>
    <xf numFmtId="37" fontId="47" fillId="0" borderId="23" xfId="32" quotePrefix="1" applyNumberFormat="1" applyFont="1" applyBorder="1" applyAlignment="1">
      <alignment horizontal="right" vertical="justify"/>
    </xf>
    <xf numFmtId="37" fontId="47" fillId="0" borderId="14" xfId="32" applyNumberFormat="1" applyFont="1" applyBorder="1" applyAlignment="1">
      <alignment horizontal="right" vertical="justify"/>
    </xf>
    <xf numFmtId="37" fontId="47" fillId="0" borderId="23" xfId="32" applyNumberFormat="1" applyFont="1" applyBorder="1" applyAlignment="1">
      <alignment horizontal="right" vertical="justify"/>
    </xf>
    <xf numFmtId="37" fontId="47" fillId="0" borderId="0" xfId="32" quotePrefix="1" applyNumberFormat="1" applyFont="1" applyBorder="1" applyAlignment="1">
      <alignment horizontal="right" vertical="justify"/>
    </xf>
    <xf numFmtId="37" fontId="47" fillId="0" borderId="0" xfId="32" applyNumberFormat="1" applyFont="1" applyBorder="1" applyAlignment="1">
      <alignment horizontal="right" vertical="justify"/>
    </xf>
    <xf numFmtId="37" fontId="47" fillId="0" borderId="24" xfId="32" quotePrefix="1" applyNumberFormat="1" applyFont="1" applyBorder="1" applyAlignment="1">
      <alignment horizontal="right" vertical="justify"/>
    </xf>
    <xf numFmtId="37" fontId="47" fillId="0" borderId="25" xfId="32" quotePrefix="1" applyNumberFormat="1" applyFont="1" applyBorder="1" applyAlignment="1">
      <alignment horizontal="right" vertical="justify"/>
    </xf>
    <xf numFmtId="37" fontId="47" fillId="0" borderId="26" xfId="32" quotePrefix="1" applyNumberFormat="1" applyFont="1" applyBorder="1" applyAlignment="1">
      <alignment horizontal="right" vertical="justify"/>
    </xf>
    <xf numFmtId="37" fontId="47" fillId="0" borderId="25" xfId="32" applyNumberFormat="1" applyFont="1" applyBorder="1" applyAlignment="1">
      <alignment horizontal="right" vertical="justify"/>
    </xf>
    <xf numFmtId="37" fontId="47" fillId="0" borderId="26" xfId="32" applyNumberFormat="1" applyFont="1" applyBorder="1" applyAlignment="1">
      <alignment horizontal="right" vertical="justify"/>
    </xf>
    <xf numFmtId="0" fontId="19" fillId="0" borderId="0" xfId="0" quotePrefix="1" applyFont="1" applyAlignment="1"/>
    <xf numFmtId="180" fontId="47" fillId="0" borderId="27" xfId="32" quotePrefix="1" applyNumberFormat="1" applyFont="1" applyBorder="1" applyAlignment="1">
      <alignment horizontal="right" vertical="justify"/>
    </xf>
    <xf numFmtId="180" fontId="47" fillId="0" borderId="28" xfId="32" quotePrefix="1" applyNumberFormat="1" applyFont="1" applyBorder="1" applyAlignment="1">
      <alignment horizontal="right" vertical="justify"/>
    </xf>
    <xf numFmtId="180" fontId="47" fillId="0" borderId="29" xfId="32" quotePrefix="1" applyNumberFormat="1" applyFont="1" applyBorder="1" applyAlignment="1">
      <alignment horizontal="right" vertical="justify"/>
    </xf>
    <xf numFmtId="180" fontId="47" fillId="0" borderId="28" xfId="32" applyNumberFormat="1" applyFont="1" applyBorder="1" applyAlignment="1">
      <alignment horizontal="right" vertical="justify"/>
    </xf>
    <xf numFmtId="180" fontId="47" fillId="0" borderId="29" xfId="32" applyNumberFormat="1" applyFont="1" applyBorder="1" applyAlignment="1">
      <alignment horizontal="right" vertical="justify"/>
    </xf>
    <xf numFmtId="168" fontId="47" fillId="0" borderId="20" xfId="29" quotePrefix="1" applyNumberFormat="1" applyFont="1" applyBorder="1" applyAlignment="1">
      <alignment horizontal="right" vertical="justify"/>
    </xf>
    <xf numFmtId="168" fontId="47" fillId="0" borderId="0" xfId="29" quotePrefix="1" applyNumberFormat="1" applyFont="1" applyAlignment="1">
      <alignment horizontal="right" vertical="justify"/>
    </xf>
    <xf numFmtId="168" fontId="47" fillId="0" borderId="21" xfId="29" quotePrefix="1" applyNumberFormat="1" applyFont="1" applyBorder="1" applyAlignment="1">
      <alignment horizontal="right" vertical="justify"/>
    </xf>
    <xf numFmtId="168" fontId="47" fillId="0" borderId="0" xfId="29" applyNumberFormat="1" applyFont="1" applyAlignment="1">
      <alignment horizontal="right" vertical="justify"/>
    </xf>
    <xf numFmtId="168" fontId="47" fillId="0" borderId="21" xfId="29" applyNumberFormat="1" applyFont="1" applyBorder="1" applyAlignment="1">
      <alignment horizontal="right" vertical="justify"/>
    </xf>
    <xf numFmtId="168" fontId="47" fillId="0" borderId="20" xfId="29" applyNumberFormat="1" applyFont="1" applyBorder="1" applyAlignment="1">
      <alignment horizontal="right" vertical="justify"/>
    </xf>
    <xf numFmtId="168" fontId="47" fillId="0" borderId="27" xfId="29" quotePrefix="1" applyNumberFormat="1" applyFont="1" applyBorder="1" applyAlignment="1">
      <alignment horizontal="right" vertical="justify"/>
    </xf>
    <xf numFmtId="168" fontId="47" fillId="0" borderId="28" xfId="29" quotePrefix="1" applyNumberFormat="1" applyFont="1" applyBorder="1" applyAlignment="1">
      <alignment horizontal="right" vertical="justify"/>
    </xf>
    <xf numFmtId="168" fontId="47" fillId="0" borderId="29" xfId="29" quotePrefix="1" applyNumberFormat="1" applyFont="1" applyBorder="1" applyAlignment="1">
      <alignment horizontal="right" vertical="justify"/>
    </xf>
    <xf numFmtId="168" fontId="47" fillId="0" borderId="28" xfId="29" applyNumberFormat="1" applyFont="1" applyBorder="1" applyAlignment="1">
      <alignment horizontal="right" vertical="justify"/>
    </xf>
    <xf numFmtId="168" fontId="47" fillId="0" borderId="29" xfId="29" applyNumberFormat="1" applyFont="1" applyBorder="1" applyAlignment="1">
      <alignment horizontal="right" vertical="justify"/>
    </xf>
    <xf numFmtId="0" fontId="85" fillId="0" borderId="0" xfId="0" quotePrefix="1" applyFont="1" applyFill="1" applyAlignment="1">
      <alignment horizontal="center"/>
    </xf>
    <xf numFmtId="37" fontId="83" fillId="0" borderId="20" xfId="0" applyNumberFormat="1" applyFont="1" applyFill="1" applyBorder="1"/>
    <xf numFmtId="37" fontId="83" fillId="0" borderId="21" xfId="0" applyNumberFormat="1" applyFont="1" applyFill="1" applyBorder="1"/>
    <xf numFmtId="37" fontId="47" fillId="0" borderId="20" xfId="32" quotePrefix="1" applyNumberFormat="1" applyFont="1" applyFill="1" applyBorder="1" applyAlignment="1">
      <alignment horizontal="right" vertical="justify"/>
    </xf>
    <xf numFmtId="37" fontId="47" fillId="0" borderId="0" xfId="32" quotePrefix="1" applyNumberFormat="1" applyFont="1" applyFill="1" applyAlignment="1">
      <alignment horizontal="right" vertical="justify"/>
    </xf>
    <xf numFmtId="37" fontId="83" fillId="0" borderId="21" xfId="29" applyNumberFormat="1" applyFont="1" applyFill="1" applyBorder="1"/>
    <xf numFmtId="37" fontId="47" fillId="0" borderId="21" xfId="32" quotePrefix="1" applyNumberFormat="1" applyFont="1" applyFill="1" applyBorder="1" applyAlignment="1">
      <alignment horizontal="right" vertical="justify"/>
    </xf>
    <xf numFmtId="37" fontId="83" fillId="0" borderId="22" xfId="0" applyNumberFormat="1" applyFont="1" applyFill="1" applyBorder="1"/>
    <xf numFmtId="37" fontId="83" fillId="0" borderId="23" xfId="0" applyNumberFormat="1" applyFont="1" applyFill="1" applyBorder="1"/>
    <xf numFmtId="37" fontId="47" fillId="0" borderId="22" xfId="32" quotePrefix="1" applyNumberFormat="1" applyFont="1" applyFill="1" applyBorder="1" applyAlignment="1">
      <alignment horizontal="right" vertical="justify"/>
    </xf>
    <xf numFmtId="180" fontId="83" fillId="0" borderId="27" xfId="32" applyNumberFormat="1" applyFill="1" applyBorder="1"/>
    <xf numFmtId="180" fontId="83" fillId="0" borderId="28" xfId="32" applyNumberFormat="1" applyFill="1" applyBorder="1"/>
    <xf numFmtId="180" fontId="83" fillId="0" borderId="29" xfId="32" applyNumberFormat="1" applyFill="1" applyBorder="1"/>
    <xf numFmtId="177" fontId="1" fillId="0" borderId="0" xfId="0" applyNumberFormat="1" applyFont="1"/>
    <xf numFmtId="37" fontId="20" fillId="0" borderId="0" xfId="0" applyNumberFormat="1" applyFont="1"/>
    <xf numFmtId="171" fontId="0" fillId="0" borderId="0" xfId="28" applyNumberFormat="1" applyFont="1"/>
    <xf numFmtId="190" fontId="47" fillId="0" borderId="0" xfId="0" applyNumberFormat="1" applyFont="1" applyAlignment="1">
      <alignment horizontal="right"/>
    </xf>
    <xf numFmtId="0" fontId="87" fillId="0" borderId="0" xfId="0" applyFont="1" applyAlignment="1">
      <alignment horizontal="left"/>
    </xf>
    <xf numFmtId="0" fontId="11" fillId="36" borderId="0" xfId="0" applyFont="1" applyFill="1" applyAlignment="1">
      <alignment horizontal="left"/>
    </xf>
    <xf numFmtId="17" fontId="88" fillId="0" borderId="0" xfId="0" applyNumberFormat="1" applyFont="1"/>
    <xf numFmtId="17" fontId="80" fillId="0" borderId="0" xfId="0" quotePrefix="1" applyNumberFormat="1" applyFont="1" applyBorder="1" applyAlignment="1">
      <alignment horizontal="center"/>
    </xf>
    <xf numFmtId="0" fontId="80" fillId="0" borderId="0" xfId="0" applyFont="1" applyBorder="1"/>
    <xf numFmtId="0" fontId="89" fillId="0" borderId="0" xfId="0" applyFont="1" applyBorder="1"/>
    <xf numFmtId="168" fontId="1" fillId="35" borderId="0" xfId="28" applyNumberFormat="1" applyFill="1" applyBorder="1"/>
    <xf numFmtId="14" fontId="80" fillId="24" borderId="0" xfId="0" applyNumberFormat="1" applyFont="1" applyFill="1" applyBorder="1" applyAlignment="1">
      <alignment horizontal="left"/>
    </xf>
    <xf numFmtId="170" fontId="3" fillId="0" borderId="0" xfId="50" applyNumberFormat="1" applyFont="1"/>
    <xf numFmtId="0" fontId="91" fillId="29" borderId="0" xfId="80" applyNumberFormat="1">
      <alignment horizontal="left" vertical="center" indent="1"/>
    </xf>
    <xf numFmtId="0" fontId="91" fillId="0" borderId="0" xfId="76" quotePrefix="1" applyNumberFormat="1">
      <alignment horizontal="left" vertical="center" indent="1"/>
    </xf>
    <xf numFmtId="180" fontId="47" fillId="0" borderId="20" xfId="33" quotePrefix="1" applyNumberFormat="1" applyFont="1" applyBorder="1" applyAlignment="1">
      <alignment horizontal="right" vertical="justify"/>
    </xf>
    <xf numFmtId="180" fontId="47" fillId="0" borderId="0" xfId="33" quotePrefix="1" applyNumberFormat="1" applyFont="1" applyAlignment="1">
      <alignment horizontal="right" vertical="justify"/>
    </xf>
    <xf numFmtId="180" fontId="47" fillId="0" borderId="21" xfId="33" quotePrefix="1" applyNumberFormat="1" applyFont="1" applyBorder="1" applyAlignment="1">
      <alignment horizontal="right" vertical="justify"/>
    </xf>
    <xf numFmtId="180" fontId="47" fillId="0" borderId="0" xfId="33" applyNumberFormat="1" applyFont="1" applyAlignment="1">
      <alignment horizontal="right" vertical="justify"/>
    </xf>
    <xf numFmtId="180" fontId="47" fillId="0" borderId="21" xfId="33" applyNumberFormat="1" applyFont="1" applyBorder="1" applyAlignment="1">
      <alignment horizontal="right" vertical="justify"/>
    </xf>
    <xf numFmtId="37" fontId="47" fillId="0" borderId="20" xfId="33" quotePrefix="1" applyNumberFormat="1" applyFont="1" applyBorder="1" applyAlignment="1">
      <alignment horizontal="right" vertical="justify"/>
    </xf>
    <xf numFmtId="37" fontId="47" fillId="0" borderId="0" xfId="33" quotePrefix="1" applyNumberFormat="1" applyFont="1" applyAlignment="1">
      <alignment horizontal="right" vertical="justify"/>
    </xf>
    <xf numFmtId="37" fontId="47" fillId="0" borderId="21" xfId="33" quotePrefix="1" applyNumberFormat="1" applyFont="1" applyBorder="1" applyAlignment="1">
      <alignment horizontal="right" vertical="justify"/>
    </xf>
    <xf numFmtId="37" fontId="47" fillId="0" borderId="0" xfId="33" applyNumberFormat="1" applyFont="1" applyAlignment="1">
      <alignment horizontal="right" vertical="justify"/>
    </xf>
    <xf numFmtId="37" fontId="47" fillId="0" borderId="21" xfId="33" applyNumberFormat="1" applyFont="1" applyBorder="1" applyAlignment="1">
      <alignment horizontal="right" vertical="justify"/>
    </xf>
    <xf numFmtId="37" fontId="47" fillId="0" borderId="22" xfId="33" quotePrefix="1" applyNumberFormat="1" applyFont="1" applyBorder="1" applyAlignment="1">
      <alignment horizontal="right" vertical="justify"/>
    </xf>
    <xf numFmtId="37" fontId="47" fillId="0" borderId="14" xfId="33" quotePrefix="1" applyNumberFormat="1" applyFont="1" applyBorder="1" applyAlignment="1">
      <alignment horizontal="right" vertical="justify"/>
    </xf>
    <xf numFmtId="37" fontId="47" fillId="0" borderId="23" xfId="33" quotePrefix="1" applyNumberFormat="1" applyFont="1" applyBorder="1" applyAlignment="1">
      <alignment horizontal="right" vertical="justify"/>
    </xf>
    <xf numFmtId="37" fontId="47" fillId="0" borderId="14" xfId="33" applyNumberFormat="1" applyFont="1" applyBorder="1" applyAlignment="1">
      <alignment horizontal="right" vertical="justify"/>
    </xf>
    <xf numFmtId="37" fontId="47" fillId="0" borderId="23" xfId="33" applyNumberFormat="1" applyFont="1" applyBorder="1" applyAlignment="1">
      <alignment horizontal="right" vertical="justify"/>
    </xf>
    <xf numFmtId="37" fontId="47" fillId="0" borderId="0" xfId="33" quotePrefix="1" applyNumberFormat="1" applyFont="1" applyBorder="1" applyAlignment="1">
      <alignment horizontal="right" vertical="justify"/>
    </xf>
    <xf numFmtId="37" fontId="47" fillId="0" borderId="0" xfId="33" applyNumberFormat="1" applyFont="1" applyBorder="1" applyAlignment="1">
      <alignment horizontal="right" vertical="justify"/>
    </xf>
    <xf numFmtId="37" fontId="47" fillId="0" borderId="24" xfId="33" quotePrefix="1" applyNumberFormat="1" applyFont="1" applyBorder="1" applyAlignment="1">
      <alignment horizontal="right" vertical="justify"/>
    </xf>
    <xf numFmtId="37" fontId="47" fillId="0" borderId="25" xfId="33" quotePrefix="1" applyNumberFormat="1" applyFont="1" applyBorder="1" applyAlignment="1">
      <alignment horizontal="right" vertical="justify"/>
    </xf>
    <xf numFmtId="37" fontId="47" fillId="0" borderId="26" xfId="33" quotePrefix="1" applyNumberFormat="1" applyFont="1" applyBorder="1" applyAlignment="1">
      <alignment horizontal="right" vertical="justify"/>
    </xf>
    <xf numFmtId="37" fontId="47" fillId="0" borderId="25" xfId="33" applyNumberFormat="1" applyFont="1" applyBorder="1" applyAlignment="1">
      <alignment horizontal="right" vertical="justify"/>
    </xf>
    <xf numFmtId="37" fontId="47" fillId="0" borderId="26" xfId="33" applyNumberFormat="1" applyFont="1" applyBorder="1" applyAlignment="1">
      <alignment horizontal="right" vertical="justify"/>
    </xf>
    <xf numFmtId="180" fontId="47" fillId="0" borderId="27" xfId="33" quotePrefix="1" applyNumberFormat="1" applyFont="1" applyBorder="1" applyAlignment="1">
      <alignment horizontal="right" vertical="justify"/>
    </xf>
    <xf numFmtId="180" fontId="47" fillId="0" borderId="28" xfId="33" quotePrefix="1" applyNumberFormat="1" applyFont="1" applyBorder="1" applyAlignment="1">
      <alignment horizontal="right" vertical="justify"/>
    </xf>
    <xf numFmtId="180" fontId="47" fillId="0" borderId="29" xfId="33" quotePrefix="1" applyNumberFormat="1" applyFont="1" applyBorder="1" applyAlignment="1">
      <alignment horizontal="right" vertical="justify"/>
    </xf>
    <xf numFmtId="180" fontId="47" fillId="0" borderId="28" xfId="33" applyNumberFormat="1" applyFont="1" applyBorder="1" applyAlignment="1">
      <alignment horizontal="right" vertical="justify"/>
    </xf>
    <xf numFmtId="180" fontId="47" fillId="0" borderId="29" xfId="33" applyNumberFormat="1" applyFont="1" applyBorder="1" applyAlignment="1">
      <alignment horizontal="right" vertical="justify"/>
    </xf>
    <xf numFmtId="168" fontId="47" fillId="0" borderId="20" xfId="30" quotePrefix="1" applyNumberFormat="1" applyFont="1" applyBorder="1" applyAlignment="1">
      <alignment horizontal="right" vertical="justify"/>
    </xf>
    <xf numFmtId="168" fontId="47" fillId="0" borderId="0" xfId="30" quotePrefix="1" applyNumberFormat="1" applyFont="1" applyAlignment="1">
      <alignment horizontal="right" vertical="justify"/>
    </xf>
    <xf numFmtId="168" fontId="47" fillId="0" borderId="21" xfId="30" quotePrefix="1" applyNumberFormat="1" applyFont="1" applyBorder="1" applyAlignment="1">
      <alignment horizontal="right" vertical="justify"/>
    </xf>
    <xf numFmtId="168" fontId="47" fillId="0" borderId="0" xfId="30" applyNumberFormat="1" applyFont="1" applyAlignment="1">
      <alignment horizontal="right" vertical="justify"/>
    </xf>
    <xf numFmtId="168" fontId="47" fillId="0" borderId="21" xfId="30" applyNumberFormat="1" applyFont="1" applyBorder="1" applyAlignment="1">
      <alignment horizontal="right" vertical="justify"/>
    </xf>
    <xf numFmtId="168" fontId="47" fillId="0" borderId="20" xfId="30" applyNumberFormat="1" applyFont="1" applyBorder="1" applyAlignment="1">
      <alignment horizontal="right" vertical="justify"/>
    </xf>
    <xf numFmtId="168" fontId="47" fillId="0" borderId="27" xfId="30" quotePrefix="1" applyNumberFormat="1" applyFont="1" applyBorder="1" applyAlignment="1">
      <alignment horizontal="right" vertical="justify"/>
    </xf>
    <xf numFmtId="168" fontId="47" fillId="0" borderId="28" xfId="30" quotePrefix="1" applyNumberFormat="1" applyFont="1" applyBorder="1" applyAlignment="1">
      <alignment horizontal="right" vertical="justify"/>
    </xf>
    <xf numFmtId="168" fontId="47" fillId="0" borderId="29" xfId="30" quotePrefix="1" applyNumberFormat="1" applyFont="1" applyBorder="1" applyAlignment="1">
      <alignment horizontal="right" vertical="justify"/>
    </xf>
    <xf numFmtId="168" fontId="47" fillId="0" borderId="28" xfId="30" applyNumberFormat="1" applyFont="1" applyBorder="1" applyAlignment="1">
      <alignment horizontal="right" vertical="justify"/>
    </xf>
    <xf numFmtId="168" fontId="47" fillId="0" borderId="29" xfId="30" applyNumberFormat="1" applyFont="1" applyBorder="1" applyAlignment="1">
      <alignment horizontal="right" vertical="justify"/>
    </xf>
    <xf numFmtId="0" fontId="92" fillId="0" borderId="0" xfId="0" quotePrefix="1" applyFont="1" applyFill="1" applyAlignment="1">
      <alignment horizontal="center"/>
    </xf>
    <xf numFmtId="37" fontId="90" fillId="0" borderId="20" xfId="0" applyNumberFormat="1" applyFont="1" applyFill="1" applyBorder="1"/>
    <xf numFmtId="37" fontId="90" fillId="0" borderId="21" xfId="0" applyNumberFormat="1" applyFont="1" applyFill="1" applyBorder="1"/>
    <xf numFmtId="37" fontId="47" fillId="0" borderId="20" xfId="33" quotePrefix="1" applyNumberFormat="1" applyFont="1" applyFill="1" applyBorder="1" applyAlignment="1">
      <alignment horizontal="right" vertical="justify"/>
    </xf>
    <xf numFmtId="37" fontId="47" fillId="0" borderId="0" xfId="33" quotePrefix="1" applyNumberFormat="1" applyFont="1" applyFill="1" applyAlignment="1">
      <alignment horizontal="right" vertical="justify"/>
    </xf>
    <xf numFmtId="37" fontId="90" fillId="0" borderId="21" xfId="30" applyNumberFormat="1" applyFont="1" applyFill="1" applyBorder="1"/>
    <xf numFmtId="37" fontId="47" fillId="0" borderId="21" xfId="33" quotePrefix="1" applyNumberFormat="1" applyFont="1" applyFill="1" applyBorder="1" applyAlignment="1">
      <alignment horizontal="right" vertical="justify"/>
    </xf>
    <xf numFmtId="37" fontId="90" fillId="0" borderId="22" xfId="0" applyNumberFormat="1" applyFont="1" applyFill="1" applyBorder="1"/>
    <xf numFmtId="37" fontId="90" fillId="0" borderId="23" xfId="0" applyNumberFormat="1" applyFont="1" applyFill="1" applyBorder="1"/>
    <xf numFmtId="37" fontId="47" fillId="0" borderId="22" xfId="33" quotePrefix="1" applyNumberFormat="1" applyFont="1" applyFill="1" applyBorder="1" applyAlignment="1">
      <alignment horizontal="right" vertical="justify"/>
    </xf>
    <xf numFmtId="180" fontId="90" fillId="0" borderId="27" xfId="33" applyNumberFormat="1" applyFill="1" applyBorder="1"/>
    <xf numFmtId="180" fontId="90" fillId="0" borderId="28" xfId="33" applyNumberFormat="1" applyFill="1" applyBorder="1"/>
    <xf numFmtId="180" fontId="90" fillId="0" borderId="29" xfId="33" applyNumberFormat="1" applyFill="1" applyBorder="1"/>
    <xf numFmtId="0" fontId="0" fillId="40" borderId="0" xfId="0" applyFill="1"/>
    <xf numFmtId="0" fontId="9" fillId="40" borderId="39" xfId="0" applyFont="1" applyFill="1" applyBorder="1" applyAlignment="1">
      <alignment horizontal="center" wrapText="1"/>
    </xf>
    <xf numFmtId="0" fontId="9" fillId="40" borderId="40" xfId="0" applyFont="1" applyFill="1" applyBorder="1" applyAlignment="1">
      <alignment horizontal="center" wrapText="1"/>
    </xf>
    <xf numFmtId="0" fontId="0" fillId="40" borderId="41" xfId="0" applyFill="1" applyBorder="1"/>
    <xf numFmtId="0" fontId="0" fillId="40" borderId="42" xfId="0" applyFill="1" applyBorder="1"/>
    <xf numFmtId="168" fontId="0" fillId="40" borderId="41" xfId="0" applyNumberFormat="1" applyFill="1" applyBorder="1"/>
    <xf numFmtId="191" fontId="0" fillId="40" borderId="42" xfId="0" applyNumberFormat="1" applyFill="1" applyBorder="1"/>
    <xf numFmtId="168" fontId="0" fillId="40" borderId="43" xfId="0" applyNumberFormat="1" applyFill="1" applyBorder="1"/>
    <xf numFmtId="191" fontId="0" fillId="40" borderId="44" xfId="0" applyNumberFormat="1" applyFill="1" applyBorder="1"/>
    <xf numFmtId="168" fontId="80" fillId="35" borderId="0" xfId="28" applyNumberFormat="1" applyFont="1" applyFill="1"/>
    <xf numFmtId="168" fontId="80" fillId="35" borderId="0" xfId="0" applyNumberFormat="1" applyFont="1" applyFill="1"/>
    <xf numFmtId="0" fontId="9" fillId="40" borderId="45" xfId="0" applyFont="1" applyFill="1" applyBorder="1" applyAlignment="1">
      <alignment horizontal="center" wrapText="1"/>
    </xf>
    <xf numFmtId="0" fontId="9" fillId="40" borderId="46" xfId="0" applyFont="1" applyFill="1" applyBorder="1" applyAlignment="1">
      <alignment horizontal="center" wrapText="1"/>
    </xf>
    <xf numFmtId="3" fontId="3" fillId="34" borderId="0" xfId="0" applyNumberFormat="1" applyFont="1" applyFill="1" applyBorder="1" applyAlignment="1">
      <alignment horizontal="center"/>
    </xf>
    <xf numFmtId="3" fontId="3" fillId="34" borderId="0" xfId="0" applyNumberFormat="1" applyFont="1" applyFill="1" applyAlignment="1">
      <alignment horizontal="center"/>
    </xf>
    <xf numFmtId="0" fontId="9" fillId="0" borderId="0" xfId="0" applyFont="1" applyAlignment="1">
      <alignment vertical="top" wrapText="1"/>
    </xf>
    <xf numFmtId="0" fontId="71" fillId="0" borderId="0" xfId="0" applyFont="1" applyAlignment="1">
      <alignment vertical="top" wrapText="1"/>
    </xf>
    <xf numFmtId="0" fontId="9" fillId="0" borderId="0" xfId="45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182" fontId="9" fillId="0" borderId="0" xfId="0" applyNumberFormat="1" applyFont="1" applyAlignment="1">
      <alignment horizontal="center" vertical="top" wrapText="1"/>
    </xf>
    <xf numFmtId="0" fontId="72" fillId="0" borderId="0" xfId="0" applyFont="1" applyFill="1" applyAlignment="1">
      <alignment horizontal="left"/>
    </xf>
    <xf numFmtId="0" fontId="72" fillId="0" borderId="0" xfId="45" applyFont="1" applyFill="1" applyAlignment="1">
      <alignment horizontal="left"/>
    </xf>
    <xf numFmtId="0" fontId="9" fillId="40" borderId="0" xfId="0" applyFont="1" applyFill="1" applyAlignment="1">
      <alignment horizontal="center"/>
    </xf>
    <xf numFmtId="0" fontId="44" fillId="0" borderId="0" xfId="0" applyFont="1" applyAlignment="1">
      <alignment horizontal="left" vertical="top" wrapText="1"/>
    </xf>
    <xf numFmtId="0" fontId="0" fillId="0" borderId="0" xfId="0"/>
    <xf numFmtId="0" fontId="70" fillId="36" borderId="16" xfId="0" applyFont="1" applyFill="1" applyBorder="1" applyAlignment="1">
      <alignment horizontal="left"/>
    </xf>
    <xf numFmtId="0" fontId="70" fillId="36" borderId="37" xfId="0" applyFont="1" applyFill="1" applyBorder="1" applyAlignment="1">
      <alignment horizontal="left"/>
    </xf>
    <xf numFmtId="0" fontId="70" fillId="36" borderId="38" xfId="0" applyFont="1" applyFill="1" applyBorder="1" applyAlignment="1">
      <alignment horizontal="left"/>
    </xf>
    <xf numFmtId="0" fontId="64" fillId="0" borderId="0" xfId="0" applyFont="1" applyAlignment="1">
      <alignment horizontal="left" wrapText="1"/>
    </xf>
    <xf numFmtId="0" fontId="69" fillId="36" borderId="0" xfId="0" applyFont="1" applyFill="1" applyAlignment="1">
      <alignment horizontal="left"/>
    </xf>
    <xf numFmtId="0" fontId="69" fillId="36" borderId="33" xfId="0" applyFont="1" applyFill="1" applyBorder="1" applyAlignment="1">
      <alignment horizontal="left"/>
    </xf>
    <xf numFmtId="0" fontId="0" fillId="0" borderId="33" xfId="0" applyBorder="1"/>
    <xf numFmtId="0" fontId="44" fillId="0" borderId="0" xfId="0" applyFont="1" applyAlignment="1">
      <alignment horizontal="left"/>
    </xf>
    <xf numFmtId="0" fontId="9" fillId="0" borderId="0" xfId="0" applyFont="1"/>
    <xf numFmtId="0" fontId="80" fillId="0" borderId="0" xfId="0" applyFont="1" applyAlignment="1">
      <alignment horizontal="left" vertical="top" wrapText="1"/>
    </xf>
    <xf numFmtId="0" fontId="80" fillId="0" borderId="0" xfId="0" applyFont="1"/>
    <xf numFmtId="0" fontId="47" fillId="0" borderId="0" xfId="0" applyFont="1" applyAlignment="1">
      <alignment horizontal="left" vertical="top" wrapText="1"/>
    </xf>
    <xf numFmtId="0" fontId="48" fillId="0" borderId="0" xfId="0" applyFont="1" applyAlignment="1">
      <alignment horizontal="left"/>
    </xf>
    <xf numFmtId="0" fontId="69" fillId="36" borderId="16" xfId="0" applyFont="1" applyFill="1" applyBorder="1" applyAlignment="1">
      <alignment horizontal="left"/>
    </xf>
    <xf numFmtId="0" fontId="69" fillId="36" borderId="37" xfId="0" applyFont="1" applyFill="1" applyBorder="1" applyAlignment="1">
      <alignment horizontal="left"/>
    </xf>
    <xf numFmtId="0" fontId="69" fillId="36" borderId="38" xfId="0" applyFont="1" applyFill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7" fillId="0" borderId="0" xfId="0" applyFont="1" applyAlignment="1">
      <alignment horizontal="left"/>
    </xf>
    <xf numFmtId="0" fontId="86" fillId="0" borderId="0" xfId="0" applyFont="1"/>
    <xf numFmtId="0" fontId="9" fillId="0" borderId="35" xfId="0" applyFont="1" applyBorder="1" applyAlignment="1">
      <alignment horizontal="center"/>
    </xf>
  </cellXfs>
  <cellStyles count="11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urrency" xfId="31" builtinId="4"/>
    <cellStyle name="Currency 2" xfId="32"/>
    <cellStyle name="Currency 3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" xfId="43"/>
    <cellStyle name="Normal 2 2" xfId="44"/>
    <cellStyle name="Normal 3" xfId="45"/>
    <cellStyle name="Normal_2002 Weekly NEL (Spreadsheet)" xfId="46"/>
    <cellStyle name="Normal_2008 Forecast (Monthly)" xfId="47"/>
    <cellStyle name="Note" xfId="48" builtinId="10" customBuiltin="1"/>
    <cellStyle name="Output" xfId="49" builtinId="21" customBuiltin="1"/>
    <cellStyle name="Percent" xfId="50" builtinId="5"/>
    <cellStyle name="SAPBEXaggData" xfId="51"/>
    <cellStyle name="SAPBEXaggDataEmph" xfId="52"/>
    <cellStyle name="SAPBEXaggItem" xfId="53"/>
    <cellStyle name="SAPBEXaggItemX" xfId="54"/>
    <cellStyle name="SAPBEXchaText" xfId="55"/>
    <cellStyle name="SAPBEXexcBad7" xfId="56"/>
    <cellStyle name="SAPBEXexcBad8" xfId="57"/>
    <cellStyle name="SAPBEXexcBad9" xfId="58"/>
    <cellStyle name="SAPBEXexcCritical4" xfId="59"/>
    <cellStyle name="SAPBEXexcCritical5" xfId="60"/>
    <cellStyle name="SAPBEXexcCritical6" xfId="61"/>
    <cellStyle name="SAPBEXexcGood1" xfId="62"/>
    <cellStyle name="SAPBEXexcGood2" xfId="63"/>
    <cellStyle name="SAPBEXexcGood3" xfId="64"/>
    <cellStyle name="SAPBEXfilterDrill" xfId="65"/>
    <cellStyle name="SAPBEXfilterDrill 2" xfId="66"/>
    <cellStyle name="SAPBEXfilterDrill_Feb 12 Revenue Trend (2)" xfId="67"/>
    <cellStyle name="SAPBEXfilterDrill_Jan 12 Revenue Trend (2)" xfId="68"/>
    <cellStyle name="SAPBEXfilterDrill_Mar 12 Revenue Trend" xfId="69"/>
    <cellStyle name="SAPBEXfilterItem" xfId="70"/>
    <cellStyle name="SAPBEXfilterText" xfId="71"/>
    <cellStyle name="SAPBEXformats" xfId="72"/>
    <cellStyle name="SAPBEXheaderItem" xfId="73"/>
    <cellStyle name="SAPBEXheaderItem 2" xfId="74"/>
    <cellStyle name="SAPBEXheaderItem 3" xfId="75"/>
    <cellStyle name="SAPBEXheaderItem 4" xfId="76"/>
    <cellStyle name="SAPBEXheaderText" xfId="77"/>
    <cellStyle name="SAPBEXheaderText 2" xfId="78"/>
    <cellStyle name="SAPBEXheaderText 3" xfId="79"/>
    <cellStyle name="SAPBEXheaderText 4" xfId="80"/>
    <cellStyle name="SAPBEXHLevel0" xfId="81"/>
    <cellStyle name="SAPBEXHLevel0X" xfId="82"/>
    <cellStyle name="SAPBEXHLevel1" xfId="83"/>
    <cellStyle name="SAPBEXHLevel1 2" xfId="84"/>
    <cellStyle name="SAPBEXHLevel1_Feb 12 Revenue Trend (2)" xfId="85"/>
    <cellStyle name="SAPBEXHLevel1_Jan 12 Revenue Trend (2)" xfId="86"/>
    <cellStyle name="SAPBEXHLevel1_Mar 12 Revenue Trend" xfId="87"/>
    <cellStyle name="SAPBEXHLevel1X" xfId="88"/>
    <cellStyle name="SAPBEXHLevel2" xfId="89"/>
    <cellStyle name="SAPBEXHLevel2 2" xfId="90"/>
    <cellStyle name="SAPBEXHLevel2_Feb 12 Revenue Trend (2)" xfId="91"/>
    <cellStyle name="SAPBEXHLevel2_Jan 12 Revenue Trend (2)" xfId="92"/>
    <cellStyle name="SAPBEXHLevel2_Mar 12 Revenue Trend" xfId="93"/>
    <cellStyle name="SAPBEXHLevel2X" xfId="94"/>
    <cellStyle name="SAPBEXHLevel3" xfId="95"/>
    <cellStyle name="SAPBEXHLevel3X" xfId="96"/>
    <cellStyle name="SAPBEXinputData" xfId="97"/>
    <cellStyle name="SAPBEXresData" xfId="98"/>
    <cellStyle name="SAPBEXresDataEmph" xfId="99"/>
    <cellStyle name="SAPBEXresItem" xfId="100"/>
    <cellStyle name="SAPBEXresItemX" xfId="101"/>
    <cellStyle name="SAPBEXstdData" xfId="102"/>
    <cellStyle name="SAPBEXstdData 2" xfId="103"/>
    <cellStyle name="SAPBEXstdData_Feb 12 Revenue Trend (2)" xfId="104"/>
    <cellStyle name="SAPBEXstdData_Jan 12 Revenue Trend (2)" xfId="105"/>
    <cellStyle name="SAPBEXstdData_Mar 12 Revenue Trend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tyle 1" xfId="112"/>
    <cellStyle name="Title" xfId="113" builtinId="15" customBuiltin="1"/>
    <cellStyle name="Total" xfId="114" builtinId="25" customBuiltin="1"/>
    <cellStyle name="Warning Text" xfId="1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externalLink" Target="externalLinks/externalLink12.xml"/><Relationship Id="rId55" Type="http://schemas.openxmlformats.org/officeDocument/2006/relationships/externalLink" Target="externalLinks/externalLink17.xml"/><Relationship Id="rId63" Type="http://schemas.openxmlformats.org/officeDocument/2006/relationships/externalLink" Target="externalLinks/externalLink25.xml"/><Relationship Id="rId68" Type="http://schemas.openxmlformats.org/officeDocument/2006/relationships/externalLink" Target="externalLinks/externalLink30.xml"/><Relationship Id="rId76" Type="http://schemas.openxmlformats.org/officeDocument/2006/relationships/externalLink" Target="externalLinks/externalLink3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externalLink" Target="externalLinks/externalLink15.xml"/><Relationship Id="rId58" Type="http://schemas.openxmlformats.org/officeDocument/2006/relationships/externalLink" Target="externalLinks/externalLink20.xml"/><Relationship Id="rId66" Type="http://schemas.openxmlformats.org/officeDocument/2006/relationships/externalLink" Target="externalLinks/externalLink28.xml"/><Relationship Id="rId74" Type="http://schemas.openxmlformats.org/officeDocument/2006/relationships/externalLink" Target="externalLinks/externalLink36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externalLink" Target="externalLinks/externalLink14.xml"/><Relationship Id="rId60" Type="http://schemas.openxmlformats.org/officeDocument/2006/relationships/externalLink" Target="externalLinks/externalLink22.xml"/><Relationship Id="rId65" Type="http://schemas.openxmlformats.org/officeDocument/2006/relationships/externalLink" Target="externalLinks/externalLink27.xml"/><Relationship Id="rId73" Type="http://schemas.openxmlformats.org/officeDocument/2006/relationships/externalLink" Target="externalLinks/externalLink35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56" Type="http://schemas.openxmlformats.org/officeDocument/2006/relationships/externalLink" Target="externalLinks/externalLink18.xml"/><Relationship Id="rId64" Type="http://schemas.openxmlformats.org/officeDocument/2006/relationships/externalLink" Target="externalLinks/externalLink26.xml"/><Relationship Id="rId69" Type="http://schemas.openxmlformats.org/officeDocument/2006/relationships/externalLink" Target="externalLinks/externalLink31.xml"/><Relationship Id="rId77" Type="http://schemas.openxmlformats.org/officeDocument/2006/relationships/externalLink" Target="externalLinks/externalLink3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3.xml"/><Relationship Id="rId72" Type="http://schemas.openxmlformats.org/officeDocument/2006/relationships/externalLink" Target="externalLinks/externalLink34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59" Type="http://schemas.openxmlformats.org/officeDocument/2006/relationships/externalLink" Target="externalLinks/externalLink21.xml"/><Relationship Id="rId67" Type="http://schemas.openxmlformats.org/officeDocument/2006/relationships/externalLink" Target="externalLinks/externalLink2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Relationship Id="rId54" Type="http://schemas.openxmlformats.org/officeDocument/2006/relationships/externalLink" Target="externalLinks/externalLink16.xml"/><Relationship Id="rId62" Type="http://schemas.openxmlformats.org/officeDocument/2006/relationships/externalLink" Target="externalLinks/externalLink24.xml"/><Relationship Id="rId70" Type="http://schemas.openxmlformats.org/officeDocument/2006/relationships/externalLink" Target="externalLinks/externalLink32.xml"/><Relationship Id="rId75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57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8.emf"/><Relationship Id="rId18" Type="http://schemas.openxmlformats.org/officeDocument/2006/relationships/image" Target="../media/image23.emf"/><Relationship Id="rId26" Type="http://schemas.openxmlformats.org/officeDocument/2006/relationships/image" Target="../media/image31.emf"/><Relationship Id="rId39" Type="http://schemas.openxmlformats.org/officeDocument/2006/relationships/image" Target="../media/image44.emf"/><Relationship Id="rId21" Type="http://schemas.openxmlformats.org/officeDocument/2006/relationships/image" Target="../media/image26.emf"/><Relationship Id="rId34" Type="http://schemas.openxmlformats.org/officeDocument/2006/relationships/image" Target="../media/image39.emf"/><Relationship Id="rId42" Type="http://schemas.openxmlformats.org/officeDocument/2006/relationships/image" Target="../media/image47.emf"/><Relationship Id="rId47" Type="http://schemas.openxmlformats.org/officeDocument/2006/relationships/image" Target="../media/image52.emf"/><Relationship Id="rId50" Type="http://schemas.openxmlformats.org/officeDocument/2006/relationships/image" Target="../media/image55.emf"/><Relationship Id="rId55" Type="http://schemas.openxmlformats.org/officeDocument/2006/relationships/image" Target="../media/image60.emf"/><Relationship Id="rId63" Type="http://schemas.openxmlformats.org/officeDocument/2006/relationships/image" Target="../media/image68.emf"/><Relationship Id="rId68" Type="http://schemas.openxmlformats.org/officeDocument/2006/relationships/image" Target="../media/image73.emf"/><Relationship Id="rId76" Type="http://schemas.openxmlformats.org/officeDocument/2006/relationships/image" Target="../media/image81.emf"/><Relationship Id="rId84" Type="http://schemas.openxmlformats.org/officeDocument/2006/relationships/image" Target="../media/image89.emf"/><Relationship Id="rId7" Type="http://schemas.openxmlformats.org/officeDocument/2006/relationships/image" Target="../media/image12.emf"/><Relationship Id="rId71" Type="http://schemas.openxmlformats.org/officeDocument/2006/relationships/image" Target="../media/image76.emf"/><Relationship Id="rId2" Type="http://schemas.openxmlformats.org/officeDocument/2006/relationships/image" Target="../media/image7.emf"/><Relationship Id="rId16" Type="http://schemas.openxmlformats.org/officeDocument/2006/relationships/image" Target="../media/image21.emf"/><Relationship Id="rId29" Type="http://schemas.openxmlformats.org/officeDocument/2006/relationships/image" Target="../media/image34.emf"/><Relationship Id="rId11" Type="http://schemas.openxmlformats.org/officeDocument/2006/relationships/image" Target="../media/image16.emf"/><Relationship Id="rId24" Type="http://schemas.openxmlformats.org/officeDocument/2006/relationships/image" Target="../media/image29.emf"/><Relationship Id="rId32" Type="http://schemas.openxmlformats.org/officeDocument/2006/relationships/image" Target="../media/image37.emf"/><Relationship Id="rId37" Type="http://schemas.openxmlformats.org/officeDocument/2006/relationships/image" Target="../media/image42.emf"/><Relationship Id="rId40" Type="http://schemas.openxmlformats.org/officeDocument/2006/relationships/image" Target="../media/image45.emf"/><Relationship Id="rId45" Type="http://schemas.openxmlformats.org/officeDocument/2006/relationships/image" Target="../media/image50.emf"/><Relationship Id="rId53" Type="http://schemas.openxmlformats.org/officeDocument/2006/relationships/image" Target="../media/image58.emf"/><Relationship Id="rId58" Type="http://schemas.openxmlformats.org/officeDocument/2006/relationships/image" Target="../media/image63.emf"/><Relationship Id="rId66" Type="http://schemas.openxmlformats.org/officeDocument/2006/relationships/image" Target="../media/image71.emf"/><Relationship Id="rId74" Type="http://schemas.openxmlformats.org/officeDocument/2006/relationships/image" Target="../media/image79.emf"/><Relationship Id="rId79" Type="http://schemas.openxmlformats.org/officeDocument/2006/relationships/image" Target="../media/image84.emf"/><Relationship Id="rId87" Type="http://schemas.openxmlformats.org/officeDocument/2006/relationships/image" Target="../media/image92.emf"/><Relationship Id="rId5" Type="http://schemas.openxmlformats.org/officeDocument/2006/relationships/image" Target="../media/image10.emf"/><Relationship Id="rId61" Type="http://schemas.openxmlformats.org/officeDocument/2006/relationships/image" Target="../media/image66.emf"/><Relationship Id="rId82" Type="http://schemas.openxmlformats.org/officeDocument/2006/relationships/image" Target="../media/image87.emf"/><Relationship Id="rId19" Type="http://schemas.openxmlformats.org/officeDocument/2006/relationships/image" Target="../media/image24.emf"/><Relationship Id="rId4" Type="http://schemas.openxmlformats.org/officeDocument/2006/relationships/image" Target="../media/image9.emf"/><Relationship Id="rId9" Type="http://schemas.openxmlformats.org/officeDocument/2006/relationships/image" Target="../media/image14.emf"/><Relationship Id="rId14" Type="http://schemas.openxmlformats.org/officeDocument/2006/relationships/image" Target="../media/image19.emf"/><Relationship Id="rId22" Type="http://schemas.openxmlformats.org/officeDocument/2006/relationships/image" Target="../media/image27.emf"/><Relationship Id="rId27" Type="http://schemas.openxmlformats.org/officeDocument/2006/relationships/image" Target="../media/image32.emf"/><Relationship Id="rId30" Type="http://schemas.openxmlformats.org/officeDocument/2006/relationships/image" Target="../media/image35.emf"/><Relationship Id="rId35" Type="http://schemas.openxmlformats.org/officeDocument/2006/relationships/image" Target="../media/image40.emf"/><Relationship Id="rId43" Type="http://schemas.openxmlformats.org/officeDocument/2006/relationships/image" Target="../media/image48.emf"/><Relationship Id="rId48" Type="http://schemas.openxmlformats.org/officeDocument/2006/relationships/image" Target="../media/image53.emf"/><Relationship Id="rId56" Type="http://schemas.openxmlformats.org/officeDocument/2006/relationships/image" Target="../media/image61.emf"/><Relationship Id="rId64" Type="http://schemas.openxmlformats.org/officeDocument/2006/relationships/image" Target="../media/image69.emf"/><Relationship Id="rId69" Type="http://schemas.openxmlformats.org/officeDocument/2006/relationships/image" Target="../media/image74.emf"/><Relationship Id="rId77" Type="http://schemas.openxmlformats.org/officeDocument/2006/relationships/image" Target="../media/image82.emf"/><Relationship Id="rId8" Type="http://schemas.openxmlformats.org/officeDocument/2006/relationships/image" Target="../media/image13.emf"/><Relationship Id="rId51" Type="http://schemas.openxmlformats.org/officeDocument/2006/relationships/image" Target="../media/image56.emf"/><Relationship Id="rId72" Type="http://schemas.openxmlformats.org/officeDocument/2006/relationships/image" Target="../media/image77.emf"/><Relationship Id="rId80" Type="http://schemas.openxmlformats.org/officeDocument/2006/relationships/image" Target="../media/image85.emf"/><Relationship Id="rId85" Type="http://schemas.openxmlformats.org/officeDocument/2006/relationships/image" Target="../media/image90.emf"/><Relationship Id="rId3" Type="http://schemas.openxmlformats.org/officeDocument/2006/relationships/image" Target="../media/image8.emf"/><Relationship Id="rId12" Type="http://schemas.openxmlformats.org/officeDocument/2006/relationships/image" Target="../media/image17.emf"/><Relationship Id="rId17" Type="http://schemas.openxmlformats.org/officeDocument/2006/relationships/image" Target="../media/image22.emf"/><Relationship Id="rId25" Type="http://schemas.openxmlformats.org/officeDocument/2006/relationships/image" Target="../media/image30.emf"/><Relationship Id="rId33" Type="http://schemas.openxmlformats.org/officeDocument/2006/relationships/image" Target="../media/image38.emf"/><Relationship Id="rId38" Type="http://schemas.openxmlformats.org/officeDocument/2006/relationships/image" Target="../media/image43.emf"/><Relationship Id="rId46" Type="http://schemas.openxmlformats.org/officeDocument/2006/relationships/image" Target="../media/image51.emf"/><Relationship Id="rId59" Type="http://schemas.openxmlformats.org/officeDocument/2006/relationships/image" Target="../media/image64.emf"/><Relationship Id="rId67" Type="http://schemas.openxmlformats.org/officeDocument/2006/relationships/image" Target="../media/image72.emf"/><Relationship Id="rId20" Type="http://schemas.openxmlformats.org/officeDocument/2006/relationships/image" Target="../media/image25.emf"/><Relationship Id="rId41" Type="http://schemas.openxmlformats.org/officeDocument/2006/relationships/image" Target="../media/image46.emf"/><Relationship Id="rId54" Type="http://schemas.openxmlformats.org/officeDocument/2006/relationships/image" Target="../media/image59.emf"/><Relationship Id="rId62" Type="http://schemas.openxmlformats.org/officeDocument/2006/relationships/image" Target="../media/image67.emf"/><Relationship Id="rId70" Type="http://schemas.openxmlformats.org/officeDocument/2006/relationships/image" Target="../media/image75.emf"/><Relationship Id="rId75" Type="http://schemas.openxmlformats.org/officeDocument/2006/relationships/image" Target="../media/image80.emf"/><Relationship Id="rId83" Type="http://schemas.openxmlformats.org/officeDocument/2006/relationships/image" Target="../media/image88.emf"/><Relationship Id="rId88" Type="http://schemas.openxmlformats.org/officeDocument/2006/relationships/image" Target="../media/image93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5" Type="http://schemas.openxmlformats.org/officeDocument/2006/relationships/image" Target="../media/image20.emf"/><Relationship Id="rId23" Type="http://schemas.openxmlformats.org/officeDocument/2006/relationships/image" Target="../media/image28.emf"/><Relationship Id="rId28" Type="http://schemas.openxmlformats.org/officeDocument/2006/relationships/image" Target="../media/image33.emf"/><Relationship Id="rId36" Type="http://schemas.openxmlformats.org/officeDocument/2006/relationships/image" Target="../media/image41.emf"/><Relationship Id="rId49" Type="http://schemas.openxmlformats.org/officeDocument/2006/relationships/image" Target="../media/image54.emf"/><Relationship Id="rId57" Type="http://schemas.openxmlformats.org/officeDocument/2006/relationships/image" Target="../media/image62.emf"/><Relationship Id="rId10" Type="http://schemas.openxmlformats.org/officeDocument/2006/relationships/image" Target="../media/image15.emf"/><Relationship Id="rId31" Type="http://schemas.openxmlformats.org/officeDocument/2006/relationships/image" Target="../media/image36.emf"/><Relationship Id="rId44" Type="http://schemas.openxmlformats.org/officeDocument/2006/relationships/image" Target="../media/image49.emf"/><Relationship Id="rId52" Type="http://schemas.openxmlformats.org/officeDocument/2006/relationships/image" Target="../media/image57.emf"/><Relationship Id="rId60" Type="http://schemas.openxmlformats.org/officeDocument/2006/relationships/image" Target="../media/image65.emf"/><Relationship Id="rId65" Type="http://schemas.openxmlformats.org/officeDocument/2006/relationships/image" Target="../media/image70.emf"/><Relationship Id="rId73" Type="http://schemas.openxmlformats.org/officeDocument/2006/relationships/image" Target="../media/image78.emf"/><Relationship Id="rId78" Type="http://schemas.openxmlformats.org/officeDocument/2006/relationships/image" Target="../media/image83.emf"/><Relationship Id="rId81" Type="http://schemas.openxmlformats.org/officeDocument/2006/relationships/image" Target="../media/image86.emf"/><Relationship Id="rId86" Type="http://schemas.openxmlformats.org/officeDocument/2006/relationships/image" Target="../media/image91.emf"/></Relationships>
</file>

<file path=xl/drawings/_rels/vmlDrawing18.vml.rels><?xml version="1.0" encoding="UTF-8" standalone="yes"?>
<Relationships xmlns="http://schemas.openxmlformats.org/package/2006/relationships"><Relationship Id="rId8" Type="http://schemas.openxmlformats.org/officeDocument/2006/relationships/image" Target="../media/image99.emf"/><Relationship Id="rId13" Type="http://schemas.openxmlformats.org/officeDocument/2006/relationships/image" Target="../media/image104.emf"/><Relationship Id="rId18" Type="http://schemas.openxmlformats.org/officeDocument/2006/relationships/image" Target="../media/image109.emf"/><Relationship Id="rId26" Type="http://schemas.openxmlformats.org/officeDocument/2006/relationships/image" Target="../media/image115.emf"/><Relationship Id="rId39" Type="http://schemas.openxmlformats.org/officeDocument/2006/relationships/image" Target="../media/image128.emf"/><Relationship Id="rId3" Type="http://schemas.openxmlformats.org/officeDocument/2006/relationships/image" Target="../media/image96.emf"/><Relationship Id="rId21" Type="http://schemas.openxmlformats.org/officeDocument/2006/relationships/image" Target="../media/image23.emf"/><Relationship Id="rId34" Type="http://schemas.openxmlformats.org/officeDocument/2006/relationships/image" Target="../media/image123.emf"/><Relationship Id="rId42" Type="http://schemas.openxmlformats.org/officeDocument/2006/relationships/image" Target="../media/image131.emf"/><Relationship Id="rId47" Type="http://schemas.openxmlformats.org/officeDocument/2006/relationships/image" Target="../media/image136.emf"/><Relationship Id="rId7" Type="http://schemas.openxmlformats.org/officeDocument/2006/relationships/image" Target="../media/image9.emf"/><Relationship Id="rId12" Type="http://schemas.openxmlformats.org/officeDocument/2006/relationships/image" Target="../media/image103.emf"/><Relationship Id="rId17" Type="http://schemas.openxmlformats.org/officeDocument/2006/relationships/image" Target="../media/image108.emf"/><Relationship Id="rId25" Type="http://schemas.openxmlformats.org/officeDocument/2006/relationships/image" Target="../media/image114.emf"/><Relationship Id="rId33" Type="http://schemas.openxmlformats.org/officeDocument/2006/relationships/image" Target="../media/image122.emf"/><Relationship Id="rId38" Type="http://schemas.openxmlformats.org/officeDocument/2006/relationships/image" Target="../media/image127.emf"/><Relationship Id="rId46" Type="http://schemas.openxmlformats.org/officeDocument/2006/relationships/image" Target="../media/image135.emf"/><Relationship Id="rId2" Type="http://schemas.openxmlformats.org/officeDocument/2006/relationships/image" Target="../media/image95.emf"/><Relationship Id="rId16" Type="http://schemas.openxmlformats.org/officeDocument/2006/relationships/image" Target="../media/image107.emf"/><Relationship Id="rId20" Type="http://schemas.openxmlformats.org/officeDocument/2006/relationships/image" Target="../media/image111.emf"/><Relationship Id="rId29" Type="http://schemas.openxmlformats.org/officeDocument/2006/relationships/image" Target="../media/image118.emf"/><Relationship Id="rId41" Type="http://schemas.openxmlformats.org/officeDocument/2006/relationships/image" Target="../media/image130.emf"/><Relationship Id="rId1" Type="http://schemas.openxmlformats.org/officeDocument/2006/relationships/image" Target="../media/image94.emf"/><Relationship Id="rId6" Type="http://schemas.openxmlformats.org/officeDocument/2006/relationships/image" Target="../media/image8.emf"/><Relationship Id="rId11" Type="http://schemas.openxmlformats.org/officeDocument/2006/relationships/image" Target="../media/image102.emf"/><Relationship Id="rId24" Type="http://schemas.openxmlformats.org/officeDocument/2006/relationships/image" Target="../media/image113.emf"/><Relationship Id="rId32" Type="http://schemas.openxmlformats.org/officeDocument/2006/relationships/image" Target="../media/image121.emf"/><Relationship Id="rId37" Type="http://schemas.openxmlformats.org/officeDocument/2006/relationships/image" Target="../media/image126.emf"/><Relationship Id="rId40" Type="http://schemas.openxmlformats.org/officeDocument/2006/relationships/image" Target="../media/image129.emf"/><Relationship Id="rId45" Type="http://schemas.openxmlformats.org/officeDocument/2006/relationships/image" Target="../media/image134.emf"/><Relationship Id="rId5" Type="http://schemas.openxmlformats.org/officeDocument/2006/relationships/image" Target="../media/image98.emf"/><Relationship Id="rId15" Type="http://schemas.openxmlformats.org/officeDocument/2006/relationships/image" Target="../media/image106.emf"/><Relationship Id="rId23" Type="http://schemas.openxmlformats.org/officeDocument/2006/relationships/image" Target="../media/image112.emf"/><Relationship Id="rId28" Type="http://schemas.openxmlformats.org/officeDocument/2006/relationships/image" Target="../media/image117.emf"/><Relationship Id="rId36" Type="http://schemas.openxmlformats.org/officeDocument/2006/relationships/image" Target="../media/image125.emf"/><Relationship Id="rId10" Type="http://schemas.openxmlformats.org/officeDocument/2006/relationships/image" Target="../media/image101.emf"/><Relationship Id="rId19" Type="http://schemas.openxmlformats.org/officeDocument/2006/relationships/image" Target="../media/image110.emf"/><Relationship Id="rId31" Type="http://schemas.openxmlformats.org/officeDocument/2006/relationships/image" Target="../media/image120.emf"/><Relationship Id="rId44" Type="http://schemas.openxmlformats.org/officeDocument/2006/relationships/image" Target="../media/image133.emf"/><Relationship Id="rId4" Type="http://schemas.openxmlformats.org/officeDocument/2006/relationships/image" Target="../media/image97.emf"/><Relationship Id="rId9" Type="http://schemas.openxmlformats.org/officeDocument/2006/relationships/image" Target="../media/image100.emf"/><Relationship Id="rId14" Type="http://schemas.openxmlformats.org/officeDocument/2006/relationships/image" Target="../media/image105.emf"/><Relationship Id="rId22" Type="http://schemas.openxmlformats.org/officeDocument/2006/relationships/image" Target="../media/image24.emf"/><Relationship Id="rId27" Type="http://schemas.openxmlformats.org/officeDocument/2006/relationships/image" Target="../media/image116.emf"/><Relationship Id="rId30" Type="http://schemas.openxmlformats.org/officeDocument/2006/relationships/image" Target="../media/image119.emf"/><Relationship Id="rId35" Type="http://schemas.openxmlformats.org/officeDocument/2006/relationships/image" Target="../media/image124.emf"/><Relationship Id="rId43" Type="http://schemas.openxmlformats.org/officeDocument/2006/relationships/image" Target="../media/image132.emf"/><Relationship Id="rId48" Type="http://schemas.openxmlformats.org/officeDocument/2006/relationships/image" Target="../media/image13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16</xdr:col>
      <xdr:colOff>746760</xdr:colOff>
      <xdr:row>54</xdr:row>
      <xdr:rowOff>236220</xdr:rowOff>
    </xdr:to>
    <xdr:pic macro="[6]!DesignIconClicked">
      <xdr:nvPicPr>
        <xdr:cNvPr id="81921" name="BExQL6K28CT8X5U51X66W8Q8JEME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735580"/>
          <a:ext cx="15552420" cy="824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784860</xdr:colOff>
      <xdr:row>3</xdr:row>
      <xdr:rowOff>274320</xdr:rowOff>
    </xdr:to>
    <xdr:pic macro="[6]!DesignIconClicked">
      <xdr:nvPicPr>
        <xdr:cNvPr id="81922" name="BEx5ETJ4OKPFCZRZSVVXCEZT4VBE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402080"/>
          <a:ext cx="390906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2</xdr:col>
      <xdr:colOff>784860</xdr:colOff>
      <xdr:row>6</xdr:row>
      <xdr:rowOff>121920</xdr:rowOff>
    </xdr:to>
    <xdr:pic macro="[6]!DesignIconClicked">
      <xdr:nvPicPr>
        <xdr:cNvPr id="81923" name="BEx9AAPWQHAHLKM7GGMZA2WK1TR2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668780"/>
          <a:ext cx="390906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16</xdr:col>
      <xdr:colOff>746760</xdr:colOff>
      <xdr:row>62</xdr:row>
      <xdr:rowOff>160020</xdr:rowOff>
    </xdr:to>
    <xdr:pic macro="[6]!DesignIconClicked">
      <xdr:nvPicPr>
        <xdr:cNvPr id="81924" name="BEx1VFYDIRZDF1IAUUGAAIA90FMB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11163300"/>
          <a:ext cx="1555242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2</xdr:col>
      <xdr:colOff>784860</xdr:colOff>
      <xdr:row>58</xdr:row>
      <xdr:rowOff>121920</xdr:rowOff>
    </xdr:to>
    <xdr:pic macro="[6]!DesignIconClicked">
      <xdr:nvPicPr>
        <xdr:cNvPr id="81925" name="BExSE100UNEV3N64TOHYMNBFLW3H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1163300"/>
          <a:ext cx="390906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16</xdr:col>
      <xdr:colOff>746760</xdr:colOff>
      <xdr:row>54</xdr:row>
      <xdr:rowOff>236220</xdr:rowOff>
    </xdr:to>
    <xdr:pic macro="[6]!DesignIconClicked">
      <xdr:nvPicPr>
        <xdr:cNvPr id="82945" name="BExUCEAO447TQS9IJZG9M271K1AL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651760"/>
          <a:ext cx="15552420" cy="824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784860</xdr:colOff>
      <xdr:row>3</xdr:row>
      <xdr:rowOff>274320</xdr:rowOff>
    </xdr:to>
    <xdr:pic macro="[6]!DesignIconClicked">
      <xdr:nvPicPr>
        <xdr:cNvPr id="82946" name="BExW4FIS3D0ZJSVCDYT80MYV0HN0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318260"/>
          <a:ext cx="390906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2</xdr:col>
      <xdr:colOff>784860</xdr:colOff>
      <xdr:row>6</xdr:row>
      <xdr:rowOff>121920</xdr:rowOff>
    </xdr:to>
    <xdr:pic macro="[6]!DesignIconClicked">
      <xdr:nvPicPr>
        <xdr:cNvPr id="82947" name="BEx3O801I0V1104MC088WDFZUAN0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584960"/>
          <a:ext cx="390906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16</xdr:col>
      <xdr:colOff>746760</xdr:colOff>
      <xdr:row>62</xdr:row>
      <xdr:rowOff>160020</xdr:rowOff>
    </xdr:to>
    <xdr:pic macro="[6]!DesignIconClicked">
      <xdr:nvPicPr>
        <xdr:cNvPr id="82948" name="BEx1WVYA2L8I6ZPU5SNXAVVQ0HVZ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11079480"/>
          <a:ext cx="1555242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2</xdr:col>
      <xdr:colOff>784860</xdr:colOff>
      <xdr:row>58</xdr:row>
      <xdr:rowOff>121920</xdr:rowOff>
    </xdr:to>
    <xdr:pic macro="[6]!DesignIconClicked">
      <xdr:nvPicPr>
        <xdr:cNvPr id="82949" name="BEx96O78LMBSRT1KTDJOSFN93R35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" y="11079480"/>
          <a:ext cx="390906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7</xdr:row>
      <xdr:rowOff>38100</xdr:rowOff>
    </xdr:from>
    <xdr:to>
      <xdr:col>5</xdr:col>
      <xdr:colOff>514350</xdr:colOff>
      <xdr:row>8</xdr:row>
      <xdr:rowOff>152400</xdr:rowOff>
    </xdr:to>
    <xdr:cxnSp macro="">
      <xdr:nvCxnSpPr>
        <xdr:cNvPr id="3" name="Straight Arrow Connector 2"/>
        <xdr:cNvCxnSpPr/>
      </xdr:nvCxnSpPr>
      <xdr:spPr>
        <a:xfrm>
          <a:off x="6191250" y="1533525"/>
          <a:ext cx="0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7</xdr:row>
      <xdr:rowOff>0</xdr:rowOff>
    </xdr:from>
    <xdr:to>
      <xdr:col>6</xdr:col>
      <xdr:colOff>276225</xdr:colOff>
      <xdr:row>8</xdr:row>
      <xdr:rowOff>114300</xdr:rowOff>
    </xdr:to>
    <xdr:cxnSp macro="">
      <xdr:nvCxnSpPr>
        <xdr:cNvPr id="4" name="Straight Arrow Connector 3"/>
        <xdr:cNvCxnSpPr/>
      </xdr:nvCxnSpPr>
      <xdr:spPr>
        <a:xfrm>
          <a:off x="6877050" y="1495425"/>
          <a:ext cx="0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7</xdr:row>
      <xdr:rowOff>28575</xdr:rowOff>
    </xdr:from>
    <xdr:to>
      <xdr:col>5</xdr:col>
      <xdr:colOff>457200</xdr:colOff>
      <xdr:row>9</xdr:row>
      <xdr:rowOff>76200</xdr:rowOff>
    </xdr:to>
    <xdr:cxnSp macro="">
      <xdr:nvCxnSpPr>
        <xdr:cNvPr id="3" name="Straight Arrow Connector 2"/>
        <xdr:cNvCxnSpPr/>
      </xdr:nvCxnSpPr>
      <xdr:spPr>
        <a:xfrm>
          <a:off x="6134100" y="1524000"/>
          <a:ext cx="0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7</xdr:row>
      <xdr:rowOff>9525</xdr:rowOff>
    </xdr:from>
    <xdr:to>
      <xdr:col>6</xdr:col>
      <xdr:colOff>285750</xdr:colOff>
      <xdr:row>9</xdr:row>
      <xdr:rowOff>57150</xdr:rowOff>
    </xdr:to>
    <xdr:cxnSp macro="">
      <xdr:nvCxnSpPr>
        <xdr:cNvPr id="4" name="Straight Arrow Connector 3"/>
        <xdr:cNvCxnSpPr/>
      </xdr:nvCxnSpPr>
      <xdr:spPr>
        <a:xfrm>
          <a:off x="6886575" y="1504950"/>
          <a:ext cx="0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7</xdr:row>
      <xdr:rowOff>47625</xdr:rowOff>
    </xdr:from>
    <xdr:to>
      <xdr:col>5</xdr:col>
      <xdr:colOff>485775</xdr:colOff>
      <xdr:row>10</xdr:row>
      <xdr:rowOff>47625</xdr:rowOff>
    </xdr:to>
    <xdr:cxnSp macro="">
      <xdr:nvCxnSpPr>
        <xdr:cNvPr id="3" name="Straight Arrow Connector 2"/>
        <xdr:cNvCxnSpPr/>
      </xdr:nvCxnSpPr>
      <xdr:spPr>
        <a:xfrm>
          <a:off x="6162675" y="1381125"/>
          <a:ext cx="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352425</xdr:colOff>
      <xdr:row>7</xdr:row>
      <xdr:rowOff>28575</xdr:rowOff>
    </xdr:from>
    <xdr:to>
      <xdr:col>6</xdr:col>
      <xdr:colOff>352425</xdr:colOff>
      <xdr:row>10</xdr:row>
      <xdr:rowOff>28575</xdr:rowOff>
    </xdr:to>
    <xdr:cxnSp macro="">
      <xdr:nvCxnSpPr>
        <xdr:cNvPr id="4" name="Straight Arrow Connector 3"/>
        <xdr:cNvCxnSpPr/>
      </xdr:nvCxnSpPr>
      <xdr:spPr>
        <a:xfrm>
          <a:off x="6953250" y="1362075"/>
          <a:ext cx="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38</xdr:row>
      <xdr:rowOff>0</xdr:rowOff>
    </xdr:from>
    <xdr:to>
      <xdr:col>17</xdr:col>
      <xdr:colOff>152400</xdr:colOff>
      <xdr:row>38</xdr:row>
      <xdr:rowOff>152400</xdr:rowOff>
    </xdr:to>
    <xdr:pic>
      <xdr:nvPicPr>
        <xdr:cNvPr id="29804" name="Picture 34" descr="Minus Font Si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92100" y="790194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160020</xdr:colOff>
      <xdr:row>38</xdr:row>
      <xdr:rowOff>0</xdr:rowOff>
    </xdr:from>
    <xdr:to>
      <xdr:col>17</xdr:col>
      <xdr:colOff>312420</xdr:colOff>
      <xdr:row>38</xdr:row>
      <xdr:rowOff>152400</xdr:rowOff>
    </xdr:to>
    <xdr:pic>
      <xdr:nvPicPr>
        <xdr:cNvPr id="29805" name="Picture 35" descr="Plus Font Si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52120" y="790194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152400</xdr:colOff>
      <xdr:row>36</xdr:row>
      <xdr:rowOff>114300</xdr:rowOff>
    </xdr:to>
    <xdr:pic>
      <xdr:nvPicPr>
        <xdr:cNvPr id="29806" name="Picture 33"/>
        <xdr:cNvPicPr>
          <a:picLocks noGrp="1"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92100" y="7200900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6677" name="Picture 2" descr="Minus Font Si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3256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160020</xdr:colOff>
      <xdr:row>3</xdr:row>
      <xdr:rowOff>0</xdr:rowOff>
    </xdr:from>
    <xdr:to>
      <xdr:col>0</xdr:col>
      <xdr:colOff>312420</xdr:colOff>
      <xdr:row>3</xdr:row>
      <xdr:rowOff>152400</xdr:rowOff>
    </xdr:to>
    <xdr:pic>
      <xdr:nvPicPr>
        <xdr:cNvPr id="26678" name="Picture 3" descr="Plus Font Si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" y="143256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114300</xdr:rowOff>
    </xdr:to>
    <xdr:pic>
      <xdr:nvPicPr>
        <xdr:cNvPr id="26679" name="Picture 1"/>
        <xdr:cNvPicPr>
          <a:picLocks noGrp="1"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99160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_RPT/FRM/02%20CLAUSWK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xm0shs/Local%20Settings/Temporary%20Internet%20Files/Content.Outlook/N75RRS73/Apr%202012%20Revenue%20Tre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ina%20from%20Chris/Revenue%20Trend/2011/05%20May/Revenue%20Trend%2005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z0utf/Local%20Settings/Temporary%20Internet%20Files/Content.Outlook/OW1AYRVQ/May%202012%20Revenue%20Tre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ina%20from%20Chris/Revenue%20Trend/2012/Apr%202012/Apr%202012%20Revenue%20Tren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tina%20from%20Chris/Revenue%20Trend/2011/06%20June/Revenue%20Trend%2006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MOPR%20Variance%20Analysis\June%202012%20Revenue%20Tren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2011%20Update\Distributed%20to%20End%20Users\Peak%20and%20Energy%202012%20Plan%20IncWgt%20CPIEnergy%20Calendar%20no-links_OC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2011%20Update\Working%20Files%202011\2011_LT_Inpu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ather%20Reports\2011%20Weather%20Reports%20and%20Data\2011%20Degree%20Formula%20(Fiscal%20&amp;%20Calendar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2011%20Update\Distributed%20to%20End%20Users\Peak%20and%20Energy%202012%20Plan%20IncWgt%20CPIEnergy%20Calendar%20no-link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LEO/WKLY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Forecast%20Products\Customers\1965-To%20Date%20Customers%20by%20Revenue%20Class%20(System%20&amp;%20Division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Monthly%20N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ather%20Reports\2012%20Weather%20Reports%20and%20Data\2012%20Degree%20Formula%20(Calendar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Inactive%20Meters\2012%20Inactive%20Mete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2%20Reports\Monthly%20Reports\February%202012-%20Monthly%20Net%20Energy%20for%20Loa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2%20Reports\Monthly%20Reports\March%202012-%20Monthly%20Net%20Energy%20for%20Loa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2%20Reports\2012%20Net%20Energy%20for%20Load%20Data%20Spreadsheet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Forecast%20Products\Unbilled%20Sales\Copy%20of%20Unbilled_01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Forecast%20Products\Unbilled%20Sales\Copy%20of%20Unbilled_02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Forecast%20Products\Unbilled%20Sales\Copy%20of%20Unbilled_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Forecast%20Products\Energy%20Sales\Delivered%20S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1%20Reports\2011%20Net%20Energy%20for%20Load%20Data%20Spreadsheet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1%20Reports\Form%2027A%20Reports\F27a%202011-%20December%20Fina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Working_folders\Zelaya_Harvey\2012%20SAP%20Impact%20wookshe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ff's%2013th%20PODs%20(No.%2090)\2012%20Plan%20MOPR%20Variance%20with%20DSM%20CALENDAR%20Oct%20201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Working_folders\Zelaya_Harvey\2012%20SAP%20Impact%20wook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MTD%20Weather%20Variance\2012\Apr_27_2012%20YTD%20vs%202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Inactive%20Meters\2010%20Inactive%20Meter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Inactive%20Meters\2011%20Inactive%20Meter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ekly%20NEL\2012%20Reports\2012%20Daily%20Net%20Energy%20for%20Loa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Weather%20Reports\2011%20Weather%20Reports%20and%20Data\CDH%20and%20HDH%20Daily%20normals%20for%202011%20(1991-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xm0shs/Local%20Settings/Temporary%20Internet%20Files/Content.Outlook/N75RRS73/Jan%2012%20Revenue%20Trend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xm0shs/Local%20Settings/Temporary%20Internet%20Files/Content.Outlook/N75RRS73/Feb%2012%20Revenue%20Trend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Common%20Files/SAP%20Shared/BW/BExAnalyzer.xla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ina%20from%20Chris/Revenue%20Trend/2011/03%20Mar/Rev%20Trend%2003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ad_Forecasting_Group\Load%20Forecasting%20Reports\MOPR%20Variance%20Analysis\Mar%2012%20Revenue%20Tren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tina%20from%20Chris/Revenue%20Trend/2011/04%20Apr/Revenue%20Trend%20April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/>
      <sheetData sheetId="1"/>
      <sheetData sheetId="2"/>
      <sheetData sheetId="3">
        <row r="68">
          <cell r="O68">
            <v>-530.56636000000003</v>
          </cell>
        </row>
        <row r="69">
          <cell r="O69">
            <v>0</v>
          </cell>
        </row>
        <row r="70">
          <cell r="O70">
            <v>-924.13833999999997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Statistics"/>
      <sheetName val="Actual to PY"/>
    </sheetNames>
    <sheetDataSet>
      <sheetData sheetId="0"/>
      <sheetData sheetId="1"/>
      <sheetData sheetId="2">
        <row r="67">
          <cell r="C67">
            <v>-118.34878</v>
          </cell>
        </row>
        <row r="68">
          <cell r="C68">
            <v>0</v>
          </cell>
        </row>
        <row r="69">
          <cell r="C69">
            <v>-121.46923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/>
      <sheetData sheetId="1"/>
      <sheetData sheetId="2"/>
      <sheetData sheetId="3">
        <row r="68">
          <cell r="F68">
            <v>-143.52527000000001</v>
          </cell>
          <cell r="G68">
            <v>-134.58318</v>
          </cell>
          <cell r="O68">
            <v>-682.89099999999996</v>
          </cell>
        </row>
        <row r="70">
          <cell r="F70">
            <v>-301.11715999999996</v>
          </cell>
          <cell r="G70">
            <v>-267.18453</v>
          </cell>
          <cell r="O70">
            <v>-1320.4515100000001</v>
          </cell>
        </row>
      </sheetData>
      <sheetData sheetId="4"/>
      <sheetData sheetId="5">
        <row r="68">
          <cell r="C68">
            <v>-113.3663</v>
          </cell>
          <cell r="D68">
            <v>-120.75836000000001</v>
          </cell>
          <cell r="E68">
            <v>-114.89097</v>
          </cell>
          <cell r="F68">
            <v>-106.81132000000001</v>
          </cell>
          <cell r="G68">
            <v>-118.34878</v>
          </cell>
        </row>
        <row r="70">
          <cell r="C70">
            <v>-187.00484</v>
          </cell>
          <cell r="D70">
            <v>-67.465559999999996</v>
          </cell>
          <cell r="E70">
            <v>-98.068399999999997</v>
          </cell>
          <cell r="F70">
            <v>-155.92941999999999</v>
          </cell>
          <cell r="G70">
            <v>-121.46923</v>
          </cell>
        </row>
      </sheetData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/>
      <sheetData sheetId="1"/>
      <sheetData sheetId="2"/>
      <sheetData sheetId="3">
        <row r="69">
          <cell r="O69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 refreshError="1"/>
      <sheetData sheetId="1" refreshError="1"/>
      <sheetData sheetId="2">
        <row r="67">
          <cell r="C67">
            <v>-141.17704999999998</v>
          </cell>
        </row>
        <row r="68">
          <cell r="C68">
            <v>0</v>
          </cell>
        </row>
        <row r="69">
          <cell r="C69">
            <v>-201.62836999999999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 refreshError="1"/>
      <sheetData sheetId="1" refreshError="1"/>
      <sheetData sheetId="2"/>
      <sheetData sheetId="3">
        <row r="68">
          <cell r="F68">
            <v>-143.52527000000001</v>
          </cell>
          <cell r="G68">
            <v>-134.58318</v>
          </cell>
          <cell r="H68">
            <v>-151.24781999999999</v>
          </cell>
          <cell r="O68">
            <v>-816.61355000000003</v>
          </cell>
        </row>
        <row r="69">
          <cell r="F69">
            <v>0</v>
          </cell>
          <cell r="G69">
            <v>0</v>
          </cell>
          <cell r="H69">
            <v>0</v>
          </cell>
          <cell r="O69">
            <v>0</v>
          </cell>
        </row>
        <row r="70">
          <cell r="F70">
            <v>-301.11715999999996</v>
          </cell>
          <cell r="G70">
            <v>-267.18453</v>
          </cell>
          <cell r="H70">
            <v>-209.76467</v>
          </cell>
          <cell r="O70">
            <v>-1401.0990200000001</v>
          </cell>
        </row>
      </sheetData>
      <sheetData sheetId="4" refreshError="1"/>
      <sheetData sheetId="5">
        <row r="68">
          <cell r="C68">
            <v>-113.3663</v>
          </cell>
          <cell r="D68">
            <v>-120.75836000000001</v>
          </cell>
          <cell r="E68">
            <v>-114.89097</v>
          </cell>
          <cell r="F68">
            <v>-106.81132000000001</v>
          </cell>
          <cell r="G68">
            <v>-118.34878</v>
          </cell>
          <cell r="H68">
            <v>-141.17704999999998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>
            <v>-187.00484</v>
          </cell>
          <cell r="D70">
            <v>-67.465559999999996</v>
          </cell>
          <cell r="E70">
            <v>-98.068399999999997</v>
          </cell>
          <cell r="F70">
            <v>-155.92941999999999</v>
          </cell>
          <cell r="G70">
            <v>-121.46923</v>
          </cell>
          <cell r="H70">
            <v>-201.62836999999999</v>
          </cell>
        </row>
      </sheetData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mponent_analysis_12"/>
      <sheetName val="component_analysis_1"/>
      <sheetName val="calculation_WN_retail"/>
      <sheetName val="Monthly_NEL_WN"/>
      <sheetName val="Table NEL"/>
      <sheetName val="Hourly_Inputs"/>
      <sheetName val="Summer Peak"/>
      <sheetName val="Winter Peak"/>
      <sheetName val="Monthly Peaks"/>
      <sheetName val="Total_customers_month"/>
      <sheetName val="Customers_revenue_class"/>
      <sheetName val="NEL_Calendar"/>
      <sheetName val="Sales by Class (ST) Delta"/>
      <sheetName val="Sales by Class (ST) "/>
      <sheetName val="NEL,SALES,Unbilled ST"/>
      <sheetName val="Monthly_NEL_Model"/>
      <sheetName val=" NEL,SALES,Unbilled ST Calc"/>
      <sheetName val="Sales(ST)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 PER CUSTOMER"/>
      <sheetName val="Table NEL_no_inc_DSM"/>
      <sheetName val="Table Summer Peak"/>
      <sheetName val="Table SumPK PER CUSTOMER"/>
      <sheetName val="Table Winter Peak"/>
      <sheetName val="Table Florida Population"/>
      <sheetName val="Table Fla Population Avg Annual"/>
      <sheetName val="Table Customers"/>
      <sheetName val="Table Real Per Capita Inc"/>
      <sheetName val="Table Income"/>
      <sheetName val="Table CPI"/>
      <sheetName val="Model Variables"/>
      <sheetName val="Annual Input Check"/>
      <sheetName val="Input Check"/>
    </sheetNames>
    <sheetDataSet>
      <sheetData sheetId="0"/>
      <sheetData sheetId="1"/>
      <sheetData sheetId="2">
        <row r="64">
          <cell r="K64">
            <v>7619667.7579499995</v>
          </cell>
        </row>
        <row r="65">
          <cell r="K65">
            <v>6823773.4127954738</v>
          </cell>
        </row>
        <row r="66">
          <cell r="K66">
            <v>7690004.825303521</v>
          </cell>
        </row>
        <row r="67">
          <cell r="K67">
            <v>7795631.8137212293</v>
          </cell>
        </row>
        <row r="68">
          <cell r="K68">
            <v>8898818.4208626878</v>
          </cell>
        </row>
        <row r="69">
          <cell r="K69">
            <v>9394500.5609653965</v>
          </cell>
        </row>
        <row r="70">
          <cell r="K70">
            <v>10136606.51374303</v>
          </cell>
        </row>
        <row r="71">
          <cell r="K71">
            <v>10141327.767899016</v>
          </cell>
        </row>
        <row r="72">
          <cell r="K72">
            <v>9358601.7415905092</v>
          </cell>
        </row>
        <row r="73">
          <cell r="K73">
            <v>8816668.4823664725</v>
          </cell>
        </row>
        <row r="74">
          <cell r="K74">
            <v>7409206.457252481</v>
          </cell>
        </row>
        <row r="75">
          <cell r="K75">
            <v>7672046.7099064216</v>
          </cell>
        </row>
        <row r="76">
          <cell r="K76">
            <v>7762718.8652583119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>
        <row r="2">
          <cell r="B2">
            <v>1.548202048113029</v>
          </cell>
        </row>
        <row r="3">
          <cell r="B3">
            <v>1.7438085153939766E-2</v>
          </cell>
        </row>
        <row r="4">
          <cell r="B4">
            <v>2.9354163517797079E-3</v>
          </cell>
        </row>
        <row r="5">
          <cell r="B5">
            <v>1.2133267139738657E-3</v>
          </cell>
        </row>
        <row r="6">
          <cell r="B6">
            <v>-2.6984927541592394</v>
          </cell>
        </row>
        <row r="7">
          <cell r="B7">
            <v>-1.7962555069603001</v>
          </cell>
        </row>
        <row r="8">
          <cell r="B8">
            <v>2.2062176858550154E-2</v>
          </cell>
        </row>
        <row r="9">
          <cell r="B9">
            <v>9.8040700862934496E-2</v>
          </cell>
        </row>
        <row r="10">
          <cell r="B10">
            <v>-0.14680895291551435</v>
          </cell>
        </row>
        <row r="11">
          <cell r="B11">
            <v>-3.6304981975131996E-2</v>
          </cell>
        </row>
        <row r="12">
          <cell r="B12">
            <v>-5.4592407450387181E-2</v>
          </cell>
        </row>
        <row r="13">
          <cell r="B13">
            <v>-5.1858489753623678E-2</v>
          </cell>
        </row>
        <row r="14">
          <cell r="B14">
            <v>0.11149920037514183</v>
          </cell>
        </row>
        <row r="15">
          <cell r="B15">
            <v>-5.6538730487937831E-2</v>
          </cell>
        </row>
        <row r="16">
          <cell r="B16">
            <v>0.10606078306781035</v>
          </cell>
        </row>
        <row r="17">
          <cell r="B17">
            <v>-3.7732034739855242E-4</v>
          </cell>
        </row>
        <row r="18">
          <cell r="B18">
            <v>0.32325220069960209</v>
          </cell>
        </row>
        <row r="80">
          <cell r="F80">
            <v>6.4234532803562477E-2</v>
          </cell>
          <cell r="G80">
            <v>6.4971706086031913E-3</v>
          </cell>
          <cell r="H80">
            <v>13.442428621859005</v>
          </cell>
          <cell r="I80">
            <v>233.37247813251901</v>
          </cell>
          <cell r="O80">
            <v>4533028</v>
          </cell>
          <cell r="P80">
            <v>4.1012165022791302E-4</v>
          </cell>
          <cell r="R80">
            <v>1.7486081521744063</v>
          </cell>
          <cell r="S80">
            <v>88944.758000000002</v>
          </cell>
          <cell r="U80">
            <v>539.22184876899769</v>
          </cell>
          <cell r="Z80">
            <v>8015973.6946836133</v>
          </cell>
        </row>
        <row r="81">
          <cell r="F81">
            <v>6.3211150223080687E-2</v>
          </cell>
          <cell r="G81">
            <v>7.5972923228527353E-3</v>
          </cell>
          <cell r="H81">
            <v>13.475753253133771</v>
          </cell>
          <cell r="I81">
            <v>238.28407479766901</v>
          </cell>
          <cell r="O81">
            <v>4539388</v>
          </cell>
          <cell r="P81">
            <v>-6.4756370419956103E-3</v>
          </cell>
          <cell r="R81">
            <v>1.5839891216606159</v>
          </cell>
          <cell r="S81">
            <v>80799.967000000004</v>
          </cell>
          <cell r="U81">
            <v>487.03908921070757</v>
          </cell>
          <cell r="Z81">
            <v>7271628.2170859501</v>
          </cell>
        </row>
        <row r="82">
          <cell r="F82">
            <v>6.1983374734470395E-2</v>
          </cell>
          <cell r="G82">
            <v>1.490619284802158E-2</v>
          </cell>
          <cell r="H82">
            <v>13.51502837322225</v>
          </cell>
          <cell r="I82">
            <v>241.81944706881202</v>
          </cell>
          <cell r="O82">
            <v>4546573</v>
          </cell>
          <cell r="P82">
            <v>-3.3341613034128001E-3</v>
          </cell>
          <cell r="R82">
            <v>1.8035427427193369</v>
          </cell>
          <cell r="S82">
            <v>92072.525999999998</v>
          </cell>
          <cell r="U82">
            <v>539.22184876899769</v>
          </cell>
          <cell r="Z82">
            <v>8292550.4862424526</v>
          </cell>
        </row>
        <row r="83">
          <cell r="F83">
            <v>6.1960497150268974E-2</v>
          </cell>
          <cell r="G83">
            <v>2.815360034086466E-2</v>
          </cell>
          <cell r="H83">
            <v>13.556226871222989</v>
          </cell>
          <cell r="I83">
            <v>248.06309017672601</v>
          </cell>
          <cell r="O83">
            <v>4550253</v>
          </cell>
          <cell r="P83">
            <v>-7.8958266865387702E-3</v>
          </cell>
          <cell r="R83">
            <v>2.050533157460932</v>
          </cell>
          <cell r="S83">
            <v>104888.65700000001</v>
          </cell>
          <cell r="U83">
            <v>521.82759558290093</v>
          </cell>
          <cell r="Z83">
            <v>9435855.1359316614</v>
          </cell>
        </row>
        <row r="84">
          <cell r="F84">
            <v>6.2117745110730975E-2</v>
          </cell>
          <cell r="G84">
            <v>4.8144009999462604E-2</v>
          </cell>
          <cell r="H84">
            <v>13.589863606492832</v>
          </cell>
          <cell r="I84">
            <v>248.784039350743</v>
          </cell>
          <cell r="O84">
            <v>4549810</v>
          </cell>
          <cell r="P84">
            <v>-7.7990902224644998E-4</v>
          </cell>
          <cell r="R84">
            <v>2.2105400479335811</v>
          </cell>
          <cell r="S84">
            <v>107074.308</v>
          </cell>
          <cell r="U84">
            <v>521.82759558290093</v>
          </cell>
          <cell r="Z84">
            <v>10165133.35108427</v>
          </cell>
        </row>
        <row r="85">
          <cell r="F85">
            <v>6.2701650218119645E-2</v>
          </cell>
          <cell r="G85">
            <v>6.9787643746764286E-2</v>
          </cell>
          <cell r="H85">
            <v>13.621074315156038</v>
          </cell>
          <cell r="I85">
            <v>248.33217047253103</v>
          </cell>
          <cell r="P85">
            <v>-4.9629567131343998E-3</v>
          </cell>
          <cell r="R85">
            <v>2.2949043188557519</v>
          </cell>
          <cell r="S85">
            <v>108087.621</v>
          </cell>
          <cell r="U85">
            <v>521.82759558290093</v>
          </cell>
          <cell r="Z85">
            <v>10548902.577825854</v>
          </cell>
        </row>
        <row r="86">
          <cell r="F86">
            <v>6.2664090958345048E-2</v>
          </cell>
          <cell r="G86">
            <v>7.8473120394767212E-2</v>
          </cell>
          <cell r="H86">
            <v>13.650600676852841</v>
          </cell>
          <cell r="I86">
            <v>249.175224123021</v>
          </cell>
          <cell r="P86">
            <v>-2.2254507539996001E-3</v>
          </cell>
          <cell r="R86">
            <v>2.4875228239606062</v>
          </cell>
          <cell r="S86">
            <v>119871.97762792725</v>
          </cell>
          <cell r="U86">
            <v>539.22184876899769</v>
          </cell>
          <cell r="Z86">
            <v>11437858.966330731</v>
          </cell>
        </row>
        <row r="87">
          <cell r="F87">
            <v>6.2942751965719107E-2</v>
          </cell>
          <cell r="G87">
            <v>8.1895387184667018E-2</v>
          </cell>
          <cell r="H87">
            <v>13.688013583925891</v>
          </cell>
          <cell r="I87">
            <v>247.28817026821002</v>
          </cell>
          <cell r="P87">
            <v>-7.1938185377851105E-4</v>
          </cell>
          <cell r="R87">
            <v>2.3936464239452699</v>
          </cell>
          <cell r="S87">
            <v>121339.57696819764</v>
          </cell>
          <cell r="U87">
            <v>539.22184876899769</v>
          </cell>
          <cell r="X87">
            <v>21096.246801674744</v>
          </cell>
          <cell r="Z87">
            <v>11034851.390596673</v>
          </cell>
        </row>
        <row r="88">
          <cell r="F88">
            <v>6.2846894921922677E-2</v>
          </cell>
          <cell r="G88">
            <v>7.3967931143169297E-2</v>
          </cell>
          <cell r="H88">
            <v>13.722915290930871</v>
          </cell>
          <cell r="I88">
            <v>245.489405608769</v>
          </cell>
          <cell r="P88">
            <v>-2.3254176737674801E-4</v>
          </cell>
          <cell r="R88">
            <v>2.2200234835157846</v>
          </cell>
          <cell r="S88">
            <v>110650.11595762985</v>
          </cell>
          <cell r="U88">
            <v>521.82759558290093</v>
          </cell>
          <cell r="X88">
            <v>18586.418943446115</v>
          </cell>
          <cell r="Z88">
            <v>10233833.56678444</v>
          </cell>
        </row>
        <row r="89">
          <cell r="F89">
            <v>6.2819963849595872E-2</v>
          </cell>
          <cell r="G89">
            <v>4.966152314663836E-2</v>
          </cell>
          <cell r="H89">
            <v>13.778489688929675</v>
          </cell>
          <cell r="I89">
            <v>242.21651333119101</v>
          </cell>
          <cell r="P89">
            <v>-7.51696380598688E-5</v>
          </cell>
          <cell r="R89">
            <v>2.0798410262002176</v>
          </cell>
          <cell r="S89">
            <v>106885.59196889715</v>
          </cell>
          <cell r="U89">
            <v>539.22184876899769</v>
          </cell>
          <cell r="W89">
            <v>5565.893777827142</v>
          </cell>
          <cell r="X89">
            <v>17906.304514117059</v>
          </cell>
          <cell r="Z89">
            <v>9596433.069095755</v>
          </cell>
        </row>
        <row r="90">
          <cell r="F90">
            <v>6.235935390842022E-2</v>
          </cell>
          <cell r="G90">
            <v>2.2865900173547084E-2</v>
          </cell>
          <cell r="H90">
            <v>13.785153019015381</v>
          </cell>
          <cell r="I90">
            <v>242.42863142826798</v>
          </cell>
          <cell r="P90">
            <v>-2.42987509284642E-5</v>
          </cell>
          <cell r="R90">
            <v>1.7325759017642637</v>
          </cell>
          <cell r="S90">
            <v>79069.628735406295</v>
          </cell>
          <cell r="U90">
            <v>521.82759558290093</v>
          </cell>
          <cell r="W90">
            <v>4909.4987156406669</v>
          </cell>
          <cell r="X90">
            <v>13920.480206779765</v>
          </cell>
          <cell r="Z90">
            <v>7985879.2895311844</v>
          </cell>
        </row>
        <row r="91">
          <cell r="F91">
            <v>6.1426570270796239E-2</v>
          </cell>
          <cell r="G91">
            <v>1.0126328812957964E-2</v>
          </cell>
          <cell r="H91">
            <v>13.785125972574644</v>
          </cell>
          <cell r="I91">
            <v>243.22145524054099</v>
          </cell>
          <cell r="P91">
            <v>-7.8546247113120398E-6</v>
          </cell>
          <cell r="R91">
            <v>1.7790731480105964</v>
          </cell>
          <cell r="S91">
            <v>78209.588431839613</v>
          </cell>
          <cell r="U91">
            <v>539.22184876899769</v>
          </cell>
          <cell r="W91">
            <v>4796.7600525973194</v>
          </cell>
          <cell r="X91">
            <v>15040.017747062549</v>
          </cell>
          <cell r="Z91">
            <v>8201492.9053532779</v>
          </cell>
        </row>
        <row r="92">
          <cell r="C92">
            <v>0.47586523824689808</v>
          </cell>
          <cell r="D92">
            <v>25.24081745472391</v>
          </cell>
          <cell r="E92">
            <v>106.56373980184374</v>
          </cell>
          <cell r="F92">
            <v>6.1003614365850001E-2</v>
          </cell>
          <cell r="G92">
            <v>7.5759887140128945E-3</v>
          </cell>
          <cell r="H92">
            <v>13.768309534171838</v>
          </cell>
          <cell r="I92">
            <v>244.63698921888101</v>
          </cell>
          <cell r="O92">
            <v>4559979.3860088484</v>
          </cell>
          <cell r="P92">
            <v>-2.5390247235801398E-6</v>
          </cell>
          <cell r="R92">
            <v>1.7931127716016468</v>
          </cell>
          <cell r="S92">
            <v>92664.915421234982</v>
          </cell>
          <cell r="T92">
            <v>0</v>
          </cell>
          <cell r="U92">
            <v>1551.4270779131093</v>
          </cell>
          <cell r="W92">
            <v>4752.7962238501623</v>
          </cell>
          <cell r="X92">
            <v>15156.075048654508</v>
          </cell>
          <cell r="AA92">
            <v>8281179.6600454058</v>
          </cell>
          <cell r="AV92">
            <v>-9502.8290189485688</v>
          </cell>
        </row>
        <row r="93">
          <cell r="C93">
            <v>0</v>
          </cell>
          <cell r="D93">
            <v>32.286603853202195</v>
          </cell>
          <cell r="E93">
            <v>60.630379211788451</v>
          </cell>
          <cell r="F93">
            <v>6.0239250110278739E-2</v>
          </cell>
          <cell r="G93">
            <v>8.857429918464001E-3</v>
          </cell>
          <cell r="H93">
            <v>13.792857825639674</v>
          </cell>
          <cell r="I93">
            <v>244.177774389089</v>
          </cell>
          <cell r="O93">
            <v>4565683.4413957475</v>
          </cell>
          <cell r="P93">
            <v>-8.2074532947728997E-7</v>
          </cell>
          <cell r="R93">
            <v>1.6034331969898115</v>
          </cell>
          <cell r="S93">
            <v>77914.320474069318</v>
          </cell>
          <cell r="T93">
            <v>0</v>
          </cell>
          <cell r="U93">
            <v>1451.3350083703281</v>
          </cell>
          <cell r="W93">
            <v>4969.1967306507186</v>
          </cell>
          <cell r="X93">
            <v>14618.845016571577</v>
          </cell>
          <cell r="AA93">
            <v>7411021.7469080454</v>
          </cell>
          <cell r="AV93">
            <v>-8700.3472022455462</v>
          </cell>
        </row>
        <row r="94">
          <cell r="C94">
            <v>0</v>
          </cell>
          <cell r="D94">
            <v>64.684407645259242</v>
          </cell>
          <cell r="E94">
            <v>28.099258581218749</v>
          </cell>
          <cell r="F94">
            <v>5.9287990781045817E-2</v>
          </cell>
          <cell r="G94">
            <v>1.7373797471482395E-2</v>
          </cell>
          <cell r="H94">
            <v>13.828887373153064</v>
          </cell>
          <cell r="I94">
            <v>243.45913639202999</v>
          </cell>
          <cell r="O94">
            <v>4572060.7921629231</v>
          </cell>
          <cell r="P94">
            <v>-2.6530773378219402E-7</v>
          </cell>
          <cell r="R94">
            <v>1.7942083119382319</v>
          </cell>
          <cell r="S94">
            <v>91105.909870313975</v>
          </cell>
          <cell r="T94">
            <v>0</v>
          </cell>
          <cell r="U94">
            <v>1551.4270779131093</v>
          </cell>
          <cell r="W94">
            <v>4840.6929273487303</v>
          </cell>
          <cell r="X94">
            <v>16919.525536562571</v>
          </cell>
          <cell r="AA94">
            <v>8307816.3391802227</v>
          </cell>
          <cell r="AV94">
            <v>-9830.6922175284162</v>
          </cell>
        </row>
        <row r="95">
          <cell r="C95">
            <v>0</v>
          </cell>
          <cell r="D95">
            <v>109.60314046882479</v>
          </cell>
          <cell r="E95">
            <v>0</v>
          </cell>
          <cell r="F95">
            <v>5.941251498727354E-2</v>
          </cell>
          <cell r="G95">
            <v>3.2804350308028127E-2</v>
          </cell>
          <cell r="H95">
            <v>13.864499233524079</v>
          </cell>
          <cell r="I95">
            <v>241.24119645995103</v>
          </cell>
          <cell r="O95">
            <v>4575563.6998458654</v>
          </cell>
          <cell r="P95">
            <v>-8.5761308943332906E-8</v>
          </cell>
          <cell r="R95">
            <v>1.8292344171127295</v>
          </cell>
          <cell r="S95">
            <v>101633.10831089987</v>
          </cell>
          <cell r="T95">
            <v>0</v>
          </cell>
          <cell r="U95">
            <v>1551.4270779131093</v>
          </cell>
          <cell r="W95">
            <v>5097.2405919030916</v>
          </cell>
          <cell r="X95">
            <v>16960.661179804985</v>
          </cell>
          <cell r="AA95">
            <v>8483674.0570355393</v>
          </cell>
          <cell r="AV95">
            <v>-11346.977574696602</v>
          </cell>
        </row>
        <row r="96">
          <cell r="C96">
            <v>0</v>
          </cell>
          <cell r="D96">
            <v>207.71165129978061</v>
          </cell>
          <cell r="E96">
            <v>0</v>
          </cell>
          <cell r="F96">
            <v>5.9212480249922421E-2</v>
          </cell>
          <cell r="G96">
            <v>5.6062977964079039E-2</v>
          </cell>
          <cell r="H96">
            <v>13.893098459146351</v>
          </cell>
          <cell r="I96">
            <v>242.63365620056197</v>
          </cell>
          <cell r="O96">
            <v>4576771.4065523939</v>
          </cell>
          <cell r="P96">
            <v>-2.77225313816132E-8</v>
          </cell>
          <cell r="R96">
            <v>2.1123956961270149</v>
          </cell>
          <cell r="S96">
            <v>109019.97384114325</v>
          </cell>
          <cell r="T96">
            <v>0</v>
          </cell>
          <cell r="U96">
            <v>1501.3810431417187</v>
          </cell>
          <cell r="W96">
            <v>5953.7392412341305</v>
          </cell>
          <cell r="X96">
            <v>19629.952176062827</v>
          </cell>
          <cell r="AA96">
            <v>9791945.0242743138</v>
          </cell>
          <cell r="AV96">
            <v>-12112.243385730904</v>
          </cell>
        </row>
        <row r="97">
          <cell r="C97">
            <v>0</v>
          </cell>
          <cell r="D97">
            <v>272.3818590259537</v>
          </cell>
          <cell r="E97">
            <v>0</v>
          </cell>
          <cell r="F97">
            <v>5.9590195179438518E-2</v>
          </cell>
          <cell r="G97">
            <v>8.1222327894753796E-2</v>
          </cell>
          <cell r="H97">
            <v>13.917871025161695</v>
          </cell>
          <cell r="I97">
            <v>244.86714733948597</v>
          </cell>
          <cell r="O97">
            <v>4577952.1408088766</v>
          </cell>
          <cell r="P97">
            <v>-8.9613689802092705E-9</v>
          </cell>
          <cell r="R97">
            <v>2.201129205885457</v>
          </cell>
          <cell r="S97">
            <v>112560.4294476025</v>
          </cell>
          <cell r="T97">
            <v>0</v>
          </cell>
          <cell r="U97">
            <v>1551.4270779131093</v>
          </cell>
          <cell r="W97">
            <v>6327.1860213659138</v>
          </cell>
          <cell r="X97">
            <v>20077.610809375597</v>
          </cell>
          <cell r="AA97">
            <v>10204539.220907308</v>
          </cell>
          <cell r="AV97">
            <v>-12641.592729220405</v>
          </cell>
        </row>
        <row r="98">
          <cell r="C98">
            <v>0</v>
          </cell>
          <cell r="D98">
            <v>326.06294312401718</v>
          </cell>
          <cell r="E98">
            <v>0</v>
          </cell>
          <cell r="F98">
            <v>5.921227466540388E-2</v>
          </cell>
          <cell r="G98">
            <v>9.1285356611641624E-2</v>
          </cell>
          <cell r="H98">
            <v>13.941467306014344</v>
          </cell>
          <cell r="I98">
            <v>247.40364716353599</v>
          </cell>
          <cell r="O98">
            <v>4580525.7833224675</v>
          </cell>
          <cell r="P98">
            <v>-2.8967828136217101E-9</v>
          </cell>
          <cell r="R98">
            <v>2.3958055087890968</v>
          </cell>
          <cell r="S98">
            <v>120906.37303005606</v>
          </cell>
          <cell r="T98">
            <v>0</v>
          </cell>
          <cell r="U98">
            <v>1501.3810431417187</v>
          </cell>
          <cell r="W98">
            <v>6339.2439010962353</v>
          </cell>
          <cell r="X98">
            <v>21620.295290509115</v>
          </cell>
          <cell r="AA98">
            <v>11110968.618810251</v>
          </cell>
          <cell r="AV98">
            <v>-13447.579289012378</v>
          </cell>
        </row>
        <row r="99">
          <cell r="C99">
            <v>0</v>
          </cell>
          <cell r="D99">
            <v>325.14598456233898</v>
          </cell>
          <cell r="E99">
            <v>0</v>
          </cell>
          <cell r="F99">
            <v>5.873560872223052E-2</v>
          </cell>
          <cell r="G99">
            <v>9.5219193913647207E-2</v>
          </cell>
          <cell r="H99">
            <v>13.970543086740014</v>
          </cell>
          <cell r="I99">
            <v>248.94396377162499</v>
          </cell>
          <cell r="O99">
            <v>4585179.1473118477</v>
          </cell>
          <cell r="P99">
            <v>-9.3639096476749707E-10</v>
          </cell>
          <cell r="R99">
            <v>2.3873942404892308</v>
          </cell>
          <cell r="S99">
            <v>126724.21082284969</v>
          </cell>
          <cell r="T99">
            <v>0</v>
          </cell>
          <cell r="U99">
            <v>1551.4270779131093</v>
          </cell>
          <cell r="W99">
            <v>6409.8432282800368</v>
          </cell>
          <cell r="X99">
            <v>21456.524325610415</v>
          </cell>
          <cell r="AA99">
            <v>11088953.0277886</v>
          </cell>
          <cell r="AV99">
            <v>-13819.265569683083</v>
          </cell>
        </row>
        <row r="100">
          <cell r="C100">
            <v>0</v>
          </cell>
          <cell r="D100">
            <v>278.06632074356975</v>
          </cell>
          <cell r="E100">
            <v>0</v>
          </cell>
          <cell r="F100">
            <v>5.8900245405709956E-2</v>
          </cell>
          <cell r="G100">
            <v>8.5950884516376461E-2</v>
          </cell>
          <cell r="H100">
            <v>13.999989725968378</v>
          </cell>
          <cell r="I100">
            <v>249.92548906483898</v>
          </cell>
          <cell r="O100">
            <v>4585919.2967057498</v>
          </cell>
          <cell r="P100">
            <v>-3.0269031725538298E-10</v>
          </cell>
          <cell r="R100">
            <v>2.2138206247549528</v>
          </cell>
          <cell r="S100">
            <v>115619.28014007198</v>
          </cell>
          <cell r="T100">
            <v>0</v>
          </cell>
          <cell r="U100">
            <v>1551.4270779131093</v>
          </cell>
          <cell r="W100">
            <v>6152.8328336372933</v>
          </cell>
          <cell r="X100">
            <v>18903.26905390231</v>
          </cell>
          <cell r="AA100">
            <v>10281835.835194141</v>
          </cell>
          <cell r="AV100">
            <v>-12793.696420301594</v>
          </cell>
        </row>
        <row r="101">
          <cell r="C101">
            <v>0</v>
          </cell>
          <cell r="D101">
            <v>196.85380974003431</v>
          </cell>
          <cell r="E101">
            <v>0</v>
          </cell>
          <cell r="F101">
            <v>5.8693335755661213E-2</v>
          </cell>
          <cell r="G101">
            <v>5.7677097931127339E-2</v>
          </cell>
          <cell r="H101">
            <v>14.037195789240466</v>
          </cell>
          <cell r="I101">
            <v>251.27380377479201</v>
          </cell>
          <cell r="O101">
            <v>4587273.326920487</v>
          </cell>
          <cell r="P101">
            <v>-9.7845287427844596E-11</v>
          </cell>
          <cell r="R101">
            <v>2.0789439711657072</v>
          </cell>
          <cell r="S101">
            <v>111650.96498780797</v>
          </cell>
          <cell r="T101">
            <v>0</v>
          </cell>
          <cell r="U101">
            <v>1501.3810431417187</v>
          </cell>
          <cell r="W101">
            <v>5583.8272375682354</v>
          </cell>
          <cell r="X101">
            <v>18211.893764371489</v>
          </cell>
          <cell r="AA101">
            <v>9662477.6624148879</v>
          </cell>
          <cell r="AV101">
            <v>-11154.631708606032</v>
          </cell>
        </row>
        <row r="102">
          <cell r="C102">
            <v>0</v>
          </cell>
          <cell r="D102">
            <v>80.952372576540057</v>
          </cell>
          <cell r="E102">
            <v>0</v>
          </cell>
          <cell r="F102">
            <v>5.8119570541718298E-2</v>
          </cell>
          <cell r="G102">
            <v>2.6541860057687678E-2</v>
          </cell>
          <cell r="H102">
            <v>14.054894708758107</v>
          </cell>
          <cell r="I102">
            <v>252.01545908330897</v>
          </cell>
          <cell r="O102">
            <v>4589945.3004968651</v>
          </cell>
          <cell r="P102">
            <v>-3.1628699659336202E-11</v>
          </cell>
          <cell r="R102">
            <v>1.7397720457165389</v>
          </cell>
          <cell r="S102">
            <v>82661.775003980249</v>
          </cell>
          <cell r="T102">
            <v>0</v>
          </cell>
          <cell r="U102">
            <v>1551.4270779131093</v>
          </cell>
          <cell r="W102">
            <v>4925.3126207276509</v>
          </cell>
          <cell r="X102">
            <v>14156.668604639483</v>
          </cell>
          <cell r="AA102">
            <v>8079383.8258087104</v>
          </cell>
          <cell r="AV102">
            <v>-9369.8826709942568</v>
          </cell>
        </row>
        <row r="103">
          <cell r="C103">
            <v>0.17544300865084281</v>
          </cell>
          <cell r="D103">
            <v>39.283179831877746</v>
          </cell>
          <cell r="E103">
            <v>69.312099079974359</v>
          </cell>
          <cell r="F103">
            <v>5.7096391163648071E-2</v>
          </cell>
          <cell r="G103">
            <v>1.1748247351188248E-2</v>
          </cell>
          <cell r="H103">
            <v>14.070517074333614</v>
          </cell>
          <cell r="I103">
            <v>252.758737141898</v>
          </cell>
          <cell r="O103">
            <v>4593239.5569788096</v>
          </cell>
          <cell r="P103">
            <v>-1.02235997445632E-11</v>
          </cell>
          <cell r="R103">
            <v>1.7905503179044031</v>
          </cell>
          <cell r="S103">
            <v>81715.57131305529</v>
          </cell>
          <cell r="T103">
            <v>0</v>
          </cell>
          <cell r="U103">
            <v>1501.3810431417187</v>
          </cell>
          <cell r="W103">
            <v>4812.2062939844891</v>
          </cell>
          <cell r="X103">
            <v>15295.335512662044</v>
          </cell>
          <cell r="AA103">
            <v>8317093.7670826232</v>
          </cell>
          <cell r="AV103">
            <v>-10657.27603970746</v>
          </cell>
        </row>
      </sheetData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ompany_data"/>
      <sheetName val="Weather"/>
      <sheetName val="Economics"/>
      <sheetName val="Annual_Data"/>
      <sheetName val="Price"/>
      <sheetName val="Convert_Annual_Price_to_Monthly"/>
      <sheetName val="Real_Price"/>
      <sheetName val="Misc"/>
      <sheetName val="GI_Economics_Data_Annual"/>
      <sheetName val="GI_Economics_Data_Monthly"/>
      <sheetName val="Population_Data_Annual"/>
      <sheetName val="Population_Data_Monthly"/>
    </sheetNames>
    <sheetDataSet>
      <sheetData sheetId="0" refreshError="1"/>
      <sheetData sheetId="1">
        <row r="374">
          <cell r="C374">
            <v>13.491678757813682</v>
          </cell>
          <cell r="AF374">
            <v>0</v>
          </cell>
          <cell r="AG374">
            <v>112.81894074934806</v>
          </cell>
        </row>
        <row r="375">
          <cell r="C375">
            <v>42.232191903339995</v>
          </cell>
          <cell r="AF375">
            <v>0</v>
          </cell>
          <cell r="AG375">
            <v>34.557126023009936</v>
          </cell>
        </row>
        <row r="376">
          <cell r="C376">
            <v>79.005671513658825</v>
          </cell>
          <cell r="AF376">
            <v>0</v>
          </cell>
          <cell r="AG376">
            <v>11.431204681480956</v>
          </cell>
        </row>
        <row r="377">
          <cell r="C377">
            <v>190.37241736512024</v>
          </cell>
          <cell r="AA377">
            <v>0</v>
          </cell>
          <cell r="AF377">
            <v>0</v>
          </cell>
          <cell r="AG377">
            <v>0</v>
          </cell>
        </row>
        <row r="378">
          <cell r="C378">
            <v>242.30649337743392</v>
          </cell>
          <cell r="AA378">
            <v>0</v>
          </cell>
          <cell r="AF378">
            <v>0</v>
          </cell>
          <cell r="AG378">
            <v>0</v>
          </cell>
        </row>
        <row r="379">
          <cell r="C379">
            <v>304.55790465228421</v>
          </cell>
          <cell r="AF379">
            <v>0</v>
          </cell>
          <cell r="AG379">
            <v>0</v>
          </cell>
        </row>
        <row r="380">
          <cell r="C380">
            <v>355.81307292026935</v>
          </cell>
          <cell r="AA380">
            <v>0</v>
          </cell>
          <cell r="AF380">
            <v>0</v>
          </cell>
          <cell r="AG380">
            <v>0</v>
          </cell>
        </row>
        <row r="381">
          <cell r="AF381">
            <v>0</v>
          </cell>
          <cell r="AG381">
            <v>0</v>
          </cell>
        </row>
        <row r="382">
          <cell r="AF382">
            <v>0</v>
          </cell>
          <cell r="AG382">
            <v>0</v>
          </cell>
        </row>
        <row r="383">
          <cell r="AF383">
            <v>0</v>
          </cell>
          <cell r="AG383">
            <v>0</v>
          </cell>
        </row>
        <row r="384">
          <cell r="AF384">
            <v>0</v>
          </cell>
          <cell r="AG384">
            <v>0</v>
          </cell>
        </row>
        <row r="385">
          <cell r="AF385">
            <v>0.17544300865084281</v>
          </cell>
          <cell r="AG385">
            <v>69.312099079974359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Hourly Temp &amp; Degree Days"/>
      <sheetName val="Daily Actuals vs Daily Normals"/>
      <sheetName val="Weekly Summary"/>
      <sheetName val="Cooling &amp; Heating Degree Hours"/>
      <sheetName val="DTB"/>
      <sheetName val="MIA"/>
      <sheetName val="FTM"/>
      <sheetName val="PBI"/>
      <sheetName val="Division Sales"/>
    </sheetNames>
    <sheetDataSet>
      <sheetData sheetId="0"/>
      <sheetData sheetId="1">
        <row r="37">
          <cell r="B37">
            <v>0</v>
          </cell>
          <cell r="I37">
            <v>7.5246959485146405</v>
          </cell>
        </row>
        <row r="38">
          <cell r="B38">
            <v>1.3427648162936142E-2</v>
          </cell>
          <cell r="I38">
            <v>4.6682753389374128</v>
          </cell>
        </row>
        <row r="39">
          <cell r="B39">
            <v>0.48642527174739786</v>
          </cell>
          <cell r="I39">
            <v>0</v>
          </cell>
        </row>
        <row r="65">
          <cell r="C65">
            <v>30.130192707755892</v>
          </cell>
          <cell r="E65">
            <v>82.341351244929868</v>
          </cell>
        </row>
        <row r="69">
          <cell r="B69">
            <v>2.5208261792431874</v>
          </cell>
          <cell r="I69">
            <v>0</v>
          </cell>
        </row>
        <row r="70">
          <cell r="B70">
            <v>3.2059797557225589</v>
          </cell>
          <cell r="I70">
            <v>0</v>
          </cell>
        </row>
        <row r="71">
          <cell r="B71">
            <v>3.7076098015535153</v>
          </cell>
          <cell r="I71">
            <v>0</v>
          </cell>
        </row>
        <row r="100">
          <cell r="C100">
            <v>58.896608419043631</v>
          </cell>
          <cell r="E100">
            <v>51.454761019631647</v>
          </cell>
        </row>
        <row r="104">
          <cell r="B104">
            <v>3.6653947130134306</v>
          </cell>
          <cell r="I104">
            <v>0</v>
          </cell>
        </row>
        <row r="105">
          <cell r="B105">
            <v>6.326022275940872</v>
          </cell>
          <cell r="I105">
            <v>0</v>
          </cell>
        </row>
        <row r="106">
          <cell r="B106">
            <v>6.5187488833047214</v>
          </cell>
          <cell r="I106">
            <v>0</v>
          </cell>
        </row>
        <row r="135">
          <cell r="C135">
            <v>109.57774959049726</v>
          </cell>
          <cell r="E135">
            <v>14.253657950223243</v>
          </cell>
        </row>
        <row r="139">
          <cell r="B139">
            <v>7.0332682922257916</v>
          </cell>
          <cell r="I139">
            <v>0</v>
          </cell>
        </row>
        <row r="140">
          <cell r="B140">
            <v>5.7925128836943456</v>
          </cell>
          <cell r="I140">
            <v>0</v>
          </cell>
        </row>
        <row r="141">
          <cell r="I141">
            <v>0</v>
          </cell>
        </row>
        <row r="169">
          <cell r="C169">
            <v>192.02499560073039</v>
          </cell>
        </row>
        <row r="173">
          <cell r="B173">
            <v>10.000916056775489</v>
          </cell>
        </row>
        <row r="174">
          <cell r="B174">
            <v>9.7506217898269671</v>
          </cell>
        </row>
        <row r="175">
          <cell r="B175">
            <v>9.5126505398665646</v>
          </cell>
        </row>
        <row r="204">
          <cell r="C204">
            <v>275.17292225123612</v>
          </cell>
        </row>
        <row r="208">
          <cell r="B208">
            <v>7.9765432814914341</v>
          </cell>
        </row>
        <row r="209">
          <cell r="B209">
            <v>6.6131603681087325</v>
          </cell>
        </row>
        <row r="276">
          <cell r="B276">
            <v>342.38255905344039</v>
          </cell>
        </row>
        <row r="310">
          <cell r="B310">
            <v>298.65346555739433</v>
          </cell>
        </row>
        <row r="345">
          <cell r="B345">
            <v>161.51919520840667</v>
          </cell>
        </row>
        <row r="379">
          <cell r="B379">
            <v>81.388173550047853</v>
          </cell>
        </row>
        <row r="414">
          <cell r="B414">
            <v>47.92163181325175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omponent_analysis_12"/>
      <sheetName val="component_analysis_1"/>
      <sheetName val="calculation_WN_retail"/>
      <sheetName val="Monthly_NEL_WN"/>
      <sheetName val="Table NEL"/>
      <sheetName val="Hourly_Inputs"/>
      <sheetName val="Summer Peak"/>
      <sheetName val="Winter Peak"/>
      <sheetName val="Monthly Peaks"/>
      <sheetName val="Total_customers_month"/>
      <sheetName val="Customers_revenue_class"/>
      <sheetName val="NEL_Calendar"/>
      <sheetName val="Sales by Class (ST) Delta"/>
      <sheetName val="Sales by Class (ST) "/>
      <sheetName val="NEL,SALES,Unbilled ST"/>
      <sheetName val="Monthly_NEL_Model"/>
      <sheetName val=" NEL,SALES,Unbilled ST Calc"/>
      <sheetName val="Sales(ST)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 PER CUSTOMER"/>
      <sheetName val="Table NEL_no_inc_DSM"/>
      <sheetName val="Table Summer Peak"/>
      <sheetName val="Table SumPK PER CUSTOMER"/>
      <sheetName val="Table Winter Peak"/>
      <sheetName val="Table Florida Population"/>
      <sheetName val="Table Customers"/>
      <sheetName val="Table Real Per Capita Inc"/>
      <sheetName val="Table Income"/>
      <sheetName val="Table CPI"/>
      <sheetName val="Model Variables"/>
      <sheetName val="Annual Input Check"/>
      <sheetName val="Input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4">
          <cell r="I44">
            <v>226.645670807372</v>
          </cell>
        </row>
        <row r="45">
          <cell r="I45">
            <v>230.063531787567</v>
          </cell>
        </row>
        <row r="46">
          <cell r="I46">
            <v>235.06579740606099</v>
          </cell>
        </row>
        <row r="47">
          <cell r="I47">
            <v>236.972047834628</v>
          </cell>
        </row>
        <row r="48">
          <cell r="I48">
            <v>247.91993098919801</v>
          </cell>
        </row>
        <row r="49">
          <cell r="I49">
            <v>256.10502117617398</v>
          </cell>
        </row>
        <row r="50">
          <cell r="I50">
            <v>283.00858229911603</v>
          </cell>
        </row>
        <row r="51">
          <cell r="I51">
            <v>266.97391709545599</v>
          </cell>
        </row>
        <row r="52">
          <cell r="I52">
            <v>243.235500605428</v>
          </cell>
        </row>
        <row r="53">
          <cell r="I53">
            <v>213.27577111712998</v>
          </cell>
        </row>
        <row r="54">
          <cell r="I54">
            <v>200.05062285086802</v>
          </cell>
        </row>
        <row r="55">
          <cell r="I55">
            <v>194.31260603100199</v>
          </cell>
        </row>
        <row r="56">
          <cell r="I56">
            <v>182.033962860364</v>
          </cell>
        </row>
        <row r="57">
          <cell r="I57">
            <v>181.41843100581301</v>
          </cell>
        </row>
        <row r="58">
          <cell r="I58">
            <v>181.983606133824</v>
          </cell>
        </row>
        <row r="59">
          <cell r="I59">
            <v>179.181858922305</v>
          </cell>
        </row>
        <row r="60">
          <cell r="I60">
            <v>183.91190003950999</v>
          </cell>
        </row>
        <row r="61">
          <cell r="I61">
            <v>189.63124103918599</v>
          </cell>
        </row>
        <row r="62">
          <cell r="I62">
            <v>196.923638489084</v>
          </cell>
        </row>
        <row r="63">
          <cell r="I63">
            <v>200.11831451659199</v>
          </cell>
        </row>
        <row r="64">
          <cell r="I64">
            <v>202.17804699432298</v>
          </cell>
        </row>
        <row r="65">
          <cell r="I65">
            <v>204.283550084913</v>
          </cell>
        </row>
        <row r="66">
          <cell r="I66">
            <v>207.20503942493602</v>
          </cell>
        </row>
        <row r="67">
          <cell r="I67">
            <v>209.85441048915101</v>
          </cell>
        </row>
        <row r="68">
          <cell r="I68">
            <v>215.89408709559498</v>
          </cell>
        </row>
        <row r="69">
          <cell r="I69">
            <v>213.99563889336801</v>
          </cell>
        </row>
        <row r="70">
          <cell r="I70">
            <v>210.715274011037</v>
          </cell>
          <cell r="K70">
            <v>0</v>
          </cell>
          <cell r="L70">
            <v>0</v>
          </cell>
          <cell r="M70">
            <v>0</v>
          </cell>
        </row>
        <row r="71">
          <cell r="I71">
            <v>205.69250893959497</v>
          </cell>
          <cell r="L71">
            <v>0</v>
          </cell>
          <cell r="M71">
            <v>0</v>
          </cell>
        </row>
        <row r="72">
          <cell r="I72">
            <v>205.04057784081499</v>
          </cell>
          <cell r="L72">
            <v>0</v>
          </cell>
          <cell r="M72">
            <v>0</v>
          </cell>
        </row>
        <row r="73">
          <cell r="I73">
            <v>206.18391321959001</v>
          </cell>
          <cell r="M73">
            <v>0</v>
          </cell>
        </row>
        <row r="74">
          <cell r="I74">
            <v>205.33017344235697</v>
          </cell>
        </row>
        <row r="75">
          <cell r="I75">
            <v>208.10687690389099</v>
          </cell>
        </row>
        <row r="76">
          <cell r="I76">
            <v>211.630949653751</v>
          </cell>
          <cell r="J76">
            <v>0</v>
          </cell>
          <cell r="K76">
            <v>0</v>
          </cell>
          <cell r="L76">
            <v>0</v>
          </cell>
        </row>
        <row r="77">
          <cell r="I77">
            <v>213.18857506886403</v>
          </cell>
        </row>
        <row r="78">
          <cell r="I78">
            <v>219.12085281491599</v>
          </cell>
        </row>
        <row r="79">
          <cell r="I79">
            <v>225.60957211522</v>
          </cell>
        </row>
        <row r="80">
          <cell r="I80">
            <v>233.37247813251901</v>
          </cell>
        </row>
        <row r="81">
          <cell r="I81">
            <v>238.28407479766901</v>
          </cell>
          <cell r="J81">
            <v>1</v>
          </cell>
        </row>
        <row r="83">
          <cell r="K83">
            <v>1</v>
          </cell>
        </row>
        <row r="88">
          <cell r="M88">
            <v>1</v>
          </cell>
        </row>
        <row r="90">
          <cell r="N90">
            <v>1</v>
          </cell>
        </row>
        <row r="98">
          <cell r="F98">
            <v>5.921227466540388E-2</v>
          </cell>
          <cell r="O98">
            <v>4580525.7833224675</v>
          </cell>
        </row>
        <row r="99">
          <cell r="F99">
            <v>5.873560872223052E-2</v>
          </cell>
          <cell r="O99">
            <v>4585179.1473118477</v>
          </cell>
        </row>
        <row r="100">
          <cell r="F100">
            <v>5.8900245405709956E-2</v>
          </cell>
          <cell r="O100">
            <v>4585919.2967057498</v>
          </cell>
        </row>
        <row r="101">
          <cell r="F101">
            <v>5.8693335755661213E-2</v>
          </cell>
          <cell r="O101">
            <v>4587273.326920487</v>
          </cell>
        </row>
        <row r="102">
          <cell r="F102">
            <v>5.8119570541718298E-2</v>
          </cell>
          <cell r="O102">
            <v>4589945.3004968651</v>
          </cell>
        </row>
        <row r="103">
          <cell r="F103">
            <v>5.7096391163648071E-2</v>
          </cell>
          <cell r="O103">
            <v>4593239.5569788096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Graph"/>
      <sheetName val="Commercial Graph"/>
      <sheetName val="Industrial Graph"/>
      <sheetName val="Total Cust &amp; Abs Mon Growth"/>
      <sheetName val="Absolute Monthly Growth Graph "/>
      <sheetName val="Month-To-Month Growth"/>
      <sheetName val="12-Month Moving Average"/>
      <sheetName val="Chart1"/>
      <sheetName val="Division - Honthly"/>
      <sheetName val="1965-To Date Customers by Reven"/>
      <sheetName val="Sheet1"/>
    </sheetNames>
    <sheetDataSet>
      <sheetData sheetId="0"/>
      <sheetData sheetId="1"/>
      <sheetData sheetId="2">
        <row r="557">
          <cell r="I557">
            <v>4533029</v>
          </cell>
        </row>
        <row r="558">
          <cell r="I558">
            <v>4539389</v>
          </cell>
        </row>
        <row r="559">
          <cell r="I559">
            <v>4546574</v>
          </cell>
        </row>
        <row r="560">
          <cell r="I560">
            <v>4550254</v>
          </cell>
        </row>
        <row r="561">
          <cell r="I561">
            <v>4549811</v>
          </cell>
        </row>
        <row r="562">
          <cell r="I562">
            <v>4549338</v>
          </cell>
        </row>
        <row r="563">
          <cell r="I563">
            <v>4549687</v>
          </cell>
        </row>
        <row r="564">
          <cell r="I564">
            <v>4550328</v>
          </cell>
        </row>
        <row r="565">
          <cell r="I565">
            <v>4545995</v>
          </cell>
        </row>
        <row r="566">
          <cell r="I566">
            <v>4546841</v>
          </cell>
        </row>
        <row r="567">
          <cell r="I567">
            <v>4549257</v>
          </cell>
        </row>
        <row r="568">
          <cell r="I568">
            <v>4554107</v>
          </cell>
        </row>
        <row r="569">
          <cell r="I569">
            <v>4560015</v>
          </cell>
        </row>
        <row r="570">
          <cell r="I570">
            <v>4565707</v>
          </cell>
        </row>
        <row r="571">
          <cell r="I571">
            <v>4573930</v>
          </cell>
        </row>
        <row r="572">
          <cell r="I572">
            <v>4577038</v>
          </cell>
        </row>
        <row r="573">
          <cell r="I573">
            <v>4576751</v>
          </cell>
        </row>
        <row r="574">
          <cell r="I574">
            <v>4575347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onth_Year"/>
      <sheetName val="Year_Month"/>
    </sheetNames>
    <sheetDataSet>
      <sheetData sheetId="0"/>
      <sheetData sheetId="1">
        <row r="548">
          <cell r="C548">
            <v>11848478</v>
          </cell>
        </row>
        <row r="549">
          <cell r="C549">
            <v>11325605</v>
          </cell>
        </row>
        <row r="550">
          <cell r="C550">
            <v>10530592</v>
          </cell>
        </row>
        <row r="551">
          <cell r="C551">
            <v>9050810</v>
          </cell>
        </row>
        <row r="552">
          <cell r="C552">
            <v>8021393</v>
          </cell>
        </row>
        <row r="553">
          <cell r="C553">
            <v>7931422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Hourly Temp &amp; Degree Days"/>
      <sheetName val="Daily Actuals vs Daily Normals"/>
      <sheetName val="Weekly Summary"/>
      <sheetName val="Cooling &amp; Heating Degree Hours"/>
      <sheetName val="DTB"/>
      <sheetName val="MIA"/>
      <sheetName val="FTM"/>
      <sheetName val="PBI"/>
      <sheetName val="Division Sales"/>
    </sheetNames>
    <sheetDataSet>
      <sheetData sheetId="0" refreshError="1"/>
      <sheetData sheetId="1">
        <row r="33">
          <cell r="B33">
            <v>27.111349482191514</v>
          </cell>
          <cell r="D33">
            <v>76.79532457691009</v>
          </cell>
          <cell r="F33">
            <v>0</v>
          </cell>
        </row>
        <row r="66">
          <cell r="B66">
            <v>50.063863942660532</v>
          </cell>
          <cell r="D66">
            <v>25.574091849515369</v>
          </cell>
          <cell r="F66">
            <v>0</v>
          </cell>
        </row>
        <row r="101">
          <cell r="B101">
            <v>89.238204374581343</v>
          </cell>
          <cell r="D101">
            <v>3.0671707478003256</v>
          </cell>
          <cell r="F101">
            <v>0</v>
          </cell>
        </row>
        <row r="135">
          <cell r="B135">
            <v>106.45317747474797</v>
          </cell>
        </row>
        <row r="170">
          <cell r="B170">
            <v>202.05259632338476</v>
          </cell>
        </row>
        <row r="204">
          <cell r="B204">
            <v>276.45568441315464</v>
          </cell>
          <cell r="F204">
            <v>0</v>
          </cell>
        </row>
      </sheetData>
      <sheetData sheetId="2" refreshError="1"/>
      <sheetData sheetId="3">
        <row r="37">
          <cell r="BL37">
            <v>3.3971804059818393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active Meters (Mon to Mon Gr)"/>
    </sheetNames>
    <sheetDataSet>
      <sheetData sheetId="0">
        <row r="10">
          <cell r="D10">
            <v>4560015</v>
          </cell>
        </row>
        <row r="28">
          <cell r="D28">
            <v>275419</v>
          </cell>
          <cell r="E28">
            <v>268693</v>
          </cell>
          <cell r="F28">
            <v>262110</v>
          </cell>
          <cell r="G28">
            <v>263718</v>
          </cell>
          <cell r="H28">
            <v>266401</v>
          </cell>
          <cell r="I28">
            <v>267210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NEL SUMMARY - 2012"/>
    </sheetNames>
    <sheetDataSet>
      <sheetData sheetId="0">
        <row r="14">
          <cell r="B14">
            <v>7695954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NEL SUMMARY - 2012"/>
    </sheetNames>
    <sheetDataSet>
      <sheetData sheetId="0">
        <row r="14">
          <cell r="B14">
            <v>8636166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Hourly Loads"/>
      <sheetName val="PGBU Daily Data"/>
      <sheetName val="SSR compared to LF YTD"/>
      <sheetName val="Daily Log (Levelized)"/>
      <sheetName val="Monthly NEL Adjustments"/>
      <sheetName val="Weekly (Levelized)"/>
      <sheetName val="NEL &amp; Demand Report-Levelized"/>
      <sheetName val="Monthly NEL Report"/>
      <sheetName val="2012 Forecasted Growth"/>
    </sheetNames>
    <sheetDataSet>
      <sheetData sheetId="0"/>
      <sheetData sheetId="1"/>
      <sheetData sheetId="2"/>
      <sheetData sheetId="3">
        <row r="8">
          <cell r="C8">
            <v>235311</v>
          </cell>
        </row>
        <row r="9">
          <cell r="C9">
            <v>237411</v>
          </cell>
        </row>
        <row r="10">
          <cell r="C10">
            <v>286637</v>
          </cell>
        </row>
        <row r="11">
          <cell r="C11">
            <v>334958</v>
          </cell>
        </row>
        <row r="12">
          <cell r="C12">
            <v>301800</v>
          </cell>
        </row>
        <row r="13">
          <cell r="C13">
            <v>271821</v>
          </cell>
        </row>
        <row r="14">
          <cell r="C14">
            <v>242739</v>
          </cell>
        </row>
        <row r="15">
          <cell r="C15">
            <v>235420</v>
          </cell>
        </row>
        <row r="16">
          <cell r="C16">
            <v>247391</v>
          </cell>
        </row>
        <row r="17">
          <cell r="C17">
            <v>247273</v>
          </cell>
        </row>
        <row r="18">
          <cell r="C18">
            <v>242317</v>
          </cell>
        </row>
        <row r="19">
          <cell r="C19">
            <v>250205</v>
          </cell>
        </row>
        <row r="20">
          <cell r="C20">
            <v>245440</v>
          </cell>
        </row>
        <row r="21">
          <cell r="C21">
            <v>257758</v>
          </cell>
        </row>
        <row r="22">
          <cell r="C22">
            <v>272054</v>
          </cell>
        </row>
        <row r="23">
          <cell r="C23">
            <v>256253</v>
          </cell>
        </row>
        <row r="24">
          <cell r="C24">
            <v>247093</v>
          </cell>
        </row>
        <row r="25">
          <cell r="C25">
            <v>250741</v>
          </cell>
        </row>
        <row r="26">
          <cell r="C26">
            <v>247997</v>
          </cell>
        </row>
        <row r="27">
          <cell r="C27">
            <v>246488</v>
          </cell>
        </row>
        <row r="28">
          <cell r="C28">
            <v>237913</v>
          </cell>
        </row>
        <row r="29">
          <cell r="C29">
            <v>237434</v>
          </cell>
        </row>
        <row r="30">
          <cell r="C30">
            <v>258290</v>
          </cell>
        </row>
        <row r="31">
          <cell r="C31">
            <v>260744</v>
          </cell>
        </row>
        <row r="32">
          <cell r="C32">
            <v>265671</v>
          </cell>
        </row>
        <row r="33">
          <cell r="C33">
            <v>272105</v>
          </cell>
        </row>
        <row r="34">
          <cell r="C34">
            <v>272060</v>
          </cell>
        </row>
        <row r="35">
          <cell r="C35">
            <v>255298</v>
          </cell>
        </row>
        <row r="36">
          <cell r="C36">
            <v>241168</v>
          </cell>
        </row>
        <row r="37">
          <cell r="C37">
            <v>253341</v>
          </cell>
        </row>
        <row r="38">
          <cell r="C38">
            <v>255407</v>
          </cell>
        </row>
        <row r="39">
          <cell r="C39">
            <v>261382</v>
          </cell>
        </row>
        <row r="40">
          <cell r="C40">
            <v>260433</v>
          </cell>
        </row>
        <row r="41">
          <cell r="C41">
            <v>258062</v>
          </cell>
        </row>
        <row r="42">
          <cell r="C42">
            <v>252128</v>
          </cell>
        </row>
        <row r="43">
          <cell r="C43">
            <v>252406</v>
          </cell>
        </row>
        <row r="44">
          <cell r="C44">
            <v>265707</v>
          </cell>
        </row>
        <row r="45">
          <cell r="C45">
            <v>268509</v>
          </cell>
        </row>
        <row r="46">
          <cell r="C46">
            <v>255677</v>
          </cell>
        </row>
        <row r="47">
          <cell r="C47">
            <v>252621</v>
          </cell>
        </row>
        <row r="48">
          <cell r="C48">
            <v>263222</v>
          </cell>
        </row>
        <row r="49">
          <cell r="C49">
            <v>234371</v>
          </cell>
        </row>
        <row r="50">
          <cell r="C50">
            <v>269735</v>
          </cell>
        </row>
        <row r="51">
          <cell r="C51">
            <v>294801</v>
          </cell>
        </row>
        <row r="52">
          <cell r="C52">
            <v>253497</v>
          </cell>
        </row>
        <row r="53">
          <cell r="C53">
            <v>252119</v>
          </cell>
        </row>
        <row r="54">
          <cell r="C54">
            <v>263565</v>
          </cell>
        </row>
        <row r="55">
          <cell r="C55">
            <v>265331</v>
          </cell>
        </row>
        <row r="56">
          <cell r="C56">
            <v>259058</v>
          </cell>
        </row>
        <row r="57">
          <cell r="C57">
            <v>271406</v>
          </cell>
        </row>
        <row r="58">
          <cell r="C58">
            <v>254129</v>
          </cell>
        </row>
        <row r="59">
          <cell r="C59">
            <v>254706</v>
          </cell>
        </row>
        <row r="60">
          <cell r="C60">
            <v>263141</v>
          </cell>
        </row>
        <row r="61">
          <cell r="C61">
            <v>282735</v>
          </cell>
        </row>
        <row r="62">
          <cell r="C62">
            <v>297217</v>
          </cell>
        </row>
        <row r="63">
          <cell r="C63">
            <v>263014</v>
          </cell>
        </row>
        <row r="64">
          <cell r="C64">
            <v>250705</v>
          </cell>
        </row>
        <row r="65">
          <cell r="C65">
            <v>288646</v>
          </cell>
        </row>
        <row r="66">
          <cell r="C66">
            <v>292525</v>
          </cell>
        </row>
        <row r="67">
          <cell r="C67">
            <v>295106</v>
          </cell>
        </row>
        <row r="68">
          <cell r="C68">
            <v>300048</v>
          </cell>
        </row>
        <row r="69">
          <cell r="C69">
            <v>297985</v>
          </cell>
        </row>
        <row r="70">
          <cell r="C70">
            <v>296927</v>
          </cell>
        </row>
        <row r="71">
          <cell r="C71">
            <v>253844</v>
          </cell>
        </row>
        <row r="72">
          <cell r="C72">
            <v>244376</v>
          </cell>
        </row>
        <row r="73">
          <cell r="C73">
            <v>247248</v>
          </cell>
        </row>
        <row r="74">
          <cell r="C74">
            <v>257300</v>
          </cell>
        </row>
        <row r="75">
          <cell r="C75">
            <v>272785</v>
          </cell>
        </row>
        <row r="76">
          <cell r="C76">
            <v>282292</v>
          </cell>
        </row>
        <row r="77">
          <cell r="C77">
            <v>274380</v>
          </cell>
        </row>
        <row r="78">
          <cell r="C78">
            <v>257701</v>
          </cell>
        </row>
        <row r="79">
          <cell r="C79">
            <v>271776</v>
          </cell>
        </row>
        <row r="80">
          <cell r="C80">
            <v>271322</v>
          </cell>
        </row>
        <row r="81">
          <cell r="C81">
            <v>275415</v>
          </cell>
        </row>
        <row r="82">
          <cell r="C82">
            <v>273331</v>
          </cell>
        </row>
        <row r="83">
          <cell r="C83">
            <v>274106</v>
          </cell>
        </row>
        <row r="84">
          <cell r="C84">
            <v>268036</v>
          </cell>
        </row>
        <row r="85">
          <cell r="C85">
            <v>265738</v>
          </cell>
        </row>
        <row r="86">
          <cell r="C86">
            <v>286135</v>
          </cell>
        </row>
        <row r="87">
          <cell r="C87">
            <v>284830</v>
          </cell>
        </row>
        <row r="88">
          <cell r="C88">
            <v>296899</v>
          </cell>
        </row>
        <row r="89">
          <cell r="C89">
            <v>307328</v>
          </cell>
        </row>
        <row r="90">
          <cell r="C90">
            <v>300846</v>
          </cell>
        </row>
        <row r="91">
          <cell r="C91">
            <v>288700</v>
          </cell>
        </row>
        <row r="92">
          <cell r="C92">
            <v>282879</v>
          </cell>
        </row>
        <row r="93">
          <cell r="C93">
            <v>279744</v>
          </cell>
        </row>
        <row r="94">
          <cell r="C94">
            <v>284469</v>
          </cell>
        </row>
        <row r="95">
          <cell r="C95">
            <v>287404</v>
          </cell>
        </row>
        <row r="96">
          <cell r="C96">
            <v>287354</v>
          </cell>
          <cell r="Q96">
            <v>285970</v>
          </cell>
        </row>
        <row r="97">
          <cell r="C97">
            <v>284757</v>
          </cell>
          <cell r="Q97">
            <v>311584</v>
          </cell>
        </row>
        <row r="98">
          <cell r="C98">
            <v>280211</v>
          </cell>
          <cell r="Q98">
            <v>314535</v>
          </cell>
        </row>
        <row r="99">
          <cell r="C99">
            <v>289237</v>
          </cell>
          <cell r="Q99">
            <v>301421</v>
          </cell>
        </row>
        <row r="100">
          <cell r="C100">
            <v>313776</v>
          </cell>
          <cell r="Q100">
            <v>276998</v>
          </cell>
        </row>
        <row r="101">
          <cell r="C101">
            <v>318748</v>
          </cell>
          <cell r="Q101">
            <v>284951</v>
          </cell>
        </row>
        <row r="102">
          <cell r="C102">
            <v>327147</v>
          </cell>
          <cell r="Q102">
            <v>312308</v>
          </cell>
        </row>
        <row r="103">
          <cell r="C103">
            <v>316752</v>
          </cell>
          <cell r="Q103">
            <v>298017</v>
          </cell>
        </row>
        <row r="104">
          <cell r="C104">
            <v>314257</v>
          </cell>
          <cell r="Q104">
            <v>280017</v>
          </cell>
        </row>
        <row r="105">
          <cell r="C105">
            <v>271855</v>
          </cell>
          <cell r="Q105">
            <v>304119</v>
          </cell>
        </row>
        <row r="106">
          <cell r="C106">
            <v>258625</v>
          </cell>
          <cell r="Q106">
            <v>312223</v>
          </cell>
        </row>
        <row r="107">
          <cell r="C107">
            <v>278068</v>
          </cell>
          <cell r="Q107">
            <v>314302</v>
          </cell>
        </row>
        <row r="108">
          <cell r="C108">
            <v>286730</v>
          </cell>
          <cell r="Q108">
            <v>315639</v>
          </cell>
        </row>
        <row r="109">
          <cell r="C109">
            <v>294861</v>
          </cell>
          <cell r="Q109">
            <v>331330</v>
          </cell>
        </row>
        <row r="110">
          <cell r="C110">
            <v>294884</v>
          </cell>
          <cell r="Q110">
            <v>320742</v>
          </cell>
        </row>
        <row r="111">
          <cell r="C111">
            <v>288075</v>
          </cell>
          <cell r="Q111">
            <v>307227</v>
          </cell>
        </row>
        <row r="112">
          <cell r="C112">
            <v>262924</v>
          </cell>
          <cell r="Q112">
            <v>300571</v>
          </cell>
        </row>
        <row r="113">
          <cell r="C113">
            <v>266385</v>
          </cell>
          <cell r="Q113">
            <v>311550</v>
          </cell>
        </row>
        <row r="114">
          <cell r="C114">
            <v>287079</v>
          </cell>
          <cell r="Q114">
            <v>312887</v>
          </cell>
        </row>
        <row r="115">
          <cell r="C115">
            <v>295160</v>
          </cell>
          <cell r="Q115">
            <v>297053</v>
          </cell>
        </row>
        <row r="116">
          <cell r="C116">
            <v>303533</v>
          </cell>
          <cell r="Q116">
            <v>315045</v>
          </cell>
        </row>
        <row r="117">
          <cell r="C117">
            <v>306152</v>
          </cell>
          <cell r="Q117">
            <v>328839</v>
          </cell>
        </row>
        <row r="118">
          <cell r="C118">
            <v>305897</v>
          </cell>
          <cell r="Q118">
            <v>335117</v>
          </cell>
        </row>
        <row r="119">
          <cell r="C119">
            <v>254619</v>
          </cell>
          <cell r="Q119">
            <v>325775</v>
          </cell>
        </row>
        <row r="120">
          <cell r="C120">
            <v>261715</v>
          </cell>
          <cell r="Q120">
            <v>314646</v>
          </cell>
        </row>
        <row r="121">
          <cell r="C121">
            <v>254105</v>
          </cell>
          <cell r="Q121">
            <v>310322</v>
          </cell>
        </row>
        <row r="122">
          <cell r="C122">
            <v>244467</v>
          </cell>
          <cell r="Q122">
            <v>306302</v>
          </cell>
        </row>
        <row r="123">
          <cell r="C123">
            <v>245711</v>
          </cell>
          <cell r="Q123">
            <v>332823</v>
          </cell>
        </row>
        <row r="124">
          <cell r="C124">
            <v>269192</v>
          </cell>
          <cell r="Q124">
            <v>347665</v>
          </cell>
        </row>
        <row r="125">
          <cell r="C125">
            <v>282698</v>
          </cell>
          <cell r="Q125">
            <v>365579</v>
          </cell>
        </row>
        <row r="126">
          <cell r="C126">
            <v>274622</v>
          </cell>
          <cell r="Q126">
            <v>366794</v>
          </cell>
        </row>
        <row r="127">
          <cell r="C127">
            <v>261848</v>
          </cell>
          <cell r="Q127">
            <v>330875</v>
          </cell>
        </row>
        <row r="128">
          <cell r="C128">
            <v>276495</v>
          </cell>
          <cell r="Q128">
            <v>299148</v>
          </cell>
        </row>
        <row r="129">
          <cell r="C129">
            <v>295536</v>
          </cell>
        </row>
        <row r="130">
          <cell r="C130">
            <v>313080</v>
          </cell>
        </row>
        <row r="131">
          <cell r="C131">
            <v>320759</v>
          </cell>
        </row>
        <row r="132">
          <cell r="C132">
            <v>316992</v>
          </cell>
        </row>
        <row r="133">
          <cell r="C133">
            <v>312266</v>
          </cell>
        </row>
        <row r="134">
          <cell r="C134">
            <v>320337</v>
          </cell>
        </row>
        <row r="135">
          <cell r="C135">
            <v>329989</v>
          </cell>
        </row>
        <row r="136">
          <cell r="C136">
            <v>311316</v>
          </cell>
        </row>
        <row r="137">
          <cell r="C137">
            <v>317931</v>
          </cell>
        </row>
        <row r="138">
          <cell r="C138">
            <v>328356</v>
          </cell>
        </row>
        <row r="139">
          <cell r="C139">
            <v>321227</v>
          </cell>
        </row>
        <row r="140">
          <cell r="C140">
            <v>304472</v>
          </cell>
        </row>
        <row r="141">
          <cell r="C141">
            <v>299383</v>
          </cell>
        </row>
        <row r="142">
          <cell r="C142">
            <v>326835</v>
          </cell>
        </row>
        <row r="143">
          <cell r="C143">
            <v>324505</v>
          </cell>
        </row>
        <row r="144">
          <cell r="C144">
            <v>292740</v>
          </cell>
        </row>
        <row r="145">
          <cell r="C145">
            <v>301297</v>
          </cell>
        </row>
        <row r="146">
          <cell r="C146">
            <v>308267</v>
          </cell>
        </row>
        <row r="147">
          <cell r="C147">
            <v>291997</v>
          </cell>
        </row>
        <row r="148">
          <cell r="C148">
            <v>296331</v>
          </cell>
        </row>
        <row r="149">
          <cell r="C149">
            <v>323393</v>
          </cell>
        </row>
        <row r="150">
          <cell r="C150">
            <v>316244</v>
          </cell>
        </row>
        <row r="151">
          <cell r="C151">
            <v>326280</v>
          </cell>
        </row>
        <row r="152">
          <cell r="C152">
            <v>320221</v>
          </cell>
        </row>
        <row r="153">
          <cell r="C153">
            <v>340831</v>
          </cell>
        </row>
        <row r="154">
          <cell r="C154">
            <v>336655</v>
          </cell>
        </row>
        <row r="155">
          <cell r="C155">
            <v>319263</v>
          </cell>
        </row>
        <row r="156">
          <cell r="C156">
            <v>331837</v>
          </cell>
        </row>
        <row r="157">
          <cell r="C157">
            <v>338234</v>
          </cell>
        </row>
        <row r="158">
          <cell r="C158">
            <v>361469</v>
          </cell>
        </row>
        <row r="159">
          <cell r="C159">
            <v>340733</v>
          </cell>
        </row>
        <row r="160">
          <cell r="C160">
            <v>301719</v>
          </cell>
        </row>
        <row r="161">
          <cell r="C161">
            <v>327678</v>
          </cell>
        </row>
        <row r="162">
          <cell r="C162">
            <v>336349</v>
          </cell>
        </row>
        <row r="163">
          <cell r="C163">
            <v>369360</v>
          </cell>
        </row>
        <row r="164">
          <cell r="C164">
            <v>359854</v>
          </cell>
        </row>
        <row r="165">
          <cell r="C165">
            <v>338866</v>
          </cell>
        </row>
        <row r="166">
          <cell r="C166">
            <v>354343</v>
          </cell>
        </row>
        <row r="167">
          <cell r="C167">
            <v>341481</v>
          </cell>
        </row>
        <row r="168">
          <cell r="C168">
            <v>332701</v>
          </cell>
        </row>
        <row r="169">
          <cell r="C169">
            <v>353740</v>
          </cell>
        </row>
        <row r="170">
          <cell r="C170">
            <v>366079</v>
          </cell>
        </row>
        <row r="171">
          <cell r="C171">
            <v>353038</v>
          </cell>
        </row>
        <row r="172">
          <cell r="C172">
            <v>360084</v>
          </cell>
        </row>
        <row r="173">
          <cell r="C173">
            <v>371236</v>
          </cell>
        </row>
        <row r="174">
          <cell r="C174">
            <v>340754</v>
          </cell>
        </row>
        <row r="175">
          <cell r="C175">
            <v>328078</v>
          </cell>
        </row>
        <row r="176">
          <cell r="C176">
            <v>319166</v>
          </cell>
        </row>
        <row r="177">
          <cell r="C177">
            <v>340530</v>
          </cell>
        </row>
        <row r="178">
          <cell r="C178">
            <v>334546</v>
          </cell>
        </row>
        <row r="179">
          <cell r="C179">
            <v>312874</v>
          </cell>
        </row>
        <row r="180">
          <cell r="C180">
            <v>334848</v>
          </cell>
        </row>
        <row r="181">
          <cell r="C181">
            <v>316240</v>
          </cell>
        </row>
        <row r="182">
          <cell r="C182">
            <v>295291</v>
          </cell>
        </row>
        <row r="183">
          <cell r="C183">
            <v>296649</v>
          </cell>
        </row>
        <row r="184">
          <cell r="C184">
            <v>341190</v>
          </cell>
        </row>
        <row r="185">
          <cell r="C185">
            <v>358637</v>
          </cell>
        </row>
        <row r="186">
          <cell r="C186">
            <v>360389</v>
          </cell>
        </row>
        <row r="187">
          <cell r="C187">
            <v>357819</v>
          </cell>
        </row>
        <row r="188">
          <cell r="C188">
            <v>365596</v>
          </cell>
        </row>
        <row r="189">
          <cell r="C189">
            <v>367555</v>
          </cell>
        </row>
      </sheetData>
      <sheetData sheetId="4">
        <row r="8">
          <cell r="B8">
            <v>8505617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utomated checks"/>
      <sheetName val="Allocation check"/>
      <sheetName val="Sheet4"/>
      <sheetName val="Sheet5"/>
      <sheetName val="Sheet6"/>
      <sheetName val="Sheet7"/>
      <sheetName val="Sheet1"/>
      <sheetName val="Sheet9"/>
      <sheetName val="Instructions"/>
      <sheetName val="Mgr checklist"/>
      <sheetName val="Sheet8"/>
      <sheetName val="NEL"/>
      <sheetName val="Sales"/>
      <sheetName val="True-up"/>
      <sheetName val="Revenue"/>
      <sheetName val="UNBIL3"/>
      <sheetName val="Base Rate Detail"/>
      <sheetName val="KWH rmvd"/>
      <sheetName val="KWH Off Cycle Billing Report"/>
      <sheetName val="unbilled txt import"/>
      <sheetName val="Unbilled txt in table form"/>
      <sheetName val="Form 27A vs 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4">
          <cell r="FR54">
            <v>7358778.4931979077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utomated checks"/>
      <sheetName val="Allocation check"/>
      <sheetName val="Sheet4"/>
      <sheetName val="Sheet5"/>
      <sheetName val="Sheet6"/>
      <sheetName val="Sheet7"/>
      <sheetName val="Sheet1"/>
      <sheetName val="Sheet9"/>
      <sheetName val="Sheet2"/>
      <sheetName val="Instructions"/>
      <sheetName val="Mgr checklist"/>
      <sheetName val="Sheet8"/>
      <sheetName val="NEL"/>
      <sheetName val="Sales"/>
      <sheetName val="True-up"/>
      <sheetName val="Revenue"/>
      <sheetName val="UNBIL3"/>
      <sheetName val="Base Rate Detail"/>
      <sheetName val="KWH rmvd"/>
      <sheetName val="KWH Off Cycle Billing Report"/>
      <sheetName val="unbilled txt import"/>
      <sheetName val="Unbilled txt in table form"/>
      <sheetName val="Form 27A vs 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4">
          <cell r="FS54">
            <v>7121778.1245228592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utomated checks"/>
      <sheetName val="Allocation check"/>
      <sheetName val="Sheet4"/>
      <sheetName val="Sheet5"/>
      <sheetName val="Sheet6"/>
      <sheetName val="Sheet7"/>
      <sheetName val="Sheet1"/>
      <sheetName val="Sheet2"/>
      <sheetName val="Instructions"/>
      <sheetName val="Mgr checklist"/>
      <sheetName val="Sheet8"/>
      <sheetName val="NEL"/>
      <sheetName val="Sales"/>
      <sheetName val="True-up"/>
      <sheetName val="Revenue"/>
      <sheetName val="UNBIL3"/>
      <sheetName val="Base Rate Detail"/>
      <sheetName val="KWH rmvd"/>
      <sheetName val="KWH Off Cycle Billing Report"/>
      <sheetName val="unbilled txt import"/>
      <sheetName val="Unbilled txt in table form"/>
      <sheetName val="Form 27A vs 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4">
          <cell r="FT54">
            <v>7968720.2680297131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Wholesale"/>
      <sheetName val="Total"/>
      <sheetName val="UPC"/>
      <sheetName val="All"/>
      <sheetName val="Price"/>
    </sheetNames>
    <sheetDataSet>
      <sheetData sheetId="0">
        <row r="6">
          <cell r="N6">
            <v>7428031.5939999996</v>
          </cell>
          <cell r="O6">
            <v>7358778.4931979077</v>
          </cell>
        </row>
        <row r="7">
          <cell r="N7">
            <v>6668738.3879999993</v>
          </cell>
          <cell r="O7">
            <v>7121778.1245228592</v>
          </cell>
        </row>
        <row r="8">
          <cell r="N8">
            <v>7482396.0779999997</v>
          </cell>
          <cell r="O8">
            <v>7968720.2680297131</v>
          </cell>
        </row>
        <row r="9">
          <cell r="N9">
            <v>9030384.3930000011</v>
          </cell>
          <cell r="O9">
            <v>7842299.5860000001</v>
          </cell>
        </row>
        <row r="10">
          <cell r="N10">
            <v>8843049.5600000005</v>
          </cell>
          <cell r="O10">
            <v>9116431.287363667</v>
          </cell>
        </row>
        <row r="11">
          <cell r="N11">
            <v>10107182.301000001</v>
          </cell>
          <cell r="O11">
            <v>9440381.8751888722</v>
          </cell>
        </row>
        <row r="12">
          <cell r="N12">
            <v>10831587.262999998</v>
          </cell>
          <cell r="O12">
            <v>0</v>
          </cell>
        </row>
        <row r="13">
          <cell r="N13">
            <v>10352319.1</v>
          </cell>
          <cell r="O13">
            <v>0</v>
          </cell>
        </row>
        <row r="14">
          <cell r="N14">
            <v>9673442</v>
          </cell>
          <cell r="O14">
            <v>0</v>
          </cell>
        </row>
        <row r="15">
          <cell r="N15">
            <v>8313026.4949999992</v>
          </cell>
          <cell r="O15">
            <v>0</v>
          </cell>
        </row>
        <row r="16">
          <cell r="N16">
            <v>7423424</v>
          </cell>
          <cell r="O16">
            <v>0</v>
          </cell>
        </row>
        <row r="17">
          <cell r="N17">
            <v>7404061.023</v>
          </cell>
          <cell r="O17">
            <v>0</v>
          </cell>
        </row>
      </sheetData>
      <sheetData sheetId="1" refreshError="1"/>
      <sheetData sheetId="2">
        <row r="6">
          <cell r="O6">
            <v>7519891.9371979078</v>
          </cell>
        </row>
        <row r="7">
          <cell r="O7">
            <v>7280571.7285228595</v>
          </cell>
        </row>
        <row r="8">
          <cell r="O8">
            <v>8149117.1270297132</v>
          </cell>
        </row>
        <row r="9">
          <cell r="O9">
            <v>8016770.5350000001</v>
          </cell>
        </row>
        <row r="10">
          <cell r="O10">
            <v>9321939.9683636669</v>
          </cell>
        </row>
        <row r="11">
          <cell r="O11">
            <v>9643564.8401888721</v>
          </cell>
        </row>
      </sheetData>
      <sheetData sheetId="3" refreshError="1"/>
      <sheetData sheetId="4">
        <row r="6">
          <cell r="AO6">
            <v>7358778.4931979077</v>
          </cell>
        </row>
        <row r="7">
          <cell r="AO7">
            <v>7121778.1245228592</v>
          </cell>
        </row>
        <row r="8">
          <cell r="AO8">
            <v>7968720.2680297131</v>
          </cell>
        </row>
        <row r="9">
          <cell r="AO9">
            <v>7842299.5860000001</v>
          </cell>
        </row>
        <row r="10">
          <cell r="AO10">
            <v>9116431.287363667</v>
          </cell>
        </row>
        <row r="11">
          <cell r="AO11">
            <v>9440381.8751888722</v>
          </cell>
        </row>
      </sheetData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Hourly Loads"/>
      <sheetName val="PGBU Daily Data"/>
      <sheetName val="Daily Log (Levelized)"/>
      <sheetName val="2011 Weekly (Levelized)"/>
      <sheetName val="NEL &amp; Demand Report-Levelized"/>
      <sheetName val="Monthly NEL Report"/>
      <sheetName val="2011 Forecasted Growth"/>
    </sheetNames>
    <sheetDataSet>
      <sheetData sheetId="0" refreshError="1"/>
      <sheetData sheetId="1" refreshError="1"/>
      <sheetData sheetId="2">
        <row r="12">
          <cell r="C12">
            <v>341336</v>
          </cell>
        </row>
        <row r="13">
          <cell r="C13">
            <v>269403</v>
          </cell>
        </row>
        <row r="14">
          <cell r="C14">
            <v>237279</v>
          </cell>
        </row>
        <row r="15">
          <cell r="C15">
            <v>223451</v>
          </cell>
        </row>
        <row r="16">
          <cell r="C16">
            <v>228744</v>
          </cell>
        </row>
        <row r="17">
          <cell r="C17">
            <v>247544</v>
          </cell>
        </row>
        <row r="18">
          <cell r="C18">
            <v>250431</v>
          </cell>
        </row>
        <row r="19">
          <cell r="C19">
            <v>252278</v>
          </cell>
        </row>
        <row r="20">
          <cell r="C20">
            <v>246061</v>
          </cell>
        </row>
        <row r="21">
          <cell r="C21">
            <v>253026</v>
          </cell>
        </row>
        <row r="22">
          <cell r="C22">
            <v>238746</v>
          </cell>
        </row>
        <row r="23">
          <cell r="C23">
            <v>243314</v>
          </cell>
        </row>
        <row r="24">
          <cell r="C24">
            <v>247220</v>
          </cell>
        </row>
        <row r="25">
          <cell r="C25">
            <v>256258</v>
          </cell>
        </row>
        <row r="26">
          <cell r="C26">
            <v>279087</v>
          </cell>
        </row>
        <row r="27">
          <cell r="C27">
            <v>338623</v>
          </cell>
        </row>
        <row r="28">
          <cell r="C28">
            <v>306464</v>
          </cell>
        </row>
        <row r="29">
          <cell r="C29">
            <v>254961</v>
          </cell>
        </row>
        <row r="30">
          <cell r="C30">
            <v>236469</v>
          </cell>
        </row>
        <row r="31">
          <cell r="C31">
            <v>243381</v>
          </cell>
        </row>
        <row r="32">
          <cell r="C32">
            <v>248794</v>
          </cell>
        </row>
        <row r="33">
          <cell r="C33">
            <v>257652</v>
          </cell>
        </row>
        <row r="34">
          <cell r="C34">
            <v>258038</v>
          </cell>
        </row>
        <row r="35">
          <cell r="C35">
            <v>252162</v>
          </cell>
        </row>
        <row r="36">
          <cell r="C36">
            <v>241777</v>
          </cell>
        </row>
        <row r="37">
          <cell r="C37">
            <v>286712</v>
          </cell>
        </row>
        <row r="38">
          <cell r="C38">
            <v>265394</v>
          </cell>
        </row>
        <row r="39">
          <cell r="C39">
            <v>245711</v>
          </cell>
        </row>
        <row r="40">
          <cell r="C40">
            <v>239534</v>
          </cell>
        </row>
        <row r="41">
          <cell r="C41">
            <v>262067</v>
          </cell>
        </row>
        <row r="42">
          <cell r="C42">
            <v>268110</v>
          </cell>
        </row>
        <row r="43">
          <cell r="C43">
            <v>261851</v>
          </cell>
        </row>
        <row r="44">
          <cell r="C44">
            <v>243158</v>
          </cell>
        </row>
        <row r="45">
          <cell r="C45">
            <v>245750</v>
          </cell>
        </row>
        <row r="46">
          <cell r="C46">
            <v>248738</v>
          </cell>
        </row>
        <row r="47">
          <cell r="C47">
            <v>258271</v>
          </cell>
        </row>
        <row r="48">
          <cell r="C48">
            <v>259831</v>
          </cell>
        </row>
        <row r="49">
          <cell r="C49">
            <v>265409</v>
          </cell>
        </row>
        <row r="50">
          <cell r="C50">
            <v>253267</v>
          </cell>
        </row>
        <row r="51">
          <cell r="C51">
            <v>250243</v>
          </cell>
        </row>
        <row r="52">
          <cell r="C52">
            <v>272917</v>
          </cell>
        </row>
        <row r="53">
          <cell r="C53">
            <v>252532</v>
          </cell>
        </row>
        <row r="54">
          <cell r="C54">
            <v>259816</v>
          </cell>
        </row>
        <row r="55">
          <cell r="C55">
            <v>268643</v>
          </cell>
        </row>
        <row r="56">
          <cell r="C56">
            <v>255431</v>
          </cell>
        </row>
        <row r="57">
          <cell r="C57">
            <v>256349</v>
          </cell>
        </row>
        <row r="58">
          <cell r="C58">
            <v>265321</v>
          </cell>
        </row>
        <row r="59">
          <cell r="C59">
            <v>263010</v>
          </cell>
        </row>
        <row r="60">
          <cell r="C60">
            <v>254276</v>
          </cell>
        </row>
        <row r="61">
          <cell r="C61">
            <v>249214</v>
          </cell>
        </row>
        <row r="62">
          <cell r="C62">
            <v>251685</v>
          </cell>
        </row>
        <row r="63">
          <cell r="C63">
            <v>248436</v>
          </cell>
        </row>
        <row r="64">
          <cell r="C64">
            <v>237412</v>
          </cell>
        </row>
        <row r="65">
          <cell r="C65">
            <v>234904</v>
          </cell>
        </row>
        <row r="66">
          <cell r="C66">
            <v>258484</v>
          </cell>
        </row>
        <row r="67">
          <cell r="C67">
            <v>271024</v>
          </cell>
        </row>
        <row r="68">
          <cell r="C68">
            <v>275099</v>
          </cell>
        </row>
        <row r="69">
          <cell r="C69">
            <v>267497</v>
          </cell>
        </row>
        <row r="70">
          <cell r="C70">
            <v>271482</v>
          </cell>
        </row>
        <row r="71">
          <cell r="C71">
            <v>258628</v>
          </cell>
        </row>
        <row r="72">
          <cell r="C72">
            <v>262186</v>
          </cell>
        </row>
        <row r="73">
          <cell r="C73">
            <v>283612</v>
          </cell>
        </row>
        <row r="74">
          <cell r="C74">
            <v>278442</v>
          </cell>
        </row>
        <row r="75">
          <cell r="C75">
            <v>262971</v>
          </cell>
        </row>
        <row r="76">
          <cell r="C76">
            <v>252613</v>
          </cell>
        </row>
        <row r="77">
          <cell r="C77">
            <v>251021</v>
          </cell>
        </row>
        <row r="78">
          <cell r="C78">
            <v>245511</v>
          </cell>
        </row>
        <row r="79">
          <cell r="C79">
            <v>247046</v>
          </cell>
        </row>
        <row r="80">
          <cell r="C80">
            <v>251149</v>
          </cell>
        </row>
        <row r="81">
          <cell r="C81">
            <v>265209</v>
          </cell>
        </row>
        <row r="82">
          <cell r="C82">
            <v>274024</v>
          </cell>
        </row>
        <row r="83">
          <cell r="C83">
            <v>252572</v>
          </cell>
        </row>
        <row r="84">
          <cell r="C84">
            <v>234152</v>
          </cell>
        </row>
        <row r="85">
          <cell r="C85">
            <v>232636</v>
          </cell>
        </row>
        <row r="86">
          <cell r="C86">
            <v>231629.5</v>
          </cell>
        </row>
        <row r="87">
          <cell r="C87">
            <v>242240</v>
          </cell>
        </row>
        <row r="88">
          <cell r="C88">
            <v>248561</v>
          </cell>
        </row>
        <row r="89">
          <cell r="C89">
            <v>258729</v>
          </cell>
        </row>
        <row r="90">
          <cell r="C90">
            <v>263552</v>
          </cell>
        </row>
        <row r="91">
          <cell r="C91">
            <v>259108</v>
          </cell>
        </row>
        <row r="92">
          <cell r="C92">
            <v>249947</v>
          </cell>
        </row>
        <row r="93">
          <cell r="C93">
            <v>252493</v>
          </cell>
        </row>
        <row r="94">
          <cell r="C94">
            <v>264688</v>
          </cell>
        </row>
        <row r="95">
          <cell r="C95">
            <v>266223</v>
          </cell>
        </row>
        <row r="96">
          <cell r="C96">
            <v>270575</v>
          </cell>
        </row>
        <row r="97">
          <cell r="C97">
            <v>282426</v>
          </cell>
        </row>
        <row r="98">
          <cell r="C98">
            <v>286856</v>
          </cell>
        </row>
        <row r="99">
          <cell r="C99">
            <v>276140</v>
          </cell>
        </row>
        <row r="100">
          <cell r="C100">
            <v>291797</v>
          </cell>
        </row>
        <row r="101">
          <cell r="C101">
            <v>291717</v>
          </cell>
        </row>
        <row r="102">
          <cell r="C102">
            <v>285970</v>
          </cell>
        </row>
        <row r="103">
          <cell r="C103">
            <v>311584</v>
          </cell>
        </row>
        <row r="104">
          <cell r="C104">
            <v>314535</v>
          </cell>
        </row>
        <row r="133">
          <cell r="C133">
            <v>330875</v>
          </cell>
        </row>
        <row r="134">
          <cell r="C134">
            <v>299148</v>
          </cell>
        </row>
        <row r="135">
          <cell r="C135">
            <v>311905</v>
          </cell>
        </row>
        <row r="136">
          <cell r="C136">
            <v>332625</v>
          </cell>
        </row>
        <row r="137">
          <cell r="C137">
            <v>329978</v>
          </cell>
        </row>
        <row r="138">
          <cell r="C138">
            <v>327794</v>
          </cell>
        </row>
        <row r="139">
          <cell r="C139">
            <v>296909</v>
          </cell>
        </row>
        <row r="140">
          <cell r="C140">
            <v>290313</v>
          </cell>
        </row>
        <row r="141">
          <cell r="C141">
            <v>294307</v>
          </cell>
        </row>
        <row r="142">
          <cell r="C142">
            <v>308320</v>
          </cell>
        </row>
        <row r="143">
          <cell r="C143">
            <v>332438</v>
          </cell>
        </row>
        <row r="144">
          <cell r="C144">
            <v>343669</v>
          </cell>
        </row>
        <row r="145">
          <cell r="C145">
            <v>350011</v>
          </cell>
        </row>
        <row r="146">
          <cell r="C146">
            <v>345847</v>
          </cell>
        </row>
        <row r="147">
          <cell r="C147">
            <v>331641</v>
          </cell>
        </row>
        <row r="148">
          <cell r="C148">
            <v>306410</v>
          </cell>
        </row>
        <row r="149">
          <cell r="C149">
            <v>283448</v>
          </cell>
        </row>
        <row r="150">
          <cell r="C150">
            <v>296223</v>
          </cell>
        </row>
        <row r="151">
          <cell r="C151">
            <v>297054</v>
          </cell>
        </row>
        <row r="152">
          <cell r="C152">
            <v>299905</v>
          </cell>
        </row>
        <row r="153">
          <cell r="C153">
            <v>329041</v>
          </cell>
        </row>
        <row r="154">
          <cell r="C154">
            <v>346718</v>
          </cell>
        </row>
        <row r="155">
          <cell r="C155">
            <v>345313</v>
          </cell>
        </row>
        <row r="156">
          <cell r="C156">
            <v>346223</v>
          </cell>
        </row>
        <row r="157">
          <cell r="C157">
            <v>344831</v>
          </cell>
        </row>
        <row r="158">
          <cell r="C158">
            <v>340120</v>
          </cell>
        </row>
        <row r="159">
          <cell r="C159">
            <v>342014</v>
          </cell>
        </row>
        <row r="160">
          <cell r="C160">
            <v>349366</v>
          </cell>
        </row>
        <row r="161">
          <cell r="C161">
            <v>334569</v>
          </cell>
        </row>
        <row r="162">
          <cell r="C162">
            <v>328103</v>
          </cell>
        </row>
        <row r="163">
          <cell r="C163">
            <v>330212</v>
          </cell>
        </row>
        <row r="164">
          <cell r="C164">
            <v>334159</v>
          </cell>
        </row>
        <row r="165">
          <cell r="C165">
            <v>348842</v>
          </cell>
        </row>
        <row r="166">
          <cell r="C166">
            <v>335903</v>
          </cell>
        </row>
        <row r="167">
          <cell r="C167">
            <v>342858</v>
          </cell>
        </row>
        <row r="168">
          <cell r="C168">
            <v>344462</v>
          </cell>
        </row>
        <row r="169">
          <cell r="C169">
            <v>339451</v>
          </cell>
        </row>
        <row r="170">
          <cell r="C170">
            <v>338380</v>
          </cell>
        </row>
        <row r="171">
          <cell r="C171">
            <v>348213</v>
          </cell>
        </row>
        <row r="172">
          <cell r="C172">
            <v>354523</v>
          </cell>
        </row>
        <row r="173">
          <cell r="C173">
            <v>352575</v>
          </cell>
        </row>
        <row r="174">
          <cell r="C174">
            <v>345818</v>
          </cell>
        </row>
        <row r="175">
          <cell r="C175">
            <v>352640</v>
          </cell>
        </row>
        <row r="176">
          <cell r="C176">
            <v>344169</v>
          </cell>
        </row>
        <row r="177">
          <cell r="C177">
            <v>341930</v>
          </cell>
        </row>
        <row r="178">
          <cell r="C178">
            <v>367047</v>
          </cell>
        </row>
        <row r="179">
          <cell r="C179">
            <v>375312</v>
          </cell>
        </row>
        <row r="180">
          <cell r="C180">
            <v>371482</v>
          </cell>
        </row>
        <row r="181">
          <cell r="C181">
            <v>364188</v>
          </cell>
        </row>
        <row r="182">
          <cell r="C182">
            <v>378418</v>
          </cell>
        </row>
        <row r="183">
          <cell r="C183">
            <v>356152</v>
          </cell>
        </row>
        <row r="184">
          <cell r="C184">
            <v>338346</v>
          </cell>
        </row>
        <row r="185">
          <cell r="C185">
            <v>355386</v>
          </cell>
        </row>
        <row r="186">
          <cell r="C186">
            <v>377603</v>
          </cell>
        </row>
        <row r="187">
          <cell r="C187">
            <v>392171</v>
          </cell>
        </row>
        <row r="188">
          <cell r="C188">
            <v>395715</v>
          </cell>
        </row>
        <row r="189">
          <cell r="C189">
            <v>362785</v>
          </cell>
        </row>
        <row r="190">
          <cell r="C190">
            <v>334053</v>
          </cell>
        </row>
        <row r="191">
          <cell r="C191">
            <v>323798</v>
          </cell>
        </row>
        <row r="192">
          <cell r="C192">
            <v>347687</v>
          </cell>
        </row>
        <row r="193">
          <cell r="C193">
            <v>328244</v>
          </cell>
        </row>
        <row r="194">
          <cell r="C194">
            <v>319168</v>
          </cell>
        </row>
        <row r="195">
          <cell r="C195">
            <v>311164</v>
          </cell>
        </row>
        <row r="377">
          <cell r="C377">
            <v>245289</v>
          </cell>
        </row>
        <row r="378">
          <cell r="C378">
            <v>243039</v>
          </cell>
        </row>
        <row r="379">
          <cell r="C379">
            <v>241481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JAN(E)"/>
      <sheetName val="JAN(F)"/>
      <sheetName val="JAN (F) REV"/>
      <sheetName val="FEB(E)"/>
      <sheetName val="FEB(F) "/>
      <sheetName val="MAR(E)"/>
      <sheetName val="MAR(F)"/>
      <sheetName val="1st QTR"/>
      <sheetName val="APR(E)"/>
      <sheetName val="APR(F) "/>
      <sheetName val="MAY(E) "/>
      <sheetName val="MAY(F) "/>
      <sheetName val="JUN(E)"/>
      <sheetName val="JUN(F) "/>
      <sheetName val="2ND QTR"/>
      <sheetName val="JUL(E)"/>
      <sheetName val="JUL(F) "/>
      <sheetName val="JUL(F) REV"/>
      <sheetName val="AUG(E) "/>
      <sheetName val="AUG(F) "/>
      <sheetName val="SEP(E)"/>
      <sheetName val="SEP(F)"/>
      <sheetName val="3RD QTR"/>
      <sheetName val="OCT(E)"/>
      <sheetName val="OCT(F)"/>
      <sheetName val="NOV(E)"/>
      <sheetName val="NOV(F)"/>
      <sheetName val="DEC(E)"/>
      <sheetName val="DEC(F)"/>
      <sheetName val="4TH QTR"/>
      <sheetName val="Year To Date"/>
      <sheetName val="UNIT TOTAL NET"/>
    </sheetNames>
    <sheetDataSet>
      <sheetData sheetId="0" refreshError="1"/>
      <sheetData sheetId="1" refreshError="1"/>
      <sheetData sheetId="2">
        <row r="55">
          <cell r="F55">
            <v>8060821</v>
          </cell>
        </row>
      </sheetData>
      <sheetData sheetId="3" refreshError="1"/>
      <sheetData sheetId="4">
        <row r="55">
          <cell r="F55">
            <v>7228180</v>
          </cell>
        </row>
      </sheetData>
      <sheetData sheetId="5" refreshError="1"/>
      <sheetData sheetId="6">
        <row r="55">
          <cell r="F55">
            <v>8081883</v>
          </cell>
        </row>
      </sheetData>
      <sheetData sheetId="7" refreshError="1"/>
      <sheetData sheetId="8" refreshError="1"/>
      <sheetData sheetId="9">
        <row r="54">
          <cell r="F54">
            <v>9729978</v>
          </cell>
        </row>
      </sheetData>
      <sheetData sheetId="10" refreshError="1"/>
      <sheetData sheetId="11" refreshError="1"/>
      <sheetData sheetId="12" refreshError="1"/>
      <sheetData sheetId="13">
        <row r="54">
          <cell r="F54">
            <v>10923683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an_SAP_impact"/>
      <sheetName val="jan_data (2)"/>
      <sheetName val="Feb_SAP_impact "/>
      <sheetName val="Feb_data (2)"/>
      <sheetName val="Mar_SAP_impact"/>
      <sheetName val="mar_data (2)"/>
      <sheetName val="Apr_SAP_impact"/>
      <sheetName val="apr_data (2)"/>
      <sheetName val="MAY_SAP_impact "/>
      <sheetName val="may_data (2)"/>
      <sheetName val="JUNE_SAP_impact "/>
      <sheetName val="june_dat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C31">
            <v>285970</v>
          </cell>
        </row>
        <row r="32">
          <cell r="C32">
            <v>311584</v>
          </cell>
        </row>
        <row r="33">
          <cell r="C33">
            <v>314535</v>
          </cell>
        </row>
      </sheetData>
      <sheetData sheetId="8"/>
      <sheetData sheetId="9"/>
      <sheetData sheetId="10">
        <row r="5">
          <cell r="R5">
            <v>553137.41605970508</v>
          </cell>
        </row>
        <row r="36">
          <cell r="R36">
            <v>878833.21328225173</v>
          </cell>
        </row>
      </sheetData>
      <sheetData sheetId="11"/>
      <sheetData sheetId="12">
        <row r="5">
          <cell r="R5">
            <v>878833.21328225173</v>
          </cell>
        </row>
        <row r="36">
          <cell r="R36">
            <v>672576.52113274683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P6 Summary Plan Forecast_April"/>
      <sheetName val="P6 Summary Plan Forecast_Mar"/>
      <sheetName val="Summary Plan Retail Delivered"/>
      <sheetName val="Mar_Prices"/>
      <sheetName val="P6 Summary Plan Forecast_Feb"/>
      <sheetName val="P6 Summary Plan Forecast_Jan"/>
      <sheetName val="Feb_Prices"/>
      <sheetName val="Jan_prices"/>
      <sheetName val="Growth Plan"/>
      <sheetName val="Variance Plan"/>
      <sheetName val="Jan_SAP_impact"/>
      <sheetName val="Feb_SAP_impact "/>
      <sheetName val="Mar_SAP_impact"/>
      <sheetName val="Apr_SAP_impact"/>
      <sheetName val="Inactive_meter_ratio"/>
      <sheetName val="est. employment"/>
      <sheetName val="Actual CPI for Energy"/>
      <sheetName val="CPI_energy"/>
      <sheetName val="jan_data (2)"/>
      <sheetName val="leap_day"/>
      <sheetName val="Feb_data (2)"/>
      <sheetName val="mar_data (2)"/>
      <sheetName val="apr_data(2)"/>
      <sheetName val="retail_delivered_variance"/>
      <sheetName val="P6 Summary Plan Forecast_March"/>
      <sheetName val="aug_data"/>
      <sheetName val="july_data"/>
      <sheetName val="weather_day"/>
      <sheetName val="HH In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an_SAP_impact"/>
      <sheetName val="jan_data (2)"/>
      <sheetName val="Feb_SAP_impact "/>
      <sheetName val="Feb_data (2)"/>
      <sheetName val="Mar_SAP_impact"/>
      <sheetName val="mar_data (2)"/>
    </sheetNames>
    <sheetDataSet>
      <sheetData sheetId="0"/>
      <sheetData sheetId="1"/>
      <sheetData sheetId="2"/>
      <sheetData sheetId="3">
        <row r="31">
          <cell r="C31">
            <v>261851</v>
          </cell>
        </row>
        <row r="32">
          <cell r="C32">
            <v>243158</v>
          </cell>
        </row>
        <row r="33">
          <cell r="C33">
            <v>245750</v>
          </cell>
        </row>
      </sheetData>
      <sheetData sheetId="4">
        <row r="5">
          <cell r="S5">
            <v>769908.85359771666</v>
          </cell>
        </row>
        <row r="36">
          <cell r="S36">
            <v>703184.54877405835</v>
          </cell>
        </row>
      </sheetData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Chart1 (2)"/>
      <sheetName val="Chart1"/>
      <sheetName val="2012 Data"/>
      <sheetName val="Chart2"/>
      <sheetName val="Chart3"/>
      <sheetName val="2011 Data"/>
      <sheetName val="Growth Summary"/>
      <sheetName val="Monthly_NEL_WN"/>
      <sheetName val="Monthly_NEL_Mod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121">
          <cell r="S121">
            <v>0</v>
          </cell>
        </row>
        <row r="122">
          <cell r="S122">
            <v>0</v>
          </cell>
        </row>
      </sheetData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active Meters (Mon to Mon Gr)"/>
    </sheetNames>
    <sheetDataSet>
      <sheetData sheetId="0">
        <row r="10">
          <cell r="D10">
            <v>4502130</v>
          </cell>
          <cell r="E10">
            <v>4510659</v>
          </cell>
          <cell r="F10">
            <v>4516712</v>
          </cell>
          <cell r="G10">
            <v>4520229</v>
          </cell>
          <cell r="H10">
            <v>4521728</v>
          </cell>
          <cell r="I10">
            <v>4521918</v>
          </cell>
          <cell r="J10">
            <v>4522790</v>
          </cell>
          <cell r="K10">
            <v>4526766</v>
          </cell>
          <cell r="L10">
            <v>4524923</v>
          </cell>
          <cell r="M10">
            <v>4524001</v>
          </cell>
          <cell r="N10">
            <v>4525048</v>
          </cell>
          <cell r="O10">
            <v>4527028</v>
          </cell>
        </row>
        <row r="28">
          <cell r="G28">
            <v>298911</v>
          </cell>
          <cell r="H28">
            <v>298934</v>
          </cell>
          <cell r="I28">
            <v>299579</v>
          </cell>
          <cell r="J28">
            <v>298791</v>
          </cell>
          <cell r="K28">
            <v>298181</v>
          </cell>
          <cell r="L28">
            <v>300356</v>
          </cell>
          <cell r="M28">
            <v>300357</v>
          </cell>
          <cell r="N28">
            <v>298244</v>
          </cell>
          <cell r="O28">
            <v>293765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Inactive Meters (Mon to Mon Gr)"/>
    </sheetNames>
    <sheetDataSet>
      <sheetData sheetId="0">
        <row r="10">
          <cell r="D10">
            <v>4533029</v>
          </cell>
          <cell r="E10">
            <v>4539389</v>
          </cell>
          <cell r="F10">
            <v>4546574</v>
          </cell>
          <cell r="G10">
            <v>4550254</v>
          </cell>
          <cell r="H10">
            <v>4549811</v>
          </cell>
          <cell r="I10">
            <v>4549338</v>
          </cell>
          <cell r="J10">
            <v>4549687</v>
          </cell>
          <cell r="K10">
            <v>4550328</v>
          </cell>
          <cell r="L10">
            <v>4545995</v>
          </cell>
          <cell r="M10">
            <v>4546841</v>
          </cell>
          <cell r="N10">
            <v>4549257</v>
          </cell>
          <cell r="O10">
            <v>4554107</v>
          </cell>
        </row>
        <row r="28">
          <cell r="D28">
            <v>291177</v>
          </cell>
          <cell r="E28">
            <v>286940</v>
          </cell>
          <cell r="F28">
            <v>281812</v>
          </cell>
          <cell r="G28">
            <v>281936</v>
          </cell>
          <cell r="H28">
            <v>282624</v>
          </cell>
          <cell r="I28">
            <v>285251</v>
          </cell>
          <cell r="J28">
            <v>285102</v>
          </cell>
          <cell r="K28">
            <v>286187</v>
          </cell>
          <cell r="L28">
            <v>287078</v>
          </cell>
          <cell r="M28">
            <v>285144</v>
          </cell>
          <cell r="N28">
            <v>282571</v>
          </cell>
          <cell r="O28">
            <v>276769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34">
          <cell r="A34">
            <v>40968</v>
          </cell>
          <cell r="C34">
            <v>295106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omposite Temperature"/>
      <sheetName val="Monthly Summaries"/>
      <sheetName val="12-29-10 thru 12-31-10 data"/>
      <sheetName val="CDH and HDH Daily normals for 2"/>
    </sheetNames>
    <sheetDataSet>
      <sheetData sheetId="0"/>
      <sheetData sheetId="1">
        <row r="42">
          <cell r="F42">
            <v>27.637911006728736</v>
          </cell>
          <cell r="O42">
            <v>30.130192707755892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</sheetNames>
    <sheetDataSet>
      <sheetData sheetId="0"/>
      <sheetData sheetId="1"/>
      <sheetData sheetId="2"/>
      <sheetData sheetId="3"/>
      <sheetData sheetId="4"/>
      <sheetData sheetId="5">
        <row r="68">
          <cell r="C68">
            <v>-113.3663</v>
          </cell>
        </row>
        <row r="69">
          <cell r="C69">
            <v>0</v>
          </cell>
        </row>
        <row r="70">
          <cell r="C70">
            <v>-187.00484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Defunct"/>
      <sheetName val="SAPBEXfiltersDefunct"/>
      <sheetName val="Summary"/>
      <sheetName val="BExRepositorySheet"/>
      <sheetName val="Actual"/>
      <sheetName val="Plan"/>
      <sheetName val="Prior"/>
      <sheetName val="Actual (Not Rounded)"/>
      <sheetName val="Actual to P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8">
          <cell r="C68">
            <v>-125.78381</v>
          </cell>
          <cell r="D68">
            <v>-135.5008</v>
          </cell>
          <cell r="O68">
            <v>-261.28460999999999</v>
          </cell>
        </row>
        <row r="69">
          <cell r="C69">
            <v>0</v>
          </cell>
          <cell r="D69">
            <v>0</v>
          </cell>
          <cell r="O69">
            <v>0</v>
          </cell>
        </row>
        <row r="70">
          <cell r="C70">
            <v>-171.98851999999999</v>
          </cell>
          <cell r="D70">
            <v>-266.99468000000002</v>
          </cell>
          <cell r="O70">
            <v>-438.98320000000001</v>
          </cell>
        </row>
      </sheetData>
      <sheetData sheetId="5" refreshError="1"/>
      <sheetData sheetId="6">
        <row r="68">
          <cell r="C68">
            <v>-113.3663</v>
          </cell>
          <cell r="D68">
            <v>-120.75836000000001</v>
          </cell>
        </row>
        <row r="69">
          <cell r="C69">
            <v>0</v>
          </cell>
          <cell r="D69">
            <v>0</v>
          </cell>
        </row>
        <row r="70">
          <cell r="C70">
            <v>-187.00484</v>
          </cell>
          <cell r="D70">
            <v>-67.465559999999996</v>
          </cell>
        </row>
      </sheetData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  <sheetName val="Statistics"/>
    </sheetNames>
    <sheetDataSet>
      <sheetData sheetId="0"/>
      <sheetData sheetId="1"/>
      <sheetData sheetId="2">
        <row r="65">
          <cell r="C65">
            <v>-114.89097</v>
          </cell>
          <cell r="M65">
            <v>-349.01562999999999</v>
          </cell>
        </row>
        <row r="66">
          <cell r="C66">
            <v>0</v>
          </cell>
          <cell r="M66">
            <v>0</v>
          </cell>
        </row>
        <row r="67">
          <cell r="C67">
            <v>-98.068399999999997</v>
          </cell>
          <cell r="M67">
            <v>-352.53879999999998</v>
          </cell>
        </row>
      </sheetData>
      <sheetData sheetId="3">
        <row r="66">
          <cell r="C66">
            <v>-113.3663</v>
          </cell>
          <cell r="D66">
            <v>-120.75836000000001</v>
          </cell>
          <cell r="E66">
            <v>-114.89097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-187.00484</v>
          </cell>
          <cell r="D68">
            <v>-67.465559999999996</v>
          </cell>
          <cell r="E68">
            <v>-98.068399999999997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ummary"/>
      <sheetName val="Actual"/>
      <sheetName val="Plan"/>
      <sheetName val="Prior"/>
      <sheetName val="Actual (Not Rounded)"/>
      <sheetName val="Actual to PY"/>
    </sheetNames>
    <sheetDataSet>
      <sheetData sheetId="0"/>
      <sheetData sheetId="1"/>
      <sheetData sheetId="2"/>
      <sheetData sheetId="3"/>
      <sheetData sheetId="4">
        <row r="68">
          <cell r="C68">
            <v>-125.78381</v>
          </cell>
          <cell r="D68">
            <v>-135.5008</v>
          </cell>
          <cell r="E68">
            <v>-125.75648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-171.98851999999999</v>
          </cell>
          <cell r="D70">
            <v>-266.99468000000002</v>
          </cell>
          <cell r="E70">
            <v>-184.03798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ummary"/>
      <sheetName val="Actual"/>
      <sheetName val="Plan"/>
      <sheetName val="Prior"/>
      <sheetName val="Actual (Not Rounded)"/>
      <sheetName val="Actual to PY"/>
      <sheetName val="Statistics"/>
    </sheetNames>
    <sheetDataSet>
      <sheetData sheetId="0"/>
      <sheetData sheetId="1"/>
      <sheetData sheetId="2">
        <row r="65">
          <cell r="C65">
            <v>-106.81132000000001</v>
          </cell>
          <cell r="M65">
            <v>-455.82695000000001</v>
          </cell>
        </row>
        <row r="66">
          <cell r="C66">
            <v>0</v>
          </cell>
          <cell r="M66">
            <v>0</v>
          </cell>
        </row>
        <row r="67">
          <cell r="C67">
            <v>-155.92941999999999</v>
          </cell>
          <cell r="M67">
            <v>-508.46821999999997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1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S66"/>
  <sheetViews>
    <sheetView tabSelected="1" workbookViewId="0"/>
  </sheetViews>
  <sheetFormatPr defaultRowHeight="13.2"/>
  <cols>
    <col min="1" max="1" width="33.5546875" customWidth="1"/>
    <col min="2" max="2" width="12.6640625" customWidth="1"/>
    <col min="4" max="4" width="13.5546875" customWidth="1"/>
    <col min="5" max="5" width="11.5546875" bestFit="1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</cols>
  <sheetData>
    <row r="1" spans="1:16" ht="54" customHeight="1">
      <c r="A1" s="780" t="s">
        <v>468</v>
      </c>
    </row>
    <row r="2" spans="1:16" ht="13.8">
      <c r="A2" s="436" t="s">
        <v>142</v>
      </c>
    </row>
    <row r="3" spans="1:16">
      <c r="J3" s="281"/>
    </row>
    <row r="4" spans="1:16">
      <c r="A4" s="1"/>
      <c r="B4" s="230" t="s">
        <v>24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6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</row>
    <row r="6" spans="1:16">
      <c r="A6" s="46" t="s">
        <v>141</v>
      </c>
      <c r="B6" s="47">
        <f ca="1">+'Summary Plan Retail Delivered'!B6</f>
        <v>7428031.5939999996</v>
      </c>
      <c r="I6" s="232" t="s">
        <v>147</v>
      </c>
    </row>
    <row r="7" spans="1:16">
      <c r="A7" s="1"/>
      <c r="B7" s="232"/>
      <c r="O7" s="233">
        <f>+[3]Retail!$N$6</f>
        <v>7428031.5939999996</v>
      </c>
      <c r="P7" t="s">
        <v>133</v>
      </c>
    </row>
    <row r="8" spans="1:16">
      <c r="A8" s="1" t="s">
        <v>12</v>
      </c>
      <c r="B8" s="31">
        <f ca="1">+'Summary Plan Retail Delivered'!B8</f>
        <v>44523.071153938625</v>
      </c>
      <c r="C8" s="50">
        <f>O9</f>
        <v>40.676647336026392</v>
      </c>
      <c r="D8" s="234"/>
      <c r="I8" s="249" t="s">
        <v>281</v>
      </c>
      <c r="O8" s="250">
        <f ca="1">Jan_prices!E16</f>
        <v>302147.42154999997</v>
      </c>
      <c r="P8" t="s">
        <v>134</v>
      </c>
    </row>
    <row r="9" spans="1:16">
      <c r="A9" s="1"/>
      <c r="B9" s="3"/>
      <c r="C9" s="50"/>
      <c r="D9" s="234"/>
      <c r="O9" s="50">
        <f>O8/O7*1000</f>
        <v>40.676647336026392</v>
      </c>
    </row>
    <row r="10" spans="1:16">
      <c r="A10" s="1" t="s">
        <v>106</v>
      </c>
      <c r="B10" s="31">
        <f ca="1">+'Summary Plan Retail Delivered'!B10</f>
        <v>-17916.367127295776</v>
      </c>
      <c r="C10" s="50">
        <f>C8</f>
        <v>40.676647336026392</v>
      </c>
      <c r="D10" s="431">
        <f>+C10*B10/1000</f>
        <v>-728.7777471797865</v>
      </c>
      <c r="E10" s="432">
        <f>D10</f>
        <v>-728.7777471797865</v>
      </c>
      <c r="F10" s="432">
        <f>E10</f>
        <v>-728.7777471797865</v>
      </c>
      <c r="G10" s="432">
        <f>F10</f>
        <v>-728.7777471797865</v>
      </c>
      <c r="H10" s="238"/>
      <c r="I10" s="235"/>
      <c r="K10" s="236"/>
      <c r="P10" s="81"/>
    </row>
    <row r="11" spans="1:16">
      <c r="A11" s="1"/>
      <c r="B11" s="3"/>
      <c r="C11" s="50"/>
      <c r="D11" s="431"/>
      <c r="E11" s="432"/>
      <c r="F11" s="432"/>
      <c r="G11" s="432"/>
      <c r="H11" s="238"/>
      <c r="I11" s="235"/>
      <c r="K11" s="236"/>
      <c r="O11" s="5"/>
    </row>
    <row r="12" spans="1:16">
      <c r="A12" s="1" t="s">
        <v>13</v>
      </c>
      <c r="B12" s="31">
        <f ca="1">+'Summary Plan Retail Delivered'!B12</f>
        <v>26363.767123746089</v>
      </c>
      <c r="C12" s="50">
        <f>C10</f>
        <v>40.676647336026392</v>
      </c>
      <c r="D12" s="431">
        <f>+C12*B12/1000</f>
        <v>1072.3896577417465</v>
      </c>
      <c r="E12" s="432">
        <f>D12</f>
        <v>1072.3896577417465</v>
      </c>
      <c r="F12" s="432">
        <f>E12</f>
        <v>1072.3896577417465</v>
      </c>
      <c r="G12" s="432">
        <f>F12</f>
        <v>1072.3896577417465</v>
      </c>
      <c r="H12" s="238"/>
      <c r="I12" s="235"/>
      <c r="K12" s="236"/>
      <c r="O12" s="5"/>
    </row>
    <row r="13" spans="1:16">
      <c r="A13" s="1"/>
      <c r="B13" s="3"/>
      <c r="C13" s="50"/>
      <c r="D13" s="431"/>
      <c r="E13" s="432"/>
      <c r="F13" s="432"/>
      <c r="G13" s="432"/>
      <c r="H13" s="238"/>
      <c r="I13" s="235"/>
      <c r="K13" s="236"/>
      <c r="O13" s="81"/>
    </row>
    <row r="14" spans="1:16">
      <c r="A14" s="1" t="s">
        <v>35</v>
      </c>
      <c r="B14" s="31">
        <f ca="1">+'Summary Plan Retail Delivered'!B14</f>
        <v>171067.17616365151</v>
      </c>
      <c r="C14" s="50">
        <f>C12</f>
        <v>40.676647336026392</v>
      </c>
      <c r="D14" s="431">
        <f>+C14*B14/1000</f>
        <v>6958.4391955787532</v>
      </c>
      <c r="E14" s="432">
        <f>D14</f>
        <v>6958.4391955787532</v>
      </c>
      <c r="F14" s="432">
        <f>E14</f>
        <v>6958.4391955787532</v>
      </c>
      <c r="G14" s="432">
        <f>F14</f>
        <v>6958.4391955787532</v>
      </c>
      <c r="H14" s="238"/>
      <c r="I14" s="235"/>
      <c r="K14" s="236"/>
    </row>
    <row r="15" spans="1:16">
      <c r="A15" s="1"/>
      <c r="B15" s="3"/>
      <c r="C15" s="50"/>
      <c r="D15" s="431"/>
      <c r="E15" s="432"/>
      <c r="F15" s="432"/>
      <c r="G15" s="432"/>
      <c r="H15" s="238"/>
      <c r="I15" s="235"/>
      <c r="K15" s="236"/>
    </row>
    <row r="16" spans="1:16">
      <c r="A16" s="1" t="s">
        <v>36</v>
      </c>
      <c r="B16" s="31">
        <f ca="1">+'Summary Plan Retail Delivered'!B16</f>
        <v>-187023.17932389703</v>
      </c>
      <c r="C16" s="50">
        <f>C14</f>
        <v>40.676647336026392</v>
      </c>
      <c r="D16" s="431">
        <f>+C16*B16/1000</f>
        <v>-7607.4759090205825</v>
      </c>
      <c r="E16" s="432">
        <f>D16</f>
        <v>-7607.4759090205825</v>
      </c>
      <c r="F16" s="432">
        <f>E16</f>
        <v>-7607.4759090205825</v>
      </c>
      <c r="G16" s="432">
        <f>F16</f>
        <v>-7607.4759090205825</v>
      </c>
      <c r="H16" s="238"/>
      <c r="I16" s="235"/>
      <c r="K16" s="236"/>
    </row>
    <row r="17" spans="1:19" ht="13.8" thickBot="1">
      <c r="A17" s="1"/>
      <c r="B17" s="3"/>
      <c r="C17" s="50"/>
      <c r="D17" s="431"/>
      <c r="E17" s="432"/>
      <c r="F17" s="432"/>
      <c r="G17" s="432"/>
      <c r="H17" s="238"/>
      <c r="I17" s="235"/>
      <c r="K17" s="236"/>
    </row>
    <row r="18" spans="1:19" ht="13.8" thickBot="1">
      <c r="A18" s="1" t="s">
        <v>135</v>
      </c>
      <c r="B18" s="31">
        <f ca="1">+'Summary Plan Retail Delivered'!B18</f>
        <v>-8291.7597167364202</v>
      </c>
      <c r="C18" s="50">
        <f>C16</f>
        <v>40.676647336026392</v>
      </c>
      <c r="D18" s="431">
        <f>+C18*B18/1000</f>
        <v>-337.28098579275746</v>
      </c>
      <c r="E18" s="432">
        <f>D18</f>
        <v>-337.28098579275746</v>
      </c>
      <c r="F18" s="432">
        <f>E18</f>
        <v>-337.28098579275746</v>
      </c>
      <c r="G18" s="432">
        <f>F18</f>
        <v>-337.28098579275746</v>
      </c>
      <c r="H18" s="238"/>
      <c r="I18" s="281"/>
      <c r="J18" s="160"/>
      <c r="K18" s="282"/>
      <c r="L18" s="160"/>
      <c r="M18" s="160"/>
      <c r="N18" s="160"/>
      <c r="O18" s="283"/>
      <c r="P18" s="160"/>
      <c r="Q18" s="160"/>
      <c r="R18" s="160"/>
      <c r="S18" s="160"/>
    </row>
    <row r="19" spans="1:19">
      <c r="A19" s="1"/>
      <c r="B19" s="3"/>
      <c r="C19" s="50"/>
      <c r="D19" s="431"/>
      <c r="E19" s="432"/>
      <c r="F19" s="432"/>
      <c r="G19" s="432"/>
      <c r="H19" s="238"/>
      <c r="I19" s="284"/>
      <c r="J19" s="160"/>
      <c r="K19" s="282"/>
      <c r="L19" s="160"/>
      <c r="M19" s="160"/>
      <c r="N19" s="160"/>
      <c r="O19" s="160"/>
      <c r="P19" s="160"/>
      <c r="Q19" s="160"/>
      <c r="R19" s="160"/>
      <c r="S19" s="160"/>
    </row>
    <row r="20" spans="1:19">
      <c r="A20" s="1" t="s">
        <v>57</v>
      </c>
      <c r="B20" s="31">
        <f ca="1">+'Summary Plan Retail Delivered'!B20</f>
        <v>44290.516788346111</v>
      </c>
      <c r="C20" s="50">
        <f>C18</f>
        <v>40.676647336026392</v>
      </c>
      <c r="D20" s="431">
        <f>+C20*B20/1000</f>
        <v>1801.5897317299109</v>
      </c>
      <c r="E20" s="432">
        <f>D20</f>
        <v>1801.5897317299109</v>
      </c>
      <c r="F20" s="432">
        <f>E20</f>
        <v>1801.5897317299109</v>
      </c>
      <c r="G20" s="432">
        <f>F20</f>
        <v>1801.5897317299109</v>
      </c>
      <c r="H20" s="238"/>
      <c r="I20" s="284"/>
      <c r="J20" s="160"/>
      <c r="K20" s="282"/>
      <c r="L20" s="160"/>
      <c r="M20" s="160"/>
      <c r="N20" s="160"/>
      <c r="O20" s="285"/>
      <c r="P20" s="160"/>
      <c r="Q20" s="160"/>
      <c r="R20" s="160"/>
      <c r="S20" s="160"/>
    </row>
    <row r="21" spans="1:19">
      <c r="A21" s="1"/>
      <c r="B21" s="3"/>
      <c r="C21" s="50"/>
      <c r="D21" s="431"/>
      <c r="E21" s="432"/>
      <c r="F21" s="432"/>
      <c r="G21" s="432"/>
      <c r="H21" s="238"/>
      <c r="I21" s="284"/>
      <c r="J21" s="160"/>
      <c r="K21" s="282"/>
      <c r="L21" s="160"/>
      <c r="M21" s="160"/>
      <c r="N21" s="160"/>
      <c r="O21" s="160"/>
      <c r="P21" s="160"/>
      <c r="Q21" s="160"/>
      <c r="R21" s="160"/>
      <c r="S21" s="160"/>
    </row>
    <row r="22" spans="1:19" ht="12" customHeight="1">
      <c r="A22" s="1" t="s">
        <v>83</v>
      </c>
      <c r="B22" s="3">
        <f ca="1">'Summary Plan Retail Delivered'!B22</f>
        <v>-91806.14840724181</v>
      </c>
      <c r="C22" s="50">
        <f>C20</f>
        <v>40.676647336026392</v>
      </c>
      <c r="D22" s="431">
        <f>+C22*B22/1000</f>
        <v>-3734.3663220402759</v>
      </c>
      <c r="E22" s="432">
        <f>D22</f>
        <v>-3734.3663220402759</v>
      </c>
      <c r="F22" s="432">
        <f>E22</f>
        <v>-3734.3663220402759</v>
      </c>
      <c r="G22" s="432">
        <f>F22</f>
        <v>-3734.3663220402759</v>
      </c>
      <c r="H22" s="238"/>
      <c r="I22" s="284"/>
      <c r="J22" s="160"/>
      <c r="K22" s="160"/>
      <c r="L22" s="160"/>
      <c r="M22" s="160"/>
      <c r="N22" s="160"/>
      <c r="O22" s="286"/>
      <c r="P22" s="160"/>
      <c r="Q22" s="160"/>
      <c r="R22" s="160"/>
      <c r="S22" s="160"/>
    </row>
    <row r="23" spans="1:19" ht="12" customHeight="1">
      <c r="A23" s="1"/>
      <c r="B23" s="3"/>
      <c r="C23" s="50"/>
      <c r="D23" s="431"/>
      <c r="E23" s="433"/>
      <c r="F23" s="432"/>
      <c r="G23" s="432"/>
      <c r="H23" s="238"/>
      <c r="I23" s="284"/>
      <c r="J23" s="160"/>
      <c r="K23" s="160"/>
      <c r="L23" s="160"/>
      <c r="M23" s="160"/>
      <c r="N23" s="160"/>
      <c r="O23" s="160"/>
      <c r="P23" s="160"/>
      <c r="Q23" s="160"/>
      <c r="R23" s="160"/>
      <c r="S23" s="160"/>
    </row>
    <row r="24" spans="1:19">
      <c r="A24" s="1" t="s">
        <v>14</v>
      </c>
      <c r="B24" s="31">
        <f ca="1">+'Summary Plan Retail Delivered'!B24</f>
        <v>-50460.177456603386</v>
      </c>
      <c r="C24" s="50">
        <f>+C20</f>
        <v>40.676647336026392</v>
      </c>
      <c r="D24" s="431">
        <f>+C24*B24/1000</f>
        <v>-2052.5508429155652</v>
      </c>
      <c r="E24" s="432">
        <f>D24</f>
        <v>-2052.5508429155652</v>
      </c>
      <c r="F24" s="432">
        <f>E24</f>
        <v>-2052.5508429155652</v>
      </c>
      <c r="G24" s="432">
        <f>F24</f>
        <v>-2052.5508429155652</v>
      </c>
      <c r="H24" s="238"/>
      <c r="I24" s="284"/>
      <c r="J24" s="160"/>
      <c r="K24" s="160"/>
      <c r="L24" s="160"/>
      <c r="M24" s="160"/>
      <c r="N24" s="160"/>
      <c r="O24" s="287"/>
      <c r="P24" s="160"/>
      <c r="Q24" s="160"/>
      <c r="R24" s="160"/>
      <c r="S24" s="160"/>
    </row>
    <row r="25" spans="1:19">
      <c r="A25" s="1"/>
      <c r="B25" s="3"/>
      <c r="C25" s="183"/>
      <c r="D25" s="433"/>
      <c r="E25" s="433"/>
      <c r="F25" s="432"/>
      <c r="G25" s="432"/>
      <c r="H25" s="238"/>
      <c r="I25" s="284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>
      <c r="A26" s="46" t="s">
        <v>144</v>
      </c>
      <c r="B26" s="47">
        <f>SUM(B6:B24)</f>
        <v>7358778.4931979077</v>
      </c>
      <c r="C26" s="50">
        <f>+C24</f>
        <v>40.676647336026392</v>
      </c>
      <c r="D26" s="431">
        <f>SUM(D10:D25)</f>
        <v>-4628.0332218985568</v>
      </c>
      <c r="E26" s="432">
        <f>SUM(E10:E25)</f>
        <v>-4628.0332218985568</v>
      </c>
      <c r="F26" s="432">
        <f>E26</f>
        <v>-4628.0332218985568</v>
      </c>
      <c r="G26" s="432">
        <f>F26</f>
        <v>-4628.0332218985568</v>
      </c>
      <c r="H26" s="234"/>
      <c r="I26" s="284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>
      <c r="A27" s="1"/>
      <c r="B27" s="3"/>
      <c r="F27" s="233"/>
    </row>
    <row r="28" spans="1:19">
      <c r="A28" s="239" t="s">
        <v>136</v>
      </c>
      <c r="B28" s="3">
        <f>B26-B6</f>
        <v>-69253.100802091882</v>
      </c>
      <c r="E28" s="238"/>
      <c r="F28" s="238"/>
      <c r="G28" s="238"/>
    </row>
    <row r="29" spans="1:19">
      <c r="A29" s="1" t="s">
        <v>15</v>
      </c>
      <c r="B29" s="240">
        <f>B28/B6</f>
        <v>-9.323210318334019E-3</v>
      </c>
    </row>
    <row r="31" spans="1:19">
      <c r="B31" s="5"/>
    </row>
    <row r="33" spans="1:14">
      <c r="B33" s="5"/>
      <c r="C33" s="5"/>
      <c r="D33" s="5"/>
      <c r="E33" s="5"/>
      <c r="F33" s="5"/>
    </row>
    <row r="34" spans="1:14" ht="13.8">
      <c r="A34" s="436" t="s">
        <v>143</v>
      </c>
    </row>
    <row r="36" spans="1:14">
      <c r="A36" s="1"/>
      <c r="B36" s="241"/>
    </row>
    <row r="37" spans="1:14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</row>
    <row r="38" spans="1:14">
      <c r="A38" s="46" t="s">
        <v>145</v>
      </c>
      <c r="B38" s="47">
        <f ca="1">+'Summary Plan Retail Delivered'!B38</f>
        <v>7619667.7579499995</v>
      </c>
    </row>
    <row r="39" spans="1:14">
      <c r="A39" s="1"/>
      <c r="B39" s="3"/>
    </row>
    <row r="40" spans="1:14">
      <c r="A40" s="1" t="s">
        <v>12</v>
      </c>
      <c r="B40" s="31">
        <f ca="1">+'Summary Plan Retail Delivered'!B40</f>
        <v>61.050881851157079</v>
      </c>
      <c r="C40" s="237">
        <f>N53</f>
        <v>42.1244171696477</v>
      </c>
      <c r="D40" s="234"/>
    </row>
    <row r="41" spans="1:14">
      <c r="A41" s="1"/>
      <c r="B41" s="3"/>
      <c r="D41" s="234"/>
    </row>
    <row r="42" spans="1:14">
      <c r="A42" s="1" t="s">
        <v>106</v>
      </c>
      <c r="B42" s="31">
        <f ca="1">+'Summary Plan Retail Delivered'!B42</f>
        <v>271.89966212058761</v>
      </c>
      <c r="C42" s="50">
        <f>C40</f>
        <v>42.1244171696477</v>
      </c>
      <c r="D42" s="434">
        <f>+C42*B42/1000</f>
        <v>11.453614795453888</v>
      </c>
      <c r="E42" s="432">
        <f>D42</f>
        <v>11.453614795453888</v>
      </c>
      <c r="F42" s="432">
        <f>E42</f>
        <v>11.453614795453888</v>
      </c>
      <c r="G42" s="432">
        <f>F42</f>
        <v>11.453614795453888</v>
      </c>
      <c r="H42" s="51"/>
      <c r="I42" s="234"/>
    </row>
    <row r="43" spans="1:14">
      <c r="A43" s="1"/>
      <c r="B43" s="3"/>
      <c r="C43" s="50"/>
      <c r="D43" s="431"/>
      <c r="E43" s="432"/>
      <c r="F43" s="432"/>
      <c r="G43" s="432"/>
      <c r="H43" s="51"/>
      <c r="I43" s="232"/>
    </row>
    <row r="44" spans="1:14">
      <c r="A44" s="1" t="s">
        <v>13</v>
      </c>
      <c r="B44" s="31">
        <f ca="1">+'Summary Plan Retail Delivered'!B44</f>
        <v>-4426.027875548255</v>
      </c>
      <c r="C44" s="50">
        <f>C42</f>
        <v>42.1244171696477</v>
      </c>
      <c r="D44" s="434">
        <f>+C44*B44/1000</f>
        <v>-186.44384463408423</v>
      </c>
      <c r="E44" s="432">
        <f>D44</f>
        <v>-186.44384463408423</v>
      </c>
      <c r="F44" s="432">
        <f>E44</f>
        <v>-186.44384463408423</v>
      </c>
      <c r="G44" s="432">
        <f>F44</f>
        <v>-186.44384463408423</v>
      </c>
      <c r="H44" s="51"/>
    </row>
    <row r="45" spans="1:14">
      <c r="A45" s="1"/>
      <c r="B45" s="3"/>
      <c r="C45" s="50"/>
      <c r="D45" s="431"/>
      <c r="E45" s="432"/>
      <c r="F45" s="432"/>
      <c r="G45" s="432"/>
      <c r="H45" s="51"/>
    </row>
    <row r="46" spans="1:14">
      <c r="A46" s="1" t="s">
        <v>35</v>
      </c>
      <c r="B46" s="31">
        <f ca="1">+'Summary Plan Retail Delivered'!B46</f>
        <v>23634.134614336421</v>
      </c>
      <c r="C46" s="50">
        <f>C44</f>
        <v>42.1244171696477</v>
      </c>
      <c r="D46" s="434">
        <f>+C46*B46/1000</f>
        <v>995.57414593791805</v>
      </c>
      <c r="E46" s="432">
        <f>D46</f>
        <v>995.57414593791805</v>
      </c>
      <c r="F46" s="432">
        <f>E46</f>
        <v>995.57414593791805</v>
      </c>
      <c r="G46" s="432">
        <f>F46</f>
        <v>995.57414593791805</v>
      </c>
    </row>
    <row r="47" spans="1:14">
      <c r="A47" s="1"/>
      <c r="B47" s="3"/>
      <c r="C47" s="50"/>
      <c r="D47" s="431"/>
      <c r="E47" s="432"/>
      <c r="F47" s="432"/>
      <c r="G47" s="432"/>
      <c r="N47" s="233"/>
    </row>
    <row r="48" spans="1:14">
      <c r="A48" s="1" t="s">
        <v>36</v>
      </c>
      <c r="B48" s="31">
        <f ca="1">+'Summary Plan Retail Delivered'!B48</f>
        <v>-191185.07720555662</v>
      </c>
      <c r="C48" s="50">
        <f>C46</f>
        <v>42.1244171696477</v>
      </c>
      <c r="D48" s="434">
        <f>+C48*B48/1000</f>
        <v>-8053.5599488181706</v>
      </c>
      <c r="E48" s="432">
        <f>D48</f>
        <v>-8053.5599488181706</v>
      </c>
      <c r="F48" s="432">
        <f>E48</f>
        <v>-8053.5599488181706</v>
      </c>
      <c r="G48" s="432">
        <f>F48</f>
        <v>-8053.5599488181706</v>
      </c>
      <c r="H48" s="51"/>
      <c r="I48" s="235"/>
      <c r="N48" s="233"/>
    </row>
    <row r="49" spans="1:15">
      <c r="A49" s="1"/>
      <c r="B49" s="3"/>
      <c r="C49" s="50"/>
      <c r="D49" s="431"/>
      <c r="E49" s="432"/>
      <c r="F49" s="432"/>
      <c r="G49" s="432"/>
      <c r="H49" s="51"/>
      <c r="I49" s="235"/>
      <c r="N49" s="51">
        <f ca="1">'Summary Plan Retail Delivered'!B38</f>
        <v>7619667.7579499995</v>
      </c>
      <c r="O49" t="s">
        <v>137</v>
      </c>
    </row>
    <row r="50" spans="1:15">
      <c r="A50" t="s">
        <v>138</v>
      </c>
      <c r="B50" s="31">
        <f ca="1">+'Summary Plan Retail Delivered'!B50</f>
        <v>0</v>
      </c>
      <c r="C50" s="50">
        <f>C48</f>
        <v>42.1244171696477</v>
      </c>
      <c r="D50" s="434">
        <f>+C50*B50/1000</f>
        <v>0</v>
      </c>
      <c r="E50" s="432">
        <f>D50</f>
        <v>0</v>
      </c>
      <c r="F50" s="432">
        <f>E50</f>
        <v>0</v>
      </c>
      <c r="G50" s="432">
        <f>F50</f>
        <v>0</v>
      </c>
      <c r="H50" s="51"/>
      <c r="I50" s="235"/>
    </row>
    <row r="51" spans="1:15">
      <c r="A51" s="1"/>
      <c r="B51" s="3"/>
      <c r="C51" s="50"/>
      <c r="D51" s="431"/>
      <c r="E51" s="432"/>
      <c r="F51" s="432"/>
      <c r="G51" s="432"/>
      <c r="H51" s="51"/>
      <c r="I51" s="235"/>
    </row>
    <row r="52" spans="1:15">
      <c r="A52" s="1" t="s">
        <v>57</v>
      </c>
      <c r="B52" s="31">
        <f ca="1">+'Summary Plan Retail Delivered'!B52</f>
        <v>7026.1357266695286</v>
      </c>
      <c r="C52" s="50">
        <f>C48</f>
        <v>42.1244171696477</v>
      </c>
      <c r="D52" s="434">
        <f>+C52*B52/1000</f>
        <v>295.97187244079305</v>
      </c>
      <c r="E52" s="432">
        <f>D52</f>
        <v>295.97187244079305</v>
      </c>
      <c r="F52" s="432">
        <f>E52</f>
        <v>295.97187244079305</v>
      </c>
      <c r="G52" s="432">
        <f>F52</f>
        <v>295.97187244079305</v>
      </c>
      <c r="H52" s="183"/>
      <c r="I52" s="249" t="s">
        <v>281</v>
      </c>
      <c r="N52" s="251">
        <f ca="1">Jan_prices!D16</f>
        <v>320974.06332999998</v>
      </c>
      <c r="O52" t="s">
        <v>139</v>
      </c>
    </row>
    <row r="53" spans="1:15">
      <c r="A53" s="1"/>
      <c r="B53" s="3"/>
      <c r="C53" s="50"/>
      <c r="D53" s="431"/>
      <c r="E53" s="432"/>
      <c r="F53" s="432"/>
      <c r="G53" s="432"/>
      <c r="H53" s="51"/>
      <c r="I53" s="235"/>
      <c r="N53" s="237">
        <f>N52/N49*1000</f>
        <v>42.1244171696477</v>
      </c>
    </row>
    <row r="54" spans="1:15">
      <c r="A54" s="1" t="s">
        <v>83</v>
      </c>
      <c r="B54" s="31">
        <v>0</v>
      </c>
      <c r="C54" s="50">
        <f>C52</f>
        <v>42.1244171696477</v>
      </c>
      <c r="D54" s="434">
        <f>+C54*B54/1000</f>
        <v>0</v>
      </c>
      <c r="E54" s="432">
        <f>D54</f>
        <v>0</v>
      </c>
      <c r="F54" s="432">
        <f>E54</f>
        <v>0</v>
      </c>
      <c r="G54" s="432">
        <f>F54</f>
        <v>0</v>
      </c>
      <c r="H54" s="51"/>
      <c r="I54" s="235"/>
    </row>
    <row r="55" spans="1:15">
      <c r="A55" s="1"/>
      <c r="B55" s="3"/>
      <c r="C55" s="50"/>
      <c r="D55" s="431"/>
      <c r="E55" s="432"/>
      <c r="F55" s="432"/>
      <c r="G55" s="432"/>
      <c r="H55" s="51"/>
      <c r="I55" s="235"/>
    </row>
    <row r="56" spans="1:15">
      <c r="A56" s="1" t="s">
        <v>14</v>
      </c>
      <c r="B56" s="31">
        <f ca="1">+'Summary Plan Retail Delivered'!B56</f>
        <v>-96271.380555965006</v>
      </c>
      <c r="C56" s="50">
        <f>+C52</f>
        <v>42.1244171696477</v>
      </c>
      <c r="D56" s="434">
        <f>+C56*B56/1000</f>
        <v>-4055.37579603738</v>
      </c>
      <c r="E56" s="432">
        <f>D56</f>
        <v>-4055.37579603738</v>
      </c>
      <c r="F56" s="432">
        <f>E56</f>
        <v>-4055.37579603738</v>
      </c>
      <c r="G56" s="432">
        <f>F56</f>
        <v>-4055.37579603738</v>
      </c>
      <c r="H56" s="51"/>
      <c r="I56" s="232"/>
    </row>
    <row r="57" spans="1:15">
      <c r="A57" s="1"/>
      <c r="B57" s="3"/>
      <c r="C57" s="50"/>
      <c r="D57" s="433"/>
      <c r="E57" s="432"/>
      <c r="F57" s="432"/>
      <c r="G57" s="432"/>
      <c r="H57" s="51"/>
      <c r="I57" s="234"/>
    </row>
    <row r="58" spans="1:15">
      <c r="A58" s="46" t="s">
        <v>144</v>
      </c>
      <c r="B58" s="47">
        <f>SUM(B38:B56)</f>
        <v>7358778.4931979077</v>
      </c>
      <c r="C58" s="50">
        <f>C56</f>
        <v>42.1244171696477</v>
      </c>
      <c r="D58" s="432">
        <f>SUM(D42:D57)</f>
        <v>-10992.37995631547</v>
      </c>
      <c r="E58" s="432">
        <f>SUM(E42:E56)</f>
        <v>-10992.37995631547</v>
      </c>
      <c r="F58" s="432">
        <f>SUM(F42:F56)</f>
        <v>-10992.37995631547</v>
      </c>
      <c r="G58" s="432">
        <f>SUM(G42:G56)</f>
        <v>-10992.37995631547</v>
      </c>
      <c r="H58" s="51"/>
      <c r="I58" s="234"/>
    </row>
    <row r="59" spans="1:15">
      <c r="A59" s="1"/>
      <c r="B59" s="3"/>
      <c r="C59" s="50"/>
      <c r="D59" s="5"/>
      <c r="E59" s="160"/>
      <c r="F59" s="242"/>
      <c r="G59" s="242"/>
      <c r="H59" s="160"/>
    </row>
    <row r="60" spans="1:15">
      <c r="A60" s="239" t="s">
        <v>140</v>
      </c>
      <c r="B60" s="3">
        <f>B58-B38</f>
        <v>-260889.26475209184</v>
      </c>
      <c r="C60" s="50"/>
      <c r="D60" s="243"/>
      <c r="E60" s="242"/>
      <c r="F60" s="242"/>
      <c r="G60" s="242"/>
      <c r="H60" s="160"/>
    </row>
    <row r="61" spans="1:15">
      <c r="A61" s="1" t="s">
        <v>16</v>
      </c>
      <c r="B61" s="240">
        <f>(B58/B38)-1</f>
        <v>-3.4238929181642175E-2</v>
      </c>
      <c r="E61" s="160"/>
      <c r="F61" s="242"/>
      <c r="G61" s="242"/>
      <c r="H61" s="160"/>
    </row>
    <row r="62" spans="1:15">
      <c r="B62" s="3"/>
      <c r="E62" s="160"/>
      <c r="F62" s="242"/>
      <c r="G62" s="242"/>
      <c r="H62" s="160"/>
    </row>
    <row r="63" spans="1:15">
      <c r="B63" s="3"/>
      <c r="E63" s="160"/>
      <c r="F63" s="160"/>
      <c r="G63" s="160"/>
      <c r="H63" s="160"/>
    </row>
    <row r="64" spans="1:15">
      <c r="B64" s="430"/>
    </row>
    <row r="65" spans="2:2">
      <c r="B65" s="430"/>
    </row>
    <row r="66" spans="2:2">
      <c r="B66" s="5"/>
    </row>
  </sheetData>
  <phoneticPr fontId="2" type="noConversion"/>
  <printOptions horizontalCentered="1" headings="1" gridLines="1"/>
  <pageMargins left="0.25" right="0.25" top="1" bottom="1" header="0.5" footer="0.5"/>
  <pageSetup scale="84" orientation="portrait" r:id="rId1"/>
  <headerFooter alignWithMargins="0">
    <oddHeader>&amp;C&amp;A</oddHeader>
    <oddFooter>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50.25" customHeight="1">
      <c r="A1" s="780" t="s">
        <v>477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11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76" t="s">
        <v>131</v>
      </c>
      <c r="U5" s="777" t="s">
        <v>51</v>
      </c>
      <c r="V5" s="776" t="s">
        <v>132</v>
      </c>
      <c r="W5" s="777" t="s">
        <v>51</v>
      </c>
    </row>
    <row r="6" spans="1:23">
      <c r="A6" s="46" t="s">
        <v>141</v>
      </c>
      <c r="B6" s="47">
        <f ca="1">+'Summary Plan Retail Delivered'!M6</f>
        <v>7404061.023</v>
      </c>
      <c r="I6" s="232" t="s">
        <v>147</v>
      </c>
      <c r="T6" s="768"/>
      <c r="U6" s="769"/>
      <c r="V6" s="768"/>
      <c r="W6" s="769"/>
    </row>
    <row r="7" spans="1:23" ht="39.6">
      <c r="A7" s="1"/>
      <c r="B7" s="232"/>
      <c r="C7" s="232"/>
      <c r="F7" s="214" t="s">
        <v>463</v>
      </c>
      <c r="G7" s="214" t="s">
        <v>462</v>
      </c>
      <c r="O7" s="440">
        <f>+[3]Retail!$N$17</f>
        <v>7404061.023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Delivered'!M8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Delivered'!M10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 ca="1">+E10+'P6 Summary Plan Forecast_Nov'!F10</f>
        <v>0</v>
      </c>
      <c r="G10" s="602">
        <f ca="1">+E10+'P6 Summary Plan Forecast_Nov'!G10</f>
        <v>-641.70977687899085</v>
      </c>
      <c r="H10" s="238"/>
      <c r="I10" s="235"/>
      <c r="K10" s="236"/>
      <c r="N10" s="51"/>
      <c r="P10" s="81"/>
      <c r="T10" s="770">
        <f ca="1">+E10+'P6 Summary Plan Forecast_Nov'!E10+'P6 Summary Plan Forecast_Oct'!E10</f>
        <v>0</v>
      </c>
      <c r="U10" s="771">
        <f ca="1">+T10-F10</f>
        <v>0</v>
      </c>
      <c r="V10" s="770">
        <f ca="1">+E10+'P6 Summary Plan Forecast_Nov'!E10+'P6 Summary Plan Forecast_Oct'!E10+'P6 Summary Plan Forecast_Sep'!E10+'P6 Summary Plan Forecast_Aug'!E10+'P6 Summary Plan Forecast_July'!E10+'P6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Delivered'!M12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 ca="1">+E12+'P6 Summary Plan Forecast_Nov'!F12</f>
        <v>0</v>
      </c>
      <c r="G12" s="602">
        <f ca="1">+E12+'P6 Summary Plan Forecast_Nov'!G12</f>
        <v>6647.7287483450054</v>
      </c>
      <c r="H12" s="238"/>
      <c r="I12" s="235"/>
      <c r="K12" s="236"/>
      <c r="N12" s="51"/>
      <c r="O12" s="5"/>
      <c r="T12" s="770">
        <f ca="1">+E12+'P6 Summary Plan Forecast_Nov'!E12+'P6 Summary Plan Forecast_Oct'!E12</f>
        <v>0</v>
      </c>
      <c r="U12" s="771">
        <f ca="1">+T12-F12</f>
        <v>0</v>
      </c>
      <c r="V12" s="770">
        <f ca="1">+E12+'P6 Summary Plan Forecast_Nov'!E12+'P6 Summary Plan Forecast_Oct'!E12+'P6 Summary Plan Forecast_Sep'!E12+'P6 Summary Plan Forecast_Aug'!E12+'P6 Summary Plan Forecast_July'!E12+'P6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Delivered'!M14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 ca="1">+E14+'P6 Summary Plan Forecast_Nov'!F14</f>
        <v>0</v>
      </c>
      <c r="G14" s="602">
        <f ca="1">+E14+'P6 Summary Plan Forecast_Nov'!G14</f>
        <v>-60476.10363792815</v>
      </c>
      <c r="H14" s="238"/>
      <c r="I14" s="235"/>
      <c r="K14" s="236"/>
      <c r="N14" s="51"/>
      <c r="T14" s="770">
        <f ca="1">+E14+'P6 Summary Plan Forecast_Nov'!E14+'P6 Summary Plan Forecast_Oct'!E14</f>
        <v>0</v>
      </c>
      <c r="U14" s="771">
        <f ca="1">+T14-F14</f>
        <v>0</v>
      </c>
      <c r="V14" s="770">
        <f ca="1">+E14+'P6 Summary Plan Forecast_Nov'!E14+'P6 Summary Plan Forecast_Oct'!E14+'P6 Summary Plan Forecast_Sep'!E14+'P6 Summary Plan Forecast_Aug'!E14+'P6 Summary Plan Forecast_July'!E14+'P6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Delivered'!M16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 ca="1">+E16+'P6 Summary Plan Forecast_Nov'!F16</f>
        <v>0</v>
      </c>
      <c r="G16" s="602">
        <f ca="1">+E16+'P6 Summary Plan Forecast_Nov'!G16</f>
        <v>-11230.05540265602</v>
      </c>
      <c r="H16" s="238"/>
      <c r="I16" s="235"/>
      <c r="K16" s="236"/>
      <c r="N16" s="51"/>
      <c r="T16" s="770">
        <f ca="1">+E16+'P6 Summary Plan Forecast_Nov'!E16+'P6 Summary Plan Forecast_Oct'!E16</f>
        <v>0</v>
      </c>
      <c r="U16" s="771">
        <f ca="1">+T16-F16</f>
        <v>0</v>
      </c>
      <c r="V16" s="770">
        <f ca="1">+E16+'P6 Summary Plan Forecast_Nov'!E16+'P6 Summary Plan Forecast_Oct'!E16+'P6 Summary Plan Forecast_Sep'!E16+'P6 Summary Plan Forecast_Aug'!E16+'P6 Summary Plan Forecast_July'!E16+'P6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Delivered'!M18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 ca="1">+E18+'P6 Summary Plan Forecast_Nov'!F18</f>
        <v>0</v>
      </c>
      <c r="G18" s="602">
        <f ca="1">+E18+'P6 Summary Plan Forecast_Nov'!G18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T18" s="770">
        <f ca="1">+E18+'P6 Summary Plan Forecast_Nov'!E18+'P6 Summary Plan Forecast_Oct'!E18</f>
        <v>0</v>
      </c>
      <c r="U18" s="771">
        <f ca="1">+T18-F18</f>
        <v>0</v>
      </c>
      <c r="V18" s="770">
        <f ca="1">+E18+'P6 Summary Plan Forecast_Nov'!E18+'P6 Summary Plan Forecast_Oct'!E18+'P6 Summary Plan Forecast_Sep'!E18+'P6 Summary Plan Forecast_Aug'!E18+'P6 Summary Plan Forecast_July'!E18+'P6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Delivered'!M20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 ca="1">+E20+'P6 Summary Plan Forecast_Nov'!F20</f>
        <v>0</v>
      </c>
      <c r="G20" s="602">
        <f ca="1">+E20+'P6 Summary Plan Forecast_Nov'!G20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T20" s="770">
        <f ca="1">+E20+'P6 Summary Plan Forecast_Nov'!E20+'P6 Summary Plan Forecast_Oct'!E20</f>
        <v>0</v>
      </c>
      <c r="U20" s="771">
        <f ca="1">+T20-F20</f>
        <v>0</v>
      </c>
      <c r="V20" s="770">
        <f ca="1">+E20+'P6 Summary Plan Forecast_Nov'!E20+'P6 Summary Plan Forecast_Oct'!E20+'P6 Summary Plan Forecast_Sep'!E20+'P6 Summary Plan Forecast_Aug'!E20+'P6 Summary Plan Forecast_July'!E20+'P6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Delivered'!M22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 ca="1">+E22+'P6 Summary Plan Forecast_Nov'!F22</f>
        <v>0</v>
      </c>
      <c r="G22" s="602">
        <f ca="1">+E22+'P6 Summary Plan Forecast_Nov'!G22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T22" s="770">
        <f ca="1">+E22+'P6 Summary Plan Forecast_Nov'!E22+'P6 Summary Plan Forecast_Oct'!E22</f>
        <v>0</v>
      </c>
      <c r="U22" s="771">
        <f ca="1">+T22-F22</f>
        <v>0</v>
      </c>
      <c r="V22" s="770">
        <f ca="1">+E22+'P6 Summary Plan Forecast_Nov'!E22+'P6 Summary Plan Forecast_Oct'!E22+'P6 Summary Plan Forecast_Sep'!E22+'P6 Summary Plan Forecast_Aug'!E22+'P6 Summary Plan Forecast_July'!E22+'P6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Delivered'!M24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 ca="1">+E24+'P6 Summary Plan Forecast_Nov'!F24</f>
        <v>0</v>
      </c>
      <c r="G24" s="602">
        <f ca="1">+E24+'P6 Summary Plan Forecast_Nov'!G24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T24" s="770">
        <f ca="1">+E24+'P6 Summary Plan Forecast_Nov'!E24+'P6 Summary Plan Forecast_Oct'!E24</f>
        <v>0</v>
      </c>
      <c r="U24" s="771">
        <f ca="1">+T24-F24</f>
        <v>0</v>
      </c>
      <c r="V24" s="770">
        <f ca="1">+E24+'P6 Summary Plan Forecast_Nov'!E24+'P6 Summary Plan Forecast_Oct'!E24+'P6 Summary Plan Forecast_Sep'!E24+'P6 Summary Plan Forecast_Aug'!E24+'P6 Summary Plan Forecast_July'!E24+'P6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7404061.023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T26" s="772">
        <f ca="1">+E26+'P6 Summary Plan Forecast_Nov'!E26+'P6 Summary Plan Forecast_Oct'!E26</f>
        <v>0</v>
      </c>
      <c r="U26" s="773">
        <f ca="1">+T26-F26</f>
        <v>0</v>
      </c>
      <c r="V26" s="772">
        <f ca="1">+E26+'P6 Summary Plan Forecast_Nov'!E26+'P6 Summary Plan Forecast_Oct'!E26+'P6 Summary Plan Forecast_Sep'!E26+'P6 Summary Plan Forecast_Aug'!E26+'P6 Summary Plan Forecast_July'!E26+'P6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Delivered'!M38</f>
        <v>7762718.8652583119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Delivered'!M40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Delivered'!M42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 ca="1">+E42+'P6 Summary Plan Forecast_Nov'!F42</f>
        <v>0</v>
      </c>
      <c r="G42" s="602">
        <f ca="1">+E42+'P6 Summary Plan Forecast_Nov'!G42</f>
        <v>-491.82505887175989</v>
      </c>
      <c r="H42" s="51"/>
      <c r="I42" s="234"/>
      <c r="T42" s="770">
        <f ca="1">+E42+'P6 Summary Plan Forecast_Nov'!E42+'P6 Summary Plan Forecast_Oct'!E42</f>
        <v>0</v>
      </c>
      <c r="U42" s="771">
        <f ca="1">+T42-F42</f>
        <v>0</v>
      </c>
      <c r="V42" s="770">
        <f ca="1">+E42+'P6 Summary Plan Forecast_Nov'!E42+'P6 Summary Plan Forecast_Oct'!E42+'P6 Summary Plan Forecast_Sep'!E42+'P6 Summary Plan Forecast_Aug'!E42+'P6 Summary Plan Forecast_July'!E42+'P6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71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Delivered'!M44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 ca="1">+E44+'P6 Summary Plan Forecast_Nov'!F44</f>
        <v>0</v>
      </c>
      <c r="G44" s="602">
        <f ca="1">+E44+'P6 Summary Plan Forecast_Nov'!G44</f>
        <v>-475.05273860621776</v>
      </c>
      <c r="H44" s="51"/>
      <c r="T44" s="770">
        <f ca="1">+E44+'P6 Summary Plan Forecast_Nov'!E44+'P6 Summary Plan Forecast_Oct'!E44</f>
        <v>0</v>
      </c>
      <c r="U44" s="771">
        <f ca="1">+T44-F44</f>
        <v>0</v>
      </c>
      <c r="V44" s="770">
        <f ca="1">+E44+'P6 Summary Plan Forecast_Nov'!E44+'P6 Summary Plan Forecast_Oct'!E44+'P6 Summary Plan Forecast_Sep'!E44+'P6 Summary Plan Forecast_Aug'!E44+'P6 Summary Plan Forecast_July'!E44+'P6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Delivered'!M46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 ca="1">+E46+'P6 Summary Plan Forecast_Nov'!F46</f>
        <v>0</v>
      </c>
      <c r="G46" s="602">
        <f ca="1">+E46+'P6 Summary Plan Forecast_Nov'!G46</f>
        <v>20367.630782642045</v>
      </c>
      <c r="T46" s="770">
        <f ca="1">+E46+'P6 Summary Plan Forecast_Nov'!E46+'P6 Summary Plan Forecast_Oct'!E46</f>
        <v>0</v>
      </c>
      <c r="U46" s="771">
        <f ca="1">+T46-F46</f>
        <v>0</v>
      </c>
      <c r="V46" s="770">
        <f ca="1">+E46+'P6 Summary Plan Forecast_Nov'!E46+'P6 Summary Plan Forecast_Oct'!E46+'P6 Summary Plan Forecast_Sep'!E46+'P6 Summary Plan Forecast_Aug'!E46+'P6 Summary Plan Forecast_July'!E46+'P6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Delivered'!M48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 ca="1">+E48+'P6 Summary Plan Forecast_Nov'!F48</f>
        <v>0</v>
      </c>
      <c r="G48" s="602">
        <f ca="1">+E48+'P6 Summary Plan Forecast_Nov'!G48</f>
        <v>-21019.925031443199</v>
      </c>
      <c r="H48" s="51"/>
      <c r="I48" s="235"/>
      <c r="T48" s="770">
        <f ca="1">+E48+'P6 Summary Plan Forecast_Nov'!E48+'P6 Summary Plan Forecast_Oct'!E48</f>
        <v>0</v>
      </c>
      <c r="U48" s="771">
        <f ca="1">+T48-F48</f>
        <v>0</v>
      </c>
      <c r="V48" s="770">
        <f ca="1">+E48+'P6 Summary Plan Forecast_Nov'!E48+'P6 Summary Plan Forecast_Oct'!E48+'P6 Summary Plan Forecast_Sep'!E48+'P6 Summary Plan Forecast_Aug'!E48+'P6 Summary Plan Forecast_July'!E48+'P6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Delivered'!M38</f>
        <v>7762718.8652583119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Delivered'!M50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 ca="1">+E50+'P6 Summary Plan Forecast_Nov'!F50</f>
        <v>0</v>
      </c>
      <c r="G50" s="602">
        <f ca="1">+E50+'P6 Summary Plan Forecast_Nov'!G50</f>
        <v>0</v>
      </c>
      <c r="H50" s="51"/>
      <c r="I50" s="235"/>
      <c r="T50" s="770">
        <f ca="1">+E50+'P6 Summary Plan Forecast_Nov'!E50+'P6 Summary Plan Forecast_Oct'!E50</f>
        <v>0</v>
      </c>
      <c r="U50" s="771">
        <f ca="1">+T50-F50</f>
        <v>0</v>
      </c>
      <c r="V50" s="770">
        <f ca="1">+E50+'P6 Summary Plan Forecast_Nov'!E50+'P6 Summary Plan Forecast_Oct'!E50+'P6 Summary Plan Forecast_Sep'!E50+'P6 Summary Plan Forecast_Aug'!E50+'P6 Summary Plan Forecast_July'!E50+'P6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Delivered'!M52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 ca="1">+E52+'P6 Summary Plan Forecast_Nov'!F52</f>
        <v>0</v>
      </c>
      <c r="G52" s="602">
        <f ca="1">+E52+'P6 Summary Plan Forecast_Nov'!G52</f>
        <v>3818.5040101289064</v>
      </c>
      <c r="H52" s="183"/>
      <c r="I52" s="508"/>
      <c r="N52" s="510"/>
      <c r="O52" t="s">
        <v>139</v>
      </c>
      <c r="T52" s="770">
        <f ca="1">+E52+'P6 Summary Plan Forecast_Nov'!E52+'P6 Summary Plan Forecast_Oct'!E52</f>
        <v>0</v>
      </c>
      <c r="U52" s="771">
        <f ca="1">+T52-F52</f>
        <v>0</v>
      </c>
      <c r="V52" s="770">
        <f ca="1">+E52+'P6 Summary Plan Forecast_Nov'!E52+'P6 Summary Plan Forecast_Oct'!E52+'P6 Summary Plan Forecast_Sep'!E52+'P6 Summary Plan Forecast_Aug'!E52+'P6 Summary Plan Forecast_July'!E52+'P6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 ca="1">+E54+'P6 Summary Plan Forecast_Nov'!F54</f>
        <v>0</v>
      </c>
      <c r="G54" s="602">
        <f ca="1">+E54+'P6 Summary Plan Forecast_Nov'!G54</f>
        <v>0</v>
      </c>
      <c r="H54" s="51"/>
      <c r="I54" s="235"/>
      <c r="T54" s="770">
        <f ca="1">+E54+'P6 Summary Plan Forecast_Nov'!E54+'P6 Summary Plan Forecast_Oct'!E54</f>
        <v>0</v>
      </c>
      <c r="U54" s="771">
        <f ca="1">+T54-F54</f>
        <v>0</v>
      </c>
      <c r="V54" s="770">
        <f ca="1">+E54+'P6 Summary Plan Forecast_Nov'!E54+'P6 Summary Plan Forecast_Oct'!E54+'P6 Summary Plan Forecast_Sep'!E54+'P6 Summary Plan Forecast_Aug'!E54+'P6 Summary Plan Forecast_July'!E54+'P6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Delivered'!M56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 ca="1">+E56+'P6 Summary Plan Forecast_Nov'!F56</f>
        <v>0</v>
      </c>
      <c r="G56" s="602">
        <f ca="1">+E56+'P6 Summary Plan Forecast_Nov'!G56</f>
        <v>23324.51161989104</v>
      </c>
      <c r="H56" s="51"/>
      <c r="I56" s="232"/>
      <c r="T56" s="770">
        <f ca="1">+E56+'P6 Summary Plan Forecast_Nov'!E56+'P6 Summary Plan Forecast_Oct'!E56</f>
        <v>0</v>
      </c>
      <c r="U56" s="771">
        <f ca="1">+T56-F56</f>
        <v>0</v>
      </c>
      <c r="V56" s="770">
        <f ca="1">+E56+'P6 Summary Plan Forecast_Nov'!E56+'P6 Summary Plan Forecast_Oct'!E56+'P6 Summary Plan Forecast_Sep'!E56+'P6 Summary Plan Forecast_Aug'!E56+'P6 Summary Plan Forecast_July'!E56+'P6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 ht="13.8" thickBot="1">
      <c r="A58" s="46" t="s">
        <v>144</v>
      </c>
      <c r="B58" s="47">
        <f>SUM(B38:B56)</f>
        <v>7762718.8652583119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2">
        <f ca="1">+E58+'P6 Summary Plan Forecast_Nov'!E58+'P6 Summary Plan Forecast_Oct'!E58</f>
        <v>0</v>
      </c>
      <c r="U58" s="773">
        <f ca="1">+T58-F58</f>
        <v>0</v>
      </c>
      <c r="V58" s="772">
        <f ca="1">+E58+'P6 Summary Plan Forecast_Nov'!E58+'P6 Summary Plan Forecast_Oct'!E58+'P6 Summary Plan Forecast_Sep'!E58+'P6 Summary Plan Forecast_Aug'!E58+'P6 Summary Plan Forecast_July'!E58+'P6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3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5"/>
      <c r="U59" s="765"/>
      <c r="V59" s="765"/>
      <c r="W59" s="765"/>
    </row>
    <row r="60" spans="1:23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65"/>
      <c r="U60" s="765"/>
      <c r="V60" s="765"/>
      <c r="W60" s="765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  <c r="T61" s="765"/>
      <c r="U61" s="765"/>
      <c r="V61" s="765"/>
      <c r="W61" s="765"/>
    </row>
    <row r="62" spans="1:23">
      <c r="B62" s="3"/>
      <c r="E62" s="160"/>
      <c r="F62" s="242"/>
      <c r="G62" s="242"/>
      <c r="H62" s="160"/>
      <c r="T62" s="765"/>
      <c r="U62" s="765"/>
      <c r="V62" s="765"/>
      <c r="W62" s="765"/>
    </row>
    <row r="63" spans="1:23">
      <c r="B63" s="3"/>
      <c r="E63" s="160"/>
      <c r="F63" s="160"/>
      <c r="G63" s="160"/>
      <c r="H63" s="160"/>
      <c r="T63" s="765"/>
      <c r="U63" s="765"/>
      <c r="V63" s="765"/>
      <c r="W63" s="765"/>
    </row>
    <row r="64" spans="1:23">
      <c r="B64" s="3"/>
      <c r="T64" s="765"/>
      <c r="U64" s="765"/>
      <c r="V64" s="765"/>
      <c r="W64" s="765"/>
    </row>
    <row r="65" spans="2:23">
      <c r="B65" s="430"/>
      <c r="D65" s="33"/>
      <c r="T65" s="765"/>
      <c r="U65" s="765"/>
      <c r="V65" s="765"/>
      <c r="W65" s="765"/>
    </row>
    <row r="66" spans="2:23">
      <c r="B66" s="5"/>
    </row>
    <row r="67" spans="2:23">
      <c r="D67" s="131"/>
    </row>
    <row r="69" spans="2:23">
      <c r="D69" s="33"/>
    </row>
    <row r="71" spans="2:23">
      <c r="D71" s="701"/>
      <c r="E71" s="701"/>
    </row>
    <row r="73" spans="2:23">
      <c r="D73" s="237"/>
      <c r="E73" s="237"/>
      <c r="F73" s="237"/>
    </row>
    <row r="75" spans="2:23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96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ColWidth="9.109375" defaultRowHeight="13.2"/>
  <cols>
    <col min="1" max="1" width="2.109375" style="160" customWidth="1"/>
    <col min="2" max="2" width="45.5546875" customWidth="1"/>
    <col min="3" max="5" width="11.88671875" customWidth="1"/>
    <col min="6" max="6" width="11.33203125" customWidth="1"/>
    <col min="7" max="7" width="14" bestFit="1" customWidth="1"/>
    <col min="8" max="10" width="11.88671875" customWidth="1"/>
    <col min="11" max="11" width="12.88671875" bestFit="1" customWidth="1"/>
    <col min="12" max="12" width="11.33203125" customWidth="1"/>
    <col min="13" max="13" width="11.88671875" customWidth="1"/>
    <col min="14" max="14" width="14.5546875" bestFit="1" customWidth="1"/>
    <col min="15" max="15" width="11.6640625" customWidth="1"/>
    <col min="16" max="17" width="11.33203125" customWidth="1"/>
  </cols>
  <sheetData>
    <row r="1" spans="2:17" ht="52.5" customHeight="1">
      <c r="B1" s="780" t="s">
        <v>478</v>
      </c>
    </row>
    <row r="2" spans="2:17" s="160" customFormat="1" ht="22.8">
      <c r="B2" s="785" t="s">
        <v>178</v>
      </c>
      <c r="C2" s="785"/>
      <c r="D2" s="785"/>
      <c r="O2" s="160" t="str">
        <f>B6</f>
        <v>Last Refreshed</v>
      </c>
      <c r="P2" s="160" t="str">
        <f>C6</f>
        <v>6/6/2012 09:31:30</v>
      </c>
    </row>
    <row r="3" spans="2:17" s="160" customFormat="1" ht="22.8">
      <c r="B3" s="314" t="s">
        <v>179</v>
      </c>
      <c r="C3" s="313"/>
      <c r="D3" s="313"/>
    </row>
    <row r="4" spans="2:17" ht="21">
      <c r="B4" s="315" t="s">
        <v>180</v>
      </c>
      <c r="C4" s="316"/>
    </row>
    <row r="5" spans="2:17" ht="16.8" hidden="1">
      <c r="B5" s="317"/>
      <c r="C5" s="561"/>
    </row>
    <row r="6" spans="2:17" hidden="1">
      <c r="B6" s="645" t="s">
        <v>181</v>
      </c>
      <c r="C6" s="646" t="s">
        <v>419</v>
      </c>
    </row>
    <row r="7" spans="2:17" ht="17.399999999999999">
      <c r="B7" s="321" t="str">
        <f>MID(D9,1,LEN(D9)-11)</f>
        <v>MAY 2012</v>
      </c>
      <c r="C7" s="32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7" ht="66.75" customHeight="1">
      <c r="B8" s="321"/>
      <c r="C8" s="323" t="str">
        <f>C9</f>
        <v xml:space="preserve"> MAY 2012</v>
      </c>
      <c r="D8" s="324" t="str">
        <f>D9</f>
        <v>MAY 2012
Month
Plan</v>
      </c>
      <c r="E8" s="325" t="str">
        <f>E9</f>
        <v xml:space="preserve"> MAY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420</v>
      </c>
      <c r="D9" s="324" t="s">
        <v>421</v>
      </c>
      <c r="E9" s="325" t="s">
        <v>422</v>
      </c>
      <c r="F9" s="324" t="s">
        <v>186</v>
      </c>
      <c r="G9" s="324" t="s">
        <v>187</v>
      </c>
      <c r="H9" s="323" t="s">
        <v>370</v>
      </c>
      <c r="I9" s="324" t="s">
        <v>373</v>
      </c>
      <c r="J9" s="325" t="s">
        <v>372</v>
      </c>
      <c r="K9" s="324" t="s">
        <v>189</v>
      </c>
      <c r="L9" s="324" t="s">
        <v>190</v>
      </c>
      <c r="M9" s="323" t="s">
        <v>420</v>
      </c>
      <c r="N9" s="324" t="s">
        <v>423</v>
      </c>
      <c r="O9" s="325" t="s">
        <v>422</v>
      </c>
      <c r="P9" s="324" t="s">
        <v>192</v>
      </c>
      <c r="Q9" s="325" t="s">
        <v>193</v>
      </c>
    </row>
    <row r="10" spans="2:17">
      <c r="B10" s="567" t="s">
        <v>194</v>
      </c>
      <c r="C10" s="647">
        <v>325956.63636</v>
      </c>
      <c r="D10" s="648">
        <v>332126.04067000002</v>
      </c>
      <c r="E10" s="649">
        <v>347891.69918</v>
      </c>
      <c r="F10" s="648">
        <v>-6169.4043099999999</v>
      </c>
      <c r="G10" s="648">
        <v>-21935.062819999999</v>
      </c>
      <c r="H10" s="647">
        <v>645700.06964</v>
      </c>
      <c r="I10" s="648">
        <v>623370.96481000003</v>
      </c>
      <c r="J10" s="649">
        <v>671832.76523999998</v>
      </c>
      <c r="K10" s="650">
        <v>22329.10483</v>
      </c>
      <c r="L10" s="650">
        <v>-26132.695599999999</v>
      </c>
      <c r="M10" s="647">
        <v>1534565.84666</v>
      </c>
      <c r="N10" s="648">
        <v>1542745.2728200001</v>
      </c>
      <c r="O10" s="649">
        <v>1564337.1312200001</v>
      </c>
      <c r="P10" s="650">
        <v>-8179.42616</v>
      </c>
      <c r="Q10" s="651">
        <v>-29771.28456</v>
      </c>
    </row>
    <row r="11" spans="2:17">
      <c r="B11" s="567" t="s">
        <v>195</v>
      </c>
      <c r="C11" s="652">
        <v>13157.87752</v>
      </c>
      <c r="D11" s="653">
        <v>13636.14954</v>
      </c>
      <c r="E11" s="654">
        <v>4103.9170000000004</v>
      </c>
      <c r="F11" s="653">
        <v>-478.27202</v>
      </c>
      <c r="G11" s="653">
        <v>9053.9605200000005</v>
      </c>
      <c r="H11" s="652">
        <v>26049.59476</v>
      </c>
      <c r="I11" s="653">
        <v>25600.025450000001</v>
      </c>
      <c r="J11" s="654">
        <v>4103.9170000000004</v>
      </c>
      <c r="K11" s="655">
        <v>449.56930999999997</v>
      </c>
      <c r="L11" s="655">
        <v>21945.677759999999</v>
      </c>
      <c r="M11" s="652">
        <v>62065.495600000002</v>
      </c>
      <c r="N11" s="653">
        <v>63144.313240000003</v>
      </c>
      <c r="O11" s="654">
        <v>4103.9170000000004</v>
      </c>
      <c r="P11" s="655">
        <v>-1078.81764</v>
      </c>
      <c r="Q11" s="656">
        <v>57961.578600000001</v>
      </c>
    </row>
    <row r="12" spans="2:17">
      <c r="B12" s="567" t="s">
        <v>196</v>
      </c>
      <c r="C12" s="652">
        <v>-1357.2059999999999</v>
      </c>
      <c r="D12" s="653"/>
      <c r="E12" s="654"/>
      <c r="F12" s="653">
        <v>-1357.2059999999999</v>
      </c>
      <c r="G12" s="653">
        <v>-1357.2059999999999</v>
      </c>
      <c r="H12" s="652">
        <v>-1357.2059999999999</v>
      </c>
      <c r="I12" s="653"/>
      <c r="J12" s="654"/>
      <c r="K12" s="655">
        <v>-1357.2059999999999</v>
      </c>
      <c r="L12" s="655">
        <v>-1357.2059999999999</v>
      </c>
      <c r="M12" s="652">
        <v>-1357.2059999999999</v>
      </c>
      <c r="N12" s="653"/>
      <c r="O12" s="654"/>
      <c r="P12" s="655">
        <v>-1357.2059999999999</v>
      </c>
      <c r="Q12" s="656">
        <v>-1357.2059999999999</v>
      </c>
    </row>
    <row r="13" spans="2:17">
      <c r="B13" s="567" t="s">
        <v>197</v>
      </c>
      <c r="C13" s="652"/>
      <c r="D13" s="653"/>
      <c r="E13" s="654"/>
      <c r="F13" s="653"/>
      <c r="G13" s="653"/>
      <c r="H13" s="652"/>
      <c r="I13" s="653"/>
      <c r="J13" s="654"/>
      <c r="K13" s="655"/>
      <c r="L13" s="655"/>
      <c r="M13" s="652"/>
      <c r="N13" s="653"/>
      <c r="O13" s="654"/>
      <c r="P13" s="655"/>
      <c r="Q13" s="656"/>
    </row>
    <row r="14" spans="2:17">
      <c r="B14" s="567" t="s">
        <v>198</v>
      </c>
      <c r="C14" s="652"/>
      <c r="D14" s="653"/>
      <c r="E14" s="654"/>
      <c r="F14" s="653"/>
      <c r="G14" s="653"/>
      <c r="H14" s="652"/>
      <c r="I14" s="653"/>
      <c r="J14" s="654"/>
      <c r="K14" s="655"/>
      <c r="L14" s="655"/>
      <c r="M14" s="652"/>
      <c r="N14" s="653"/>
      <c r="O14" s="654"/>
      <c r="P14" s="655"/>
      <c r="Q14" s="656"/>
    </row>
    <row r="15" spans="2:17">
      <c r="B15" s="568" t="s">
        <v>199</v>
      </c>
      <c r="C15" s="657">
        <v>37574.782829999996</v>
      </c>
      <c r="D15" s="658">
        <v>23836.693930000001</v>
      </c>
      <c r="E15" s="659">
        <v>11987.420040000001</v>
      </c>
      <c r="F15" s="658">
        <v>13738.088900000001</v>
      </c>
      <c r="G15" s="658">
        <v>25587.362789999999</v>
      </c>
      <c r="H15" s="657">
        <v>27641.183919999999</v>
      </c>
      <c r="I15" s="658">
        <v>43941.827169999997</v>
      </c>
      <c r="J15" s="659">
        <v>41039.964039999999</v>
      </c>
      <c r="K15" s="660">
        <v>-16300.643249999999</v>
      </c>
      <c r="L15" s="660">
        <v>-13398.780119999999</v>
      </c>
      <c r="M15" s="657">
        <v>37063.675569999999</v>
      </c>
      <c r="N15" s="658">
        <v>13721.04407</v>
      </c>
      <c r="O15" s="659">
        <v>17570.280920000001</v>
      </c>
      <c r="P15" s="660">
        <v>23342.6315</v>
      </c>
      <c r="Q15" s="661">
        <v>19493.394649999998</v>
      </c>
    </row>
    <row r="16" spans="2:17">
      <c r="B16" s="569" t="s">
        <v>200</v>
      </c>
      <c r="C16" s="652">
        <v>375332.09071000002</v>
      </c>
      <c r="D16" s="653">
        <v>369598.88413999998</v>
      </c>
      <c r="E16" s="654">
        <v>363983.03622000001</v>
      </c>
      <c r="F16" s="653">
        <v>5733.2065700000003</v>
      </c>
      <c r="G16" s="653">
        <v>11349.05449</v>
      </c>
      <c r="H16" s="652">
        <v>698033.64231999998</v>
      </c>
      <c r="I16" s="653">
        <v>692912.81743000005</v>
      </c>
      <c r="J16" s="654">
        <v>716976.64627999999</v>
      </c>
      <c r="K16" s="655">
        <v>5120.8248899999999</v>
      </c>
      <c r="L16" s="655">
        <v>-18943.003959999998</v>
      </c>
      <c r="M16" s="652">
        <v>1632337.81183</v>
      </c>
      <c r="N16" s="653">
        <v>1619610.6301299999</v>
      </c>
      <c r="O16" s="654">
        <v>1586011.32914</v>
      </c>
      <c r="P16" s="655">
        <v>12727.181699999999</v>
      </c>
      <c r="Q16" s="656">
        <v>46326.482689999997</v>
      </c>
    </row>
    <row r="17" spans="2:17">
      <c r="B17" s="568" t="s">
        <v>201</v>
      </c>
      <c r="C17" s="652">
        <v>4809.9219800000001</v>
      </c>
      <c r="D17" s="653">
        <v>4356.8341</v>
      </c>
      <c r="E17" s="654">
        <v>4319.3891599999997</v>
      </c>
      <c r="F17" s="653">
        <v>453.08787999999998</v>
      </c>
      <c r="G17" s="653">
        <v>490.53282000000002</v>
      </c>
      <c r="H17" s="652">
        <v>9266.8474399999996</v>
      </c>
      <c r="I17" s="653">
        <v>8534.8723000000009</v>
      </c>
      <c r="J17" s="654">
        <v>8199.2760099999996</v>
      </c>
      <c r="K17" s="655">
        <v>731.97514000000001</v>
      </c>
      <c r="L17" s="655">
        <v>1067.57143</v>
      </c>
      <c r="M17" s="652">
        <v>22643.393100000001</v>
      </c>
      <c r="N17" s="653">
        <v>21864.9709</v>
      </c>
      <c r="O17" s="654">
        <v>20855.223910000001</v>
      </c>
      <c r="P17" s="655">
        <v>778.42219999999998</v>
      </c>
      <c r="Q17" s="656">
        <v>1788.1691900000001</v>
      </c>
    </row>
    <row r="18" spans="2:17">
      <c r="B18" s="568" t="s">
        <v>202</v>
      </c>
      <c r="C18" s="652">
        <v>435.33300000000003</v>
      </c>
      <c r="D18" s="653">
        <v>300.25900000000001</v>
      </c>
      <c r="E18" s="654">
        <v>838.13800000000003</v>
      </c>
      <c r="F18" s="653">
        <v>135.07400000000001</v>
      </c>
      <c r="G18" s="653">
        <v>-402.80500000000001</v>
      </c>
      <c r="H18" s="652">
        <v>788.27</v>
      </c>
      <c r="I18" s="653">
        <v>479.05489999999998</v>
      </c>
      <c r="J18" s="654">
        <v>917.50099999999998</v>
      </c>
      <c r="K18" s="655">
        <v>309.21510000000001</v>
      </c>
      <c r="L18" s="655">
        <v>-129.23099999999999</v>
      </c>
      <c r="M18" s="652">
        <v>1198.5350000000001</v>
      </c>
      <c r="N18" s="653">
        <v>871.56769999999995</v>
      </c>
      <c r="O18" s="654">
        <v>175.68799999999999</v>
      </c>
      <c r="P18" s="655">
        <v>326.96730000000002</v>
      </c>
      <c r="Q18" s="656">
        <v>1022.847</v>
      </c>
    </row>
    <row r="19" spans="2:17">
      <c r="B19" s="570" t="s">
        <v>203</v>
      </c>
      <c r="C19" s="657"/>
      <c r="D19" s="658"/>
      <c r="E19" s="659"/>
      <c r="F19" s="658"/>
      <c r="G19" s="658"/>
      <c r="H19" s="657"/>
      <c r="I19" s="658"/>
      <c r="J19" s="659"/>
      <c r="K19" s="660"/>
      <c r="L19" s="660"/>
      <c r="M19" s="657"/>
      <c r="N19" s="658"/>
      <c r="O19" s="659"/>
      <c r="P19" s="660"/>
      <c r="Q19" s="661"/>
    </row>
    <row r="20" spans="2:17">
      <c r="B20" s="569" t="s">
        <v>204</v>
      </c>
      <c r="C20" s="652">
        <v>5245.2549799999997</v>
      </c>
      <c r="D20" s="653">
        <v>4657.0931</v>
      </c>
      <c r="E20" s="654">
        <v>5157.5271599999996</v>
      </c>
      <c r="F20" s="653">
        <v>588.16188</v>
      </c>
      <c r="G20" s="653">
        <v>87.727819999999994</v>
      </c>
      <c r="H20" s="652">
        <v>10055.11744</v>
      </c>
      <c r="I20" s="653">
        <v>9013.9272000000001</v>
      </c>
      <c r="J20" s="654">
        <v>9116.7770099999998</v>
      </c>
      <c r="K20" s="655">
        <v>1041.1902399999999</v>
      </c>
      <c r="L20" s="655">
        <v>938.34042999999997</v>
      </c>
      <c r="M20" s="652">
        <v>23841.928100000001</v>
      </c>
      <c r="N20" s="653">
        <v>22736.5386</v>
      </c>
      <c r="O20" s="654">
        <v>21030.911909999999</v>
      </c>
      <c r="P20" s="655">
        <v>1105.3895</v>
      </c>
      <c r="Q20" s="656">
        <v>2811.0161899999998</v>
      </c>
    </row>
    <row r="21" spans="2:17">
      <c r="B21" s="571" t="s">
        <v>205</v>
      </c>
      <c r="C21" s="652">
        <v>3724.3174300000001</v>
      </c>
      <c r="D21" s="653">
        <v>3602.0714200000002</v>
      </c>
      <c r="E21" s="654">
        <v>3803.0675200000001</v>
      </c>
      <c r="F21" s="653">
        <v>122.24601</v>
      </c>
      <c r="G21" s="653">
        <v>-78.75009</v>
      </c>
      <c r="H21" s="652">
        <v>7632.8003399999998</v>
      </c>
      <c r="I21" s="653">
        <v>7222.52826</v>
      </c>
      <c r="J21" s="654">
        <v>7701.16176</v>
      </c>
      <c r="K21" s="655">
        <v>410.27208000000002</v>
      </c>
      <c r="L21" s="655">
        <v>-68.361419999999995</v>
      </c>
      <c r="M21" s="652">
        <v>17142.14618</v>
      </c>
      <c r="N21" s="653">
        <v>18077.502280000001</v>
      </c>
      <c r="O21" s="654">
        <v>16363.95357</v>
      </c>
      <c r="P21" s="655">
        <v>-935.35609999999997</v>
      </c>
      <c r="Q21" s="656">
        <v>778.19260999999995</v>
      </c>
    </row>
    <row r="22" spans="2:17">
      <c r="B22" s="571" t="s">
        <v>206</v>
      </c>
      <c r="C22" s="652">
        <v>3322.1869000000002</v>
      </c>
      <c r="D22" s="653">
        <v>3878.6501600000001</v>
      </c>
      <c r="E22" s="654">
        <v>3873.16345</v>
      </c>
      <c r="F22" s="653">
        <v>-556.46325999999999</v>
      </c>
      <c r="G22" s="653">
        <v>-550.97654999999997</v>
      </c>
      <c r="H22" s="652">
        <v>6542.3104599999997</v>
      </c>
      <c r="I22" s="653">
        <v>7004.5766800000001</v>
      </c>
      <c r="J22" s="654">
        <v>7206.4218899999996</v>
      </c>
      <c r="K22" s="655">
        <v>-462.26621999999998</v>
      </c>
      <c r="L22" s="655">
        <v>-664.11143000000004</v>
      </c>
      <c r="M22" s="652">
        <v>15992.03773</v>
      </c>
      <c r="N22" s="653">
        <v>17132.105879999999</v>
      </c>
      <c r="O22" s="654">
        <v>13221.44491</v>
      </c>
      <c r="P22" s="655">
        <v>-1140.0681500000001</v>
      </c>
      <c r="Q22" s="656">
        <v>2770.5928199999998</v>
      </c>
    </row>
    <row r="23" spans="2:17">
      <c r="B23" s="571" t="s">
        <v>207</v>
      </c>
      <c r="C23" s="652">
        <v>0</v>
      </c>
      <c r="D23" s="653"/>
      <c r="E23" s="654">
        <v>0</v>
      </c>
      <c r="F23" s="653">
        <v>0</v>
      </c>
      <c r="G23" s="653">
        <v>0</v>
      </c>
      <c r="H23" s="652">
        <v>0</v>
      </c>
      <c r="I23" s="653"/>
      <c r="J23" s="654">
        <v>8.3480000000000008</v>
      </c>
      <c r="K23" s="655">
        <v>0</v>
      </c>
      <c r="L23" s="655">
        <v>-8.3480000000000008</v>
      </c>
      <c r="M23" s="652">
        <v>0.754</v>
      </c>
      <c r="N23" s="653"/>
      <c r="O23" s="654">
        <v>19.763400000000001</v>
      </c>
      <c r="P23" s="655">
        <v>0.754</v>
      </c>
      <c r="Q23" s="656">
        <v>-19.009399999999999</v>
      </c>
    </row>
    <row r="24" spans="2:17">
      <c r="B24" s="571" t="s">
        <v>208</v>
      </c>
      <c r="C24" s="652">
        <v>2515.9712</v>
      </c>
      <c r="D24" s="653">
        <v>2304.4789000000001</v>
      </c>
      <c r="E24" s="654">
        <v>2482.9283700000001</v>
      </c>
      <c r="F24" s="653">
        <v>211.4923</v>
      </c>
      <c r="G24" s="653">
        <v>33.042830000000002</v>
      </c>
      <c r="H24" s="652">
        <v>4615.1261100000002</v>
      </c>
      <c r="I24" s="653">
        <v>4042.8425999999999</v>
      </c>
      <c r="J24" s="654">
        <v>4471.3405700000003</v>
      </c>
      <c r="K24" s="655">
        <v>572.28350999999998</v>
      </c>
      <c r="L24" s="655">
        <v>143.78554</v>
      </c>
      <c r="M24" s="652">
        <v>11542.781080000001</v>
      </c>
      <c r="N24" s="653">
        <v>11771.4221</v>
      </c>
      <c r="O24" s="654">
        <v>12110.00258</v>
      </c>
      <c r="P24" s="655">
        <v>-228.64102</v>
      </c>
      <c r="Q24" s="656">
        <v>-567.22149999999999</v>
      </c>
    </row>
    <row r="25" spans="2:17">
      <c r="B25" s="568" t="s">
        <v>209</v>
      </c>
      <c r="C25" s="652">
        <v>2213.2694200000001</v>
      </c>
      <c r="D25" s="653">
        <v>2486.9491499999999</v>
      </c>
      <c r="E25" s="654">
        <v>2413.57654</v>
      </c>
      <c r="F25" s="653">
        <v>-273.67973000000001</v>
      </c>
      <c r="G25" s="653">
        <v>-200.30712</v>
      </c>
      <c r="H25" s="652">
        <v>4489.86715</v>
      </c>
      <c r="I25" s="653">
        <v>5008.9830300000003</v>
      </c>
      <c r="J25" s="654">
        <v>4747.7326000000003</v>
      </c>
      <c r="K25" s="655">
        <v>-519.11587999999995</v>
      </c>
      <c r="L25" s="655">
        <v>-257.86545000000001</v>
      </c>
      <c r="M25" s="652">
        <v>12120.90936</v>
      </c>
      <c r="N25" s="653">
        <v>12743.372729999999</v>
      </c>
      <c r="O25" s="654">
        <v>12441.991260000001</v>
      </c>
      <c r="P25" s="655">
        <v>-622.46337000000005</v>
      </c>
      <c r="Q25" s="656">
        <v>-321.08190000000002</v>
      </c>
    </row>
    <row r="26" spans="2:17">
      <c r="B26" s="570" t="s">
        <v>210</v>
      </c>
      <c r="C26" s="652"/>
      <c r="D26" s="662"/>
      <c r="E26" s="654"/>
      <c r="F26" s="662"/>
      <c r="G26" s="662"/>
      <c r="H26" s="652"/>
      <c r="I26" s="662"/>
      <c r="J26" s="654"/>
      <c r="K26" s="663"/>
      <c r="L26" s="663"/>
      <c r="M26" s="652"/>
      <c r="N26" s="662"/>
      <c r="O26" s="654"/>
      <c r="P26" s="663"/>
      <c r="Q26" s="656"/>
    </row>
    <row r="27" spans="2:17">
      <c r="B27" s="568" t="s">
        <v>211</v>
      </c>
      <c r="C27" s="652">
        <v>1167.8169700000001</v>
      </c>
      <c r="D27" s="653">
        <v>1194.56</v>
      </c>
      <c r="E27" s="654">
        <v>1362.7149899999999</v>
      </c>
      <c r="F27" s="653">
        <v>-26.743030000000001</v>
      </c>
      <c r="G27" s="653">
        <v>-194.89802</v>
      </c>
      <c r="H27" s="652">
        <v>2494.1407899999999</v>
      </c>
      <c r="I27" s="653">
        <v>2391.1799999999998</v>
      </c>
      <c r="J27" s="654">
        <v>2815.5857599999999</v>
      </c>
      <c r="K27" s="655">
        <v>102.96079</v>
      </c>
      <c r="L27" s="655">
        <v>-321.44497000000001</v>
      </c>
      <c r="M27" s="652">
        <v>5655.9507899999999</v>
      </c>
      <c r="N27" s="653">
        <v>6161.6840000000002</v>
      </c>
      <c r="O27" s="654">
        <v>6518.2561800000003</v>
      </c>
      <c r="P27" s="655">
        <v>-505.73320999999999</v>
      </c>
      <c r="Q27" s="656">
        <v>-862.30538999999999</v>
      </c>
    </row>
    <row r="28" spans="2:17">
      <c r="B28" s="568" t="s">
        <v>212</v>
      </c>
      <c r="C28" s="652"/>
      <c r="D28" s="653"/>
      <c r="E28" s="654"/>
      <c r="F28" s="653"/>
      <c r="G28" s="653"/>
      <c r="H28" s="652"/>
      <c r="I28" s="653"/>
      <c r="J28" s="654"/>
      <c r="K28" s="655"/>
      <c r="L28" s="655"/>
      <c r="M28" s="652"/>
      <c r="N28" s="653"/>
      <c r="O28" s="654"/>
      <c r="P28" s="655"/>
      <c r="Q28" s="656"/>
    </row>
    <row r="29" spans="2:17">
      <c r="B29" s="568" t="s">
        <v>213</v>
      </c>
      <c r="C29" s="652">
        <v>400.91514000000001</v>
      </c>
      <c r="D29" s="653">
        <v>269.20844</v>
      </c>
      <c r="E29" s="654">
        <v>613.84132999999997</v>
      </c>
      <c r="F29" s="653">
        <v>131.70670000000001</v>
      </c>
      <c r="G29" s="653">
        <v>-212.92618999999999</v>
      </c>
      <c r="H29" s="652">
        <v>1103.8725999999999</v>
      </c>
      <c r="I29" s="653">
        <v>568.37089000000003</v>
      </c>
      <c r="J29" s="654">
        <v>1221.0633</v>
      </c>
      <c r="K29" s="655">
        <v>535.50171</v>
      </c>
      <c r="L29" s="655">
        <v>-117.19070000000001</v>
      </c>
      <c r="M29" s="652">
        <v>2732.9245599999999</v>
      </c>
      <c r="N29" s="653">
        <v>1407.1593</v>
      </c>
      <c r="O29" s="654">
        <v>2599.3568700000001</v>
      </c>
      <c r="P29" s="655">
        <v>1325.7652599999999</v>
      </c>
      <c r="Q29" s="656">
        <v>133.56769</v>
      </c>
    </row>
    <row r="30" spans="2:17">
      <c r="B30" s="568" t="s">
        <v>214</v>
      </c>
      <c r="C30" s="652"/>
      <c r="D30" s="653"/>
      <c r="E30" s="654"/>
      <c r="F30" s="653"/>
      <c r="G30" s="653"/>
      <c r="H30" s="652"/>
      <c r="I30" s="653"/>
      <c r="J30" s="654"/>
      <c r="K30" s="655"/>
      <c r="L30" s="655"/>
      <c r="M30" s="652"/>
      <c r="N30" s="653"/>
      <c r="O30" s="654"/>
      <c r="P30" s="655"/>
      <c r="Q30" s="656"/>
    </row>
    <row r="31" spans="2:17" ht="20.25" customHeight="1">
      <c r="B31" s="572" t="s">
        <v>215</v>
      </c>
      <c r="C31" s="664">
        <v>13344.477059999999</v>
      </c>
      <c r="D31" s="665">
        <v>13735.91807</v>
      </c>
      <c r="E31" s="666">
        <v>14549.2922</v>
      </c>
      <c r="F31" s="665">
        <v>-391.44101000000001</v>
      </c>
      <c r="G31" s="665">
        <v>-1204.8151399999999</v>
      </c>
      <c r="H31" s="664">
        <v>26878.117450000002</v>
      </c>
      <c r="I31" s="665">
        <v>26238.481459999999</v>
      </c>
      <c r="J31" s="666">
        <v>28171.653880000002</v>
      </c>
      <c r="K31" s="667">
        <v>639.63598999999999</v>
      </c>
      <c r="L31" s="667">
        <v>-1293.5364300000001</v>
      </c>
      <c r="M31" s="664">
        <v>65187.503700000001</v>
      </c>
      <c r="N31" s="665">
        <v>67293.246289999995</v>
      </c>
      <c r="O31" s="666">
        <v>63274.768770000002</v>
      </c>
      <c r="P31" s="667">
        <v>-2105.7425899999998</v>
      </c>
      <c r="Q31" s="668">
        <v>1912.7349300000001</v>
      </c>
    </row>
    <row r="32" spans="2:17" ht="13.8">
      <c r="B32" s="572" t="s">
        <v>216</v>
      </c>
      <c r="C32" s="652">
        <v>393921.82274999999</v>
      </c>
      <c r="D32" s="653">
        <v>387991.89530999999</v>
      </c>
      <c r="E32" s="654">
        <v>383689.85557999997</v>
      </c>
      <c r="F32" s="653">
        <v>5929.9274400000004</v>
      </c>
      <c r="G32" s="653">
        <v>10231.96717</v>
      </c>
      <c r="H32" s="652">
        <v>734966.87720999995</v>
      </c>
      <c r="I32" s="653">
        <v>728165.22609000001</v>
      </c>
      <c r="J32" s="654">
        <v>754265.07716999995</v>
      </c>
      <c r="K32" s="655">
        <v>6801.6511200000004</v>
      </c>
      <c r="L32" s="655">
        <v>-19298.199960000002</v>
      </c>
      <c r="M32" s="652">
        <v>1721367.2436299999</v>
      </c>
      <c r="N32" s="653">
        <v>1709640.41502</v>
      </c>
      <c r="O32" s="654">
        <v>1670317.00982</v>
      </c>
      <c r="P32" s="655">
        <v>11726.82861</v>
      </c>
      <c r="Q32" s="656">
        <v>51050.233809999998</v>
      </c>
    </row>
    <row r="33" spans="2:17">
      <c r="B33" s="570" t="s">
        <v>217</v>
      </c>
      <c r="C33" s="652">
        <v>303191.68858000002</v>
      </c>
      <c r="D33" s="653">
        <v>314229.98810000002</v>
      </c>
      <c r="E33" s="654">
        <v>378146.52844999998</v>
      </c>
      <c r="F33" s="653">
        <v>-11038.29952</v>
      </c>
      <c r="G33" s="653">
        <v>-74954.839869999996</v>
      </c>
      <c r="H33" s="652">
        <v>599377.19013999996</v>
      </c>
      <c r="I33" s="653">
        <v>590418.48181000003</v>
      </c>
      <c r="J33" s="654">
        <v>735151.00838999997</v>
      </c>
      <c r="K33" s="655">
        <v>8958.7083299999995</v>
      </c>
      <c r="L33" s="655">
        <v>-135773.81825000001</v>
      </c>
      <c r="M33" s="652">
        <v>1421378.4433200001</v>
      </c>
      <c r="N33" s="653">
        <v>1453866.49663</v>
      </c>
      <c r="O33" s="654">
        <v>1677515.9704499999</v>
      </c>
      <c r="P33" s="655">
        <v>-32488.053309999999</v>
      </c>
      <c r="Q33" s="656">
        <v>-256137.52713</v>
      </c>
    </row>
    <row r="34" spans="2:17">
      <c r="B34" s="570" t="s">
        <v>218</v>
      </c>
      <c r="C34" s="652"/>
      <c r="D34" s="653"/>
      <c r="E34" s="654"/>
      <c r="F34" s="653"/>
      <c r="G34" s="653"/>
      <c r="H34" s="652"/>
      <c r="I34" s="653"/>
      <c r="J34" s="654"/>
      <c r="K34" s="655"/>
      <c r="L34" s="655"/>
      <c r="M34" s="652"/>
      <c r="N34" s="653"/>
      <c r="O34" s="654"/>
      <c r="P34" s="655"/>
      <c r="Q34" s="656"/>
    </row>
    <row r="35" spans="2:17">
      <c r="B35" s="568" t="s">
        <v>219</v>
      </c>
      <c r="C35" s="652">
        <v>417.19941</v>
      </c>
      <c r="D35" s="653">
        <v>1561.50378</v>
      </c>
      <c r="E35" s="654">
        <v>1018.63579</v>
      </c>
      <c r="F35" s="653">
        <v>-1144.3043700000001</v>
      </c>
      <c r="G35" s="653">
        <v>-601.43637999999999</v>
      </c>
      <c r="H35" s="652">
        <v>980.22618999999997</v>
      </c>
      <c r="I35" s="653">
        <v>2673.6222299999999</v>
      </c>
      <c r="J35" s="654">
        <v>2291.8855899999999</v>
      </c>
      <c r="K35" s="655">
        <v>-1693.3960400000001</v>
      </c>
      <c r="L35" s="655">
        <v>-1311.6594</v>
      </c>
      <c r="M35" s="652">
        <v>5373.6775699999998</v>
      </c>
      <c r="N35" s="653">
        <v>13649.647360000001</v>
      </c>
      <c r="O35" s="654">
        <v>12055.768480000001</v>
      </c>
      <c r="P35" s="655">
        <v>-8275.9697899999992</v>
      </c>
      <c r="Q35" s="656">
        <v>-6682.0909099999999</v>
      </c>
    </row>
    <row r="36" spans="2:17">
      <c r="B36" s="568" t="s">
        <v>220</v>
      </c>
      <c r="C36" s="652"/>
      <c r="D36" s="653">
        <v>0</v>
      </c>
      <c r="E36" s="654"/>
      <c r="F36" s="653">
        <v>0</v>
      </c>
      <c r="G36" s="653"/>
      <c r="H36" s="652"/>
      <c r="I36" s="653">
        <v>0</v>
      </c>
      <c r="J36" s="654"/>
      <c r="K36" s="655">
        <v>0</v>
      </c>
      <c r="L36" s="655"/>
      <c r="M36" s="652"/>
      <c r="N36" s="653">
        <v>0</v>
      </c>
      <c r="O36" s="654"/>
      <c r="P36" s="655">
        <v>0</v>
      </c>
      <c r="Q36" s="656"/>
    </row>
    <row r="37" spans="2:17">
      <c r="B37" s="571" t="s">
        <v>221</v>
      </c>
      <c r="C37" s="657">
        <v>170.31559999999999</v>
      </c>
      <c r="D37" s="658"/>
      <c r="E37" s="659">
        <v>32.965350000000001</v>
      </c>
      <c r="F37" s="658">
        <v>170.31559999999999</v>
      </c>
      <c r="G37" s="658">
        <v>137.35024999999999</v>
      </c>
      <c r="H37" s="657">
        <v>357.16674</v>
      </c>
      <c r="I37" s="658"/>
      <c r="J37" s="659">
        <v>130.73129</v>
      </c>
      <c r="K37" s="660">
        <v>357.16674</v>
      </c>
      <c r="L37" s="660">
        <v>226.43545</v>
      </c>
      <c r="M37" s="657">
        <v>135.80919</v>
      </c>
      <c r="N37" s="658"/>
      <c r="O37" s="659">
        <v>774.13412000000005</v>
      </c>
      <c r="P37" s="660">
        <v>135.80919</v>
      </c>
      <c r="Q37" s="661">
        <v>-638.32492999999999</v>
      </c>
    </row>
    <row r="38" spans="2:17" ht="20.25" customHeight="1">
      <c r="B38" s="573" t="s">
        <v>222</v>
      </c>
      <c r="C38" s="652">
        <v>303779.20358999999</v>
      </c>
      <c r="D38" s="653">
        <v>315791.49187999999</v>
      </c>
      <c r="E38" s="654">
        <v>379198.12959000003</v>
      </c>
      <c r="F38" s="653">
        <v>-12012.28829</v>
      </c>
      <c r="G38" s="653">
        <v>-75418.926000000007</v>
      </c>
      <c r="H38" s="652">
        <v>600714.58307000005</v>
      </c>
      <c r="I38" s="653">
        <v>593092.10404000001</v>
      </c>
      <c r="J38" s="654">
        <v>737573.62526999996</v>
      </c>
      <c r="K38" s="655">
        <v>7622.4790300000004</v>
      </c>
      <c r="L38" s="655">
        <v>-136859.0422</v>
      </c>
      <c r="M38" s="652">
        <v>1426887.9300800001</v>
      </c>
      <c r="N38" s="653">
        <v>1467516.14399</v>
      </c>
      <c r="O38" s="654">
        <v>1690345.8730500001</v>
      </c>
      <c r="P38" s="655">
        <v>-40628.213909999999</v>
      </c>
      <c r="Q38" s="656">
        <v>-263457.94296999997</v>
      </c>
    </row>
    <row r="39" spans="2:17">
      <c r="B39" s="568" t="s">
        <v>223</v>
      </c>
      <c r="C39" s="652">
        <v>69335.816869999995</v>
      </c>
      <c r="D39" s="653">
        <v>58076.906490000001</v>
      </c>
      <c r="E39" s="654">
        <v>56772.219899999996</v>
      </c>
      <c r="F39" s="653">
        <v>11258.910379999999</v>
      </c>
      <c r="G39" s="653">
        <v>12563.596970000001</v>
      </c>
      <c r="H39" s="652">
        <v>137211.57686</v>
      </c>
      <c r="I39" s="653">
        <v>109031.53272</v>
      </c>
      <c r="J39" s="654">
        <v>105979.21771</v>
      </c>
      <c r="K39" s="655">
        <v>28180.044140000002</v>
      </c>
      <c r="L39" s="655">
        <v>31232.35915</v>
      </c>
      <c r="M39" s="652">
        <v>326332.28944000002</v>
      </c>
      <c r="N39" s="653">
        <v>268934.15664</v>
      </c>
      <c r="O39" s="654">
        <v>238398.23693000001</v>
      </c>
      <c r="P39" s="655">
        <v>57398.132799999999</v>
      </c>
      <c r="Q39" s="656">
        <v>87934.052509999994</v>
      </c>
    </row>
    <row r="40" spans="2:17">
      <c r="B40" s="568" t="s">
        <v>224</v>
      </c>
      <c r="C40" s="652">
        <v>-13157.87752</v>
      </c>
      <c r="D40" s="653"/>
      <c r="E40" s="654">
        <v>-4103.9170000000004</v>
      </c>
      <c r="F40" s="653">
        <v>-13157.87752</v>
      </c>
      <c r="G40" s="653">
        <v>-9053.9605200000005</v>
      </c>
      <c r="H40" s="652">
        <v>-26049.59476</v>
      </c>
      <c r="I40" s="653"/>
      <c r="J40" s="654">
        <v>-4103.9170000000004</v>
      </c>
      <c r="K40" s="655">
        <v>-26049.59476</v>
      </c>
      <c r="L40" s="655">
        <v>-21945.677759999999</v>
      </c>
      <c r="M40" s="652">
        <v>-62065.495600000002</v>
      </c>
      <c r="N40" s="653"/>
      <c r="O40" s="654">
        <v>-4103.9170000000004</v>
      </c>
      <c r="P40" s="655">
        <v>-62065.495600000002</v>
      </c>
      <c r="Q40" s="656">
        <v>-57961.578600000001</v>
      </c>
    </row>
    <row r="41" spans="2:17">
      <c r="B41" s="568" t="s">
        <v>225</v>
      </c>
      <c r="C41" s="652">
        <v>24.007110000000001</v>
      </c>
      <c r="D41" s="653">
        <v>44.817459999999997</v>
      </c>
      <c r="E41" s="654">
        <v>63.993600000000001</v>
      </c>
      <c r="F41" s="653">
        <v>-20.81035</v>
      </c>
      <c r="G41" s="653">
        <v>-39.986490000000003</v>
      </c>
      <c r="H41" s="652">
        <v>89.288169999999994</v>
      </c>
      <c r="I41" s="653">
        <v>77.260059999999996</v>
      </c>
      <c r="J41" s="654">
        <v>90.349680000000006</v>
      </c>
      <c r="K41" s="655">
        <v>12.02811</v>
      </c>
      <c r="L41" s="655">
        <v>-1.06151</v>
      </c>
      <c r="M41" s="652">
        <v>436.16043000000002</v>
      </c>
      <c r="N41" s="653">
        <v>861.33259999999996</v>
      </c>
      <c r="O41" s="654">
        <v>832.60378000000003</v>
      </c>
      <c r="P41" s="655">
        <v>-425.17216999999999</v>
      </c>
      <c r="Q41" s="656">
        <v>-396.44335000000001</v>
      </c>
    </row>
    <row r="42" spans="2:17">
      <c r="B42" s="571" t="s">
        <v>226</v>
      </c>
      <c r="C42" s="657"/>
      <c r="D42" s="658"/>
      <c r="E42" s="659"/>
      <c r="F42" s="658"/>
      <c r="G42" s="658"/>
      <c r="H42" s="657"/>
      <c r="I42" s="658"/>
      <c r="J42" s="659"/>
      <c r="K42" s="660"/>
      <c r="L42" s="660"/>
      <c r="M42" s="657"/>
      <c r="N42" s="658"/>
      <c r="O42" s="659"/>
      <c r="P42" s="660"/>
      <c r="Q42" s="661"/>
    </row>
    <row r="43" spans="2:17" ht="20.25" customHeight="1">
      <c r="B43" s="573" t="s">
        <v>227</v>
      </c>
      <c r="C43" s="652">
        <v>56201.946459999999</v>
      </c>
      <c r="D43" s="653">
        <v>58121.72395</v>
      </c>
      <c r="E43" s="654">
        <v>52732.296499999997</v>
      </c>
      <c r="F43" s="653">
        <v>-1919.7774899999999</v>
      </c>
      <c r="G43" s="653">
        <v>3469.6499600000002</v>
      </c>
      <c r="H43" s="652">
        <v>111251.27026999999</v>
      </c>
      <c r="I43" s="653">
        <v>109108.79278</v>
      </c>
      <c r="J43" s="654">
        <v>101965.65039</v>
      </c>
      <c r="K43" s="655">
        <v>2142.4774900000002</v>
      </c>
      <c r="L43" s="655">
        <v>9285.6198800000002</v>
      </c>
      <c r="M43" s="652">
        <v>264702.95426999999</v>
      </c>
      <c r="N43" s="653">
        <v>269795.48924000002</v>
      </c>
      <c r="O43" s="654">
        <v>235126.92371</v>
      </c>
      <c r="P43" s="655">
        <v>-5092.5349699999997</v>
      </c>
      <c r="Q43" s="656">
        <v>29576.030559999999</v>
      </c>
    </row>
    <row r="44" spans="2:17">
      <c r="B44" s="568" t="s">
        <v>228</v>
      </c>
      <c r="C44" s="652">
        <v>14079.72719</v>
      </c>
      <c r="D44" s="653">
        <v>15058.877630000001</v>
      </c>
      <c r="E44" s="654">
        <v>12256.348459999999</v>
      </c>
      <c r="F44" s="653">
        <v>-979.15044</v>
      </c>
      <c r="G44" s="653">
        <v>1823.3787299999999</v>
      </c>
      <c r="H44" s="652">
        <v>27571.973190000001</v>
      </c>
      <c r="I44" s="653">
        <v>27387.749230000001</v>
      </c>
      <c r="J44" s="654">
        <v>23983.53283</v>
      </c>
      <c r="K44" s="655">
        <v>184.22396000000001</v>
      </c>
      <c r="L44" s="655">
        <v>3588.4403600000001</v>
      </c>
      <c r="M44" s="652">
        <v>71999.420979999995</v>
      </c>
      <c r="N44" s="653">
        <v>67072.350630000001</v>
      </c>
      <c r="O44" s="654">
        <v>53871.90696</v>
      </c>
      <c r="P44" s="655">
        <v>4927.07035</v>
      </c>
      <c r="Q44" s="656">
        <v>18127.514019999999</v>
      </c>
    </row>
    <row r="45" spans="2:17">
      <c r="B45" s="571" t="s">
        <v>229</v>
      </c>
      <c r="C45" s="657"/>
      <c r="D45" s="658">
        <v>0</v>
      </c>
      <c r="E45" s="659"/>
      <c r="F45" s="658">
        <v>0</v>
      </c>
      <c r="G45" s="658"/>
      <c r="H45" s="657"/>
      <c r="I45" s="658">
        <v>0</v>
      </c>
      <c r="J45" s="659"/>
      <c r="K45" s="660">
        <v>0</v>
      </c>
      <c r="L45" s="660"/>
      <c r="M45" s="657"/>
      <c r="N45" s="658">
        <v>0</v>
      </c>
      <c r="O45" s="659"/>
      <c r="P45" s="660">
        <v>0</v>
      </c>
      <c r="Q45" s="661"/>
    </row>
    <row r="46" spans="2:17" ht="20.25" customHeight="1">
      <c r="B46" s="573" t="s">
        <v>230</v>
      </c>
      <c r="C46" s="652">
        <v>14079.72719</v>
      </c>
      <c r="D46" s="653">
        <v>15058.877630000001</v>
      </c>
      <c r="E46" s="654">
        <v>12256.348459999999</v>
      </c>
      <c r="F46" s="653">
        <v>-979.15044</v>
      </c>
      <c r="G46" s="653">
        <v>1823.3787299999999</v>
      </c>
      <c r="H46" s="652">
        <v>27571.973190000001</v>
      </c>
      <c r="I46" s="653">
        <v>27387.749230000001</v>
      </c>
      <c r="J46" s="654">
        <v>23983.53283</v>
      </c>
      <c r="K46" s="655">
        <v>184.22396000000001</v>
      </c>
      <c r="L46" s="655">
        <v>3588.4403600000001</v>
      </c>
      <c r="M46" s="652">
        <v>71999.420979999995</v>
      </c>
      <c r="N46" s="653">
        <v>67072.350630000001</v>
      </c>
      <c r="O46" s="654">
        <v>53871.90696</v>
      </c>
      <c r="P46" s="655">
        <v>4927.07035</v>
      </c>
      <c r="Q46" s="656">
        <v>18127.514019999999</v>
      </c>
    </row>
    <row r="47" spans="2:17">
      <c r="B47" s="568" t="s">
        <v>231</v>
      </c>
      <c r="C47" s="652">
        <v>13878.04953</v>
      </c>
      <c r="D47" s="653">
        <v>14167.668379999999</v>
      </c>
      <c r="E47" s="654">
        <v>11356.428040000001</v>
      </c>
      <c r="F47" s="653">
        <v>-289.61885000000001</v>
      </c>
      <c r="G47" s="653">
        <v>2521.62149</v>
      </c>
      <c r="H47" s="652">
        <v>27482.83383</v>
      </c>
      <c r="I47" s="653">
        <v>26597.880160000001</v>
      </c>
      <c r="J47" s="654">
        <v>22009.18807</v>
      </c>
      <c r="K47" s="655">
        <v>884.95366999999999</v>
      </c>
      <c r="L47" s="655">
        <v>5473.6457600000003</v>
      </c>
      <c r="M47" s="652">
        <v>64947.347130000002</v>
      </c>
      <c r="N47" s="653">
        <v>65605.593999999997</v>
      </c>
      <c r="O47" s="654">
        <v>56358.39759</v>
      </c>
      <c r="P47" s="655">
        <v>-658.24686999999994</v>
      </c>
      <c r="Q47" s="656">
        <v>8588.9495399999996</v>
      </c>
    </row>
    <row r="48" spans="2:17">
      <c r="B48" s="571" t="s">
        <v>232</v>
      </c>
      <c r="C48" s="657">
        <v>1175.6398200000001</v>
      </c>
      <c r="D48" s="658">
        <v>717.61625000000004</v>
      </c>
      <c r="E48" s="659">
        <v>2517.78078</v>
      </c>
      <c r="F48" s="658">
        <v>458.02357000000001</v>
      </c>
      <c r="G48" s="658">
        <v>-1342.14096</v>
      </c>
      <c r="H48" s="657">
        <v>2650.4721199999999</v>
      </c>
      <c r="I48" s="658">
        <v>3147.1878700000002</v>
      </c>
      <c r="J48" s="659">
        <v>5872.5984500000004</v>
      </c>
      <c r="K48" s="660">
        <v>-496.71575000000001</v>
      </c>
      <c r="L48" s="660">
        <v>-3222.1263300000001</v>
      </c>
      <c r="M48" s="657">
        <v>8999.3265499999998</v>
      </c>
      <c r="N48" s="658">
        <v>8923.5367800000004</v>
      </c>
      <c r="O48" s="659">
        <v>12395.17808</v>
      </c>
      <c r="P48" s="660">
        <v>75.789770000000004</v>
      </c>
      <c r="Q48" s="661">
        <v>-3395.8515299999999</v>
      </c>
    </row>
    <row r="49" spans="2:17" ht="20.25" customHeight="1">
      <c r="B49" s="573" t="s">
        <v>233</v>
      </c>
      <c r="C49" s="652">
        <v>15053.689350000001</v>
      </c>
      <c r="D49" s="653">
        <v>14885.28463</v>
      </c>
      <c r="E49" s="654">
        <v>13874.20882</v>
      </c>
      <c r="F49" s="653">
        <v>168.40472</v>
      </c>
      <c r="G49" s="653">
        <v>1179.48053</v>
      </c>
      <c r="H49" s="652">
        <v>30133.305950000002</v>
      </c>
      <c r="I49" s="653">
        <v>29745.068029999999</v>
      </c>
      <c r="J49" s="654">
        <v>27881.786520000001</v>
      </c>
      <c r="K49" s="655">
        <v>388.23791999999997</v>
      </c>
      <c r="L49" s="655">
        <v>2251.5194299999998</v>
      </c>
      <c r="M49" s="652">
        <v>73946.673680000007</v>
      </c>
      <c r="N49" s="653">
        <v>74529.130780000007</v>
      </c>
      <c r="O49" s="654">
        <v>68753.575670000006</v>
      </c>
      <c r="P49" s="655">
        <v>-582.45709999999997</v>
      </c>
      <c r="Q49" s="656">
        <v>5193.0980099999997</v>
      </c>
    </row>
    <row r="50" spans="2:17" ht="13.8">
      <c r="B50" s="574" t="s">
        <v>234</v>
      </c>
      <c r="C50" s="652">
        <v>10661.22219</v>
      </c>
      <c r="D50" s="653">
        <v>8412.2214899999999</v>
      </c>
      <c r="E50" s="654">
        <v>8516.0082399999992</v>
      </c>
      <c r="F50" s="653">
        <v>2249.0007000000001</v>
      </c>
      <c r="G50" s="653">
        <v>2145.2139499999998</v>
      </c>
      <c r="H50" s="652">
        <v>18021.479749999999</v>
      </c>
      <c r="I50" s="653">
        <v>15792.80747</v>
      </c>
      <c r="J50" s="654">
        <v>16452.310659999999</v>
      </c>
      <c r="K50" s="655">
        <v>2228.6722799999998</v>
      </c>
      <c r="L50" s="655">
        <v>1569.1690900000001</v>
      </c>
      <c r="M50" s="652">
        <v>38307.689890000001</v>
      </c>
      <c r="N50" s="653">
        <v>38277.253120000001</v>
      </c>
      <c r="O50" s="654">
        <v>38352.391430000003</v>
      </c>
      <c r="P50" s="655">
        <v>30.436769999999999</v>
      </c>
      <c r="Q50" s="656">
        <v>-44.701540000000001</v>
      </c>
    </row>
    <row r="51" spans="2:17" ht="13.8">
      <c r="B51" s="574" t="s">
        <v>235</v>
      </c>
      <c r="C51" s="652">
        <v>18624.976920000001</v>
      </c>
      <c r="D51" s="653">
        <v>19035.742750000001</v>
      </c>
      <c r="E51" s="654">
        <v>20562.724730000002</v>
      </c>
      <c r="F51" s="653">
        <v>-410.76582999999999</v>
      </c>
      <c r="G51" s="653">
        <v>-1937.7478100000001</v>
      </c>
      <c r="H51" s="652">
        <v>36765.466419999997</v>
      </c>
      <c r="I51" s="653">
        <v>35694.749049999999</v>
      </c>
      <c r="J51" s="654">
        <v>39761.00649</v>
      </c>
      <c r="K51" s="655">
        <v>1070.7173700000001</v>
      </c>
      <c r="L51" s="655">
        <v>-2995.54007</v>
      </c>
      <c r="M51" s="652">
        <v>87286.535440000007</v>
      </c>
      <c r="N51" s="653">
        <v>88140.063150000002</v>
      </c>
      <c r="O51" s="654">
        <v>91509.470130000002</v>
      </c>
      <c r="P51" s="655">
        <v>-853.52770999999996</v>
      </c>
      <c r="Q51" s="656">
        <v>-4222.93469</v>
      </c>
    </row>
    <row r="52" spans="2:17" ht="13.8">
      <c r="B52" s="358" t="s">
        <v>236</v>
      </c>
      <c r="C52" s="657">
        <v>36203.937030000001</v>
      </c>
      <c r="D52" s="658">
        <v>36294.293120000002</v>
      </c>
      <c r="E52" s="659">
        <v>40226.414900000003</v>
      </c>
      <c r="F52" s="658">
        <v>-90.356089999999995</v>
      </c>
      <c r="G52" s="658">
        <v>-4022.4778700000002</v>
      </c>
      <c r="H52" s="657">
        <v>71691.527270000006</v>
      </c>
      <c r="I52" s="658">
        <v>68087.419569999998</v>
      </c>
      <c r="J52" s="659">
        <v>77823.590280000004</v>
      </c>
      <c r="K52" s="660">
        <v>3604.1077</v>
      </c>
      <c r="L52" s="660">
        <v>-6132.0630099999998</v>
      </c>
      <c r="M52" s="657">
        <v>170138.58098</v>
      </c>
      <c r="N52" s="658">
        <v>168136.62307999999</v>
      </c>
      <c r="O52" s="659">
        <v>177880.03816</v>
      </c>
      <c r="P52" s="660">
        <v>2001.9579000000001</v>
      </c>
      <c r="Q52" s="661">
        <v>-7741.4571800000003</v>
      </c>
    </row>
    <row r="53" spans="2:17" ht="13.8">
      <c r="B53" s="358" t="s">
        <v>237</v>
      </c>
      <c r="C53" s="652">
        <v>150825.49914</v>
      </c>
      <c r="D53" s="653">
        <v>151808.14356999999</v>
      </c>
      <c r="E53" s="654">
        <v>148168.00164999999</v>
      </c>
      <c r="F53" s="653">
        <v>-982.64443000000006</v>
      </c>
      <c r="G53" s="653">
        <v>2657.4974900000002</v>
      </c>
      <c r="H53" s="652">
        <v>295435.02285000001</v>
      </c>
      <c r="I53" s="653">
        <v>285816.58613000001</v>
      </c>
      <c r="J53" s="654">
        <v>287867.87716999999</v>
      </c>
      <c r="K53" s="655">
        <v>9618.4367199999997</v>
      </c>
      <c r="L53" s="655">
        <v>7567.1456799999996</v>
      </c>
      <c r="M53" s="652">
        <v>706381.85523999995</v>
      </c>
      <c r="N53" s="653">
        <v>705950.91</v>
      </c>
      <c r="O53" s="654">
        <v>665494.30605999997</v>
      </c>
      <c r="P53" s="655">
        <v>430.94524000000001</v>
      </c>
      <c r="Q53" s="656">
        <v>40887.549180000002</v>
      </c>
    </row>
    <row r="54" spans="2:17" ht="13.8">
      <c r="B54" s="358" t="s">
        <v>238</v>
      </c>
      <c r="C54" s="652">
        <v>454604.70273000002</v>
      </c>
      <c r="D54" s="653">
        <v>467599.63545</v>
      </c>
      <c r="E54" s="654">
        <v>527366.13124000002</v>
      </c>
      <c r="F54" s="653">
        <v>-12994.932720000001</v>
      </c>
      <c r="G54" s="653">
        <v>-72761.428509999998</v>
      </c>
      <c r="H54" s="652">
        <v>896149.60592</v>
      </c>
      <c r="I54" s="653">
        <v>878908.69016999996</v>
      </c>
      <c r="J54" s="654">
        <v>1025441.50244</v>
      </c>
      <c r="K54" s="655">
        <v>17240.91575</v>
      </c>
      <c r="L54" s="655">
        <v>-129291.89651999999</v>
      </c>
      <c r="M54" s="652">
        <v>2133269.7853199998</v>
      </c>
      <c r="N54" s="653">
        <v>2173467.0539899999</v>
      </c>
      <c r="O54" s="654">
        <v>2355840.1791099999</v>
      </c>
      <c r="P54" s="655">
        <v>-40197.268669999998</v>
      </c>
      <c r="Q54" s="656">
        <v>-222570.39379</v>
      </c>
    </row>
    <row r="55" spans="2:17" ht="19.5" customHeight="1" thickBot="1">
      <c r="B55" s="669" t="s">
        <v>239</v>
      </c>
      <c r="C55" s="670">
        <v>848526.52547999995</v>
      </c>
      <c r="D55" s="671">
        <v>855591.53075999999</v>
      </c>
      <c r="E55" s="672">
        <v>911055.98681999999</v>
      </c>
      <c r="F55" s="671">
        <v>-7065.0052800000003</v>
      </c>
      <c r="G55" s="671">
        <v>-62529.461340000002</v>
      </c>
      <c r="H55" s="670">
        <v>1631116.4831300001</v>
      </c>
      <c r="I55" s="671">
        <v>1607073.9162600001</v>
      </c>
      <c r="J55" s="672">
        <v>1779706.5796099999</v>
      </c>
      <c r="K55" s="673">
        <v>24042.566869999999</v>
      </c>
      <c r="L55" s="673">
        <v>-148590.09648000001</v>
      </c>
      <c r="M55" s="670">
        <v>3854637.0289500002</v>
      </c>
      <c r="N55" s="671">
        <v>3883107.4690100001</v>
      </c>
      <c r="O55" s="672">
        <v>4026157.1889300002</v>
      </c>
      <c r="P55" s="673">
        <v>-28470.440060000001</v>
      </c>
      <c r="Q55" s="674">
        <v>-171520.15998</v>
      </c>
    </row>
    <row r="56" spans="2:17" ht="13.8" thickTop="1">
      <c r="B56" s="365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421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</row>
    <row r="60" spans="2:17">
      <c r="B60" s="369" t="s">
        <v>249</v>
      </c>
      <c r="C60" s="675">
        <v>8382089.8550000004</v>
      </c>
      <c r="D60" s="676">
        <v>8512940.5</v>
      </c>
      <c r="E60" s="677">
        <v>8930549.4979999997</v>
      </c>
      <c r="F60" s="676">
        <v>-130850.645</v>
      </c>
      <c r="G60" s="676">
        <v>-548459.64300000004</v>
      </c>
      <c r="H60" s="675">
        <v>16619246.390000001</v>
      </c>
      <c r="I60" s="676">
        <v>15993534.699999999</v>
      </c>
      <c r="J60" s="677">
        <v>17333119.364999998</v>
      </c>
      <c r="K60" s="678">
        <v>625711.68999999994</v>
      </c>
      <c r="L60" s="678">
        <v>-713872.97499999998</v>
      </c>
      <c r="M60" s="675">
        <v>39386068.887000002</v>
      </c>
      <c r="N60" s="676">
        <v>39391655.979999997</v>
      </c>
      <c r="O60" s="677">
        <v>39959946.876000002</v>
      </c>
      <c r="P60" s="678">
        <v>-5587.0929999999998</v>
      </c>
      <c r="Q60" s="679">
        <v>-573877.98899999994</v>
      </c>
    </row>
    <row r="61" spans="2:17">
      <c r="B61" s="369" t="s">
        <v>250</v>
      </c>
      <c r="C61" s="680">
        <v>939850</v>
      </c>
      <c r="D61" s="678">
        <v>592801.57999999996</v>
      </c>
      <c r="E61" s="679">
        <v>127547</v>
      </c>
      <c r="F61" s="678">
        <v>347048.42</v>
      </c>
      <c r="G61" s="678">
        <v>812303</v>
      </c>
      <c r="H61" s="680">
        <v>719464</v>
      </c>
      <c r="I61" s="678">
        <v>1095009.29</v>
      </c>
      <c r="J61" s="679">
        <v>923471</v>
      </c>
      <c r="K61" s="678">
        <v>-375545.29</v>
      </c>
      <c r="L61" s="678">
        <v>-204007</v>
      </c>
      <c r="M61" s="680">
        <v>902222</v>
      </c>
      <c r="N61" s="678">
        <v>327248.32</v>
      </c>
      <c r="O61" s="679">
        <v>335450</v>
      </c>
      <c r="P61" s="678">
        <v>574973.68000000005</v>
      </c>
      <c r="Q61" s="679">
        <v>566772</v>
      </c>
    </row>
    <row r="62" spans="2:17">
      <c r="B62" s="369" t="s">
        <v>251</v>
      </c>
      <c r="C62" s="680">
        <v>23885</v>
      </c>
      <c r="D62" s="678">
        <v>56137.73</v>
      </c>
      <c r="E62" s="679">
        <v>57845</v>
      </c>
      <c r="F62" s="678">
        <v>-32252.73</v>
      </c>
      <c r="G62" s="678">
        <v>-33960</v>
      </c>
      <c r="H62" s="680">
        <v>44231</v>
      </c>
      <c r="I62" s="678">
        <v>108480.67</v>
      </c>
      <c r="J62" s="679">
        <v>122451</v>
      </c>
      <c r="K62" s="678">
        <v>-64249.67</v>
      </c>
      <c r="L62" s="678">
        <v>-78220</v>
      </c>
      <c r="M62" s="680">
        <v>197933</v>
      </c>
      <c r="N62" s="678">
        <v>471199.85</v>
      </c>
      <c r="O62" s="679">
        <v>483729</v>
      </c>
      <c r="P62" s="678">
        <v>-273266.84999999998</v>
      </c>
      <c r="Q62" s="679">
        <v>-285796</v>
      </c>
    </row>
    <row r="63" spans="2:17" ht="13.8" thickBot="1">
      <c r="B63" s="376" t="s">
        <v>252</v>
      </c>
      <c r="C63" s="681">
        <v>9345824.8550000004</v>
      </c>
      <c r="D63" s="682">
        <v>9161879.8100000005</v>
      </c>
      <c r="E63" s="683">
        <v>9115941.4979999997</v>
      </c>
      <c r="F63" s="682">
        <v>183945.04500000001</v>
      </c>
      <c r="G63" s="682">
        <v>229883.35699999999</v>
      </c>
      <c r="H63" s="681">
        <v>17382941.390000001</v>
      </c>
      <c r="I63" s="682">
        <v>17197024.66</v>
      </c>
      <c r="J63" s="683">
        <v>18379041.364999998</v>
      </c>
      <c r="K63" s="684">
        <v>185916.73</v>
      </c>
      <c r="L63" s="684">
        <v>-996099.97499999998</v>
      </c>
      <c r="M63" s="681">
        <v>40486223.887000002</v>
      </c>
      <c r="N63" s="682">
        <v>40190104.149999999</v>
      </c>
      <c r="O63" s="683">
        <v>40779125.876000002</v>
      </c>
      <c r="P63" s="684">
        <v>296119.73700000002</v>
      </c>
      <c r="Q63" s="685">
        <v>-292901.989</v>
      </c>
    </row>
    <row r="64" spans="2:17" ht="13.8" thickTop="1">
      <c r="B64" s="382"/>
    </row>
    <row r="65" spans="2:17" ht="17.399999999999999">
      <c r="B65" s="383" t="s">
        <v>253</v>
      </c>
      <c r="C65" s="384">
        <f>C55</f>
        <v>848526.52547999995</v>
      </c>
      <c r="D65" s="384"/>
      <c r="E65" s="384">
        <f>E55</f>
        <v>911055.98681999999</v>
      </c>
      <c r="F65" s="384"/>
      <c r="G65" s="384">
        <f>G55</f>
        <v>-62529.461340000002</v>
      </c>
      <c r="H65" s="384">
        <f>H55</f>
        <v>1631116.4831300001</v>
      </c>
      <c r="I65" s="384"/>
      <c r="J65" s="384">
        <f>J55</f>
        <v>1779706.5796099999</v>
      </c>
      <c r="K65" s="384"/>
      <c r="L65" s="384">
        <f>L55</f>
        <v>-148590.09648000001</v>
      </c>
      <c r="M65" s="384">
        <f>M55</f>
        <v>3854637.0289500002</v>
      </c>
      <c r="N65" s="384"/>
      <c r="O65" s="384">
        <f>O55</f>
        <v>4026157.1889300002</v>
      </c>
      <c r="P65" s="384"/>
      <c r="Q65" s="384">
        <f>Q55</f>
        <v>-171520.15998</v>
      </c>
    </row>
    <row r="66" spans="2:17">
      <c r="B66" s="385"/>
      <c r="C66" s="160"/>
      <c r="D66" s="160"/>
      <c r="E66" s="160"/>
      <c r="F66" s="160"/>
      <c r="G66" s="386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2:17">
      <c r="B67" s="686"/>
      <c r="C67" s="388"/>
      <c r="D67" s="389"/>
      <c r="E67" s="389"/>
      <c r="F67" s="390"/>
      <c r="G67" s="391"/>
      <c r="H67" s="388"/>
      <c r="I67" s="392"/>
      <c r="J67" s="389"/>
      <c r="K67" s="390"/>
      <c r="L67" s="391"/>
      <c r="M67" s="388"/>
      <c r="N67" s="392"/>
      <c r="O67" s="389"/>
      <c r="P67" s="393"/>
      <c r="Q67" s="391"/>
    </row>
    <row r="68" spans="2:17">
      <c r="B68" s="591" t="s">
        <v>254</v>
      </c>
      <c r="C68" s="687">
        <f>-1.91271-132.67047</f>
        <v>-134.58318</v>
      </c>
      <c r="D68" s="688"/>
      <c r="E68" s="276">
        <f>[11]Summary!C67</f>
        <v>-118.34878</v>
      </c>
      <c r="F68" s="689"/>
      <c r="G68" s="690">
        <f>C68-E68</f>
        <v>-16.234399999999994</v>
      </c>
      <c r="H68" s="399">
        <f>[12]Actual!F68+[12]Actual!G68</f>
        <v>-278.10845</v>
      </c>
      <c r="I68" s="276"/>
      <c r="J68" s="400">
        <f>[12]Prior!F68+[12]Prior!G68</f>
        <v>-225.1601</v>
      </c>
      <c r="K68" s="690"/>
      <c r="L68" s="690">
        <f>H68-J68</f>
        <v>-52.948350000000005</v>
      </c>
      <c r="M68" s="399">
        <f>[12]Actual!O68</f>
        <v>-682.89099999999996</v>
      </c>
      <c r="N68" s="401"/>
      <c r="O68" s="691">
        <f>SUM([12]Prior!C68:G68)</f>
        <v>-574.17573000000004</v>
      </c>
      <c r="P68" s="690"/>
      <c r="Q68" s="692">
        <f>M68-O68</f>
        <v>-108.71526999999992</v>
      </c>
    </row>
    <row r="69" spans="2:17">
      <c r="B69" s="591" t="s">
        <v>255</v>
      </c>
      <c r="C69" s="687">
        <v>0</v>
      </c>
      <c r="D69" s="688"/>
      <c r="E69" s="276">
        <f>[11]Summary!C68</f>
        <v>0</v>
      </c>
      <c r="F69" s="689"/>
      <c r="G69" s="690">
        <f>C69-E69</f>
        <v>0</v>
      </c>
      <c r="H69" s="399">
        <f>+C69</f>
        <v>0</v>
      </c>
      <c r="I69" s="276"/>
      <c r="J69" s="400">
        <f>+E69</f>
        <v>0</v>
      </c>
      <c r="K69" s="690"/>
      <c r="L69" s="690">
        <f>H69-J69</f>
        <v>0</v>
      </c>
      <c r="M69" s="399">
        <f>+[13]Actual!O69</f>
        <v>0</v>
      </c>
      <c r="N69" s="401"/>
      <c r="O69" s="691">
        <v>0</v>
      </c>
      <c r="P69" s="690"/>
      <c r="Q69" s="692">
        <f>M69-O69</f>
        <v>0</v>
      </c>
    </row>
    <row r="70" spans="2:17">
      <c r="B70" s="591" t="s">
        <v>256</v>
      </c>
      <c r="C70" s="693">
        <f>-34.43408-232.75045</f>
        <v>-267.18453</v>
      </c>
      <c r="D70" s="694"/>
      <c r="E70" s="276">
        <f>[11]Summary!C69</f>
        <v>-121.46923</v>
      </c>
      <c r="F70" s="695"/>
      <c r="G70" s="690">
        <f>C70-E70</f>
        <v>-145.71530000000001</v>
      </c>
      <c r="H70" s="399">
        <f>[12]Actual!F70+[12]Actual!G70</f>
        <v>-568.30169000000001</v>
      </c>
      <c r="I70" s="276"/>
      <c r="J70" s="400">
        <f>[12]Prior!F70+[12]Prior!G70</f>
        <v>-277.39864999999998</v>
      </c>
      <c r="K70" s="690"/>
      <c r="L70" s="690">
        <f>H70-J70</f>
        <v>-290.90304000000003</v>
      </c>
      <c r="M70" s="399">
        <f>[12]Actual!O70</f>
        <v>-1320.4515100000001</v>
      </c>
      <c r="N70" s="401"/>
      <c r="O70" s="691">
        <f>SUM([12]Prior!C70:G70)</f>
        <v>-629.93745000000001</v>
      </c>
      <c r="P70" s="690"/>
      <c r="Q70" s="692">
        <f>M70-O70</f>
        <v>-690.51406000000009</v>
      </c>
    </row>
    <row r="71" spans="2:17" ht="18" thickBot="1">
      <c r="B71" s="383" t="s">
        <v>257</v>
      </c>
      <c r="C71" s="696">
        <f>SUM(C65:C70)</f>
        <v>848124.75777000003</v>
      </c>
      <c r="D71" s="697"/>
      <c r="E71" s="698">
        <f>SUM(E65:E70)</f>
        <v>910816.16880999994</v>
      </c>
      <c r="F71" s="697"/>
      <c r="G71" s="698">
        <f>C71-E71</f>
        <v>-62691.411039999919</v>
      </c>
      <c r="H71" s="697">
        <f>SUM(H65:H70)</f>
        <v>1630270.07299</v>
      </c>
      <c r="I71" s="697"/>
      <c r="J71" s="698">
        <f>SUM(J65:J70)</f>
        <v>1779204.0208599998</v>
      </c>
      <c r="K71" s="697"/>
      <c r="L71" s="698">
        <f>H71-J71</f>
        <v>-148933.9478699998</v>
      </c>
      <c r="M71" s="696">
        <f>SUM(M65:M70)</f>
        <v>3852633.6864400003</v>
      </c>
      <c r="N71" s="697"/>
      <c r="O71" s="698">
        <f>SUM(O65:O70)</f>
        <v>4024953.0757500003</v>
      </c>
      <c r="P71" s="697"/>
      <c r="Q71" s="698">
        <f>M71-O71</f>
        <v>-172319.38931</v>
      </c>
    </row>
    <row r="72" spans="2:17" ht="13.8" thickTop="1">
      <c r="B72" s="382"/>
    </row>
    <row r="73" spans="2:17">
      <c r="B73" s="382"/>
    </row>
    <row r="74" spans="2:17">
      <c r="B74" s="382"/>
    </row>
    <row r="75" spans="2:17">
      <c r="B75" s="410"/>
    </row>
    <row r="76" spans="2:17">
      <c r="B76" s="382"/>
    </row>
    <row r="77" spans="2:17">
      <c r="B77" s="382"/>
    </row>
    <row r="78" spans="2:17">
      <c r="B78" s="382"/>
    </row>
    <row r="79" spans="2:17">
      <c r="B79" s="382"/>
    </row>
    <row r="80" spans="2:17">
      <c r="B80" s="410"/>
    </row>
    <row r="81" spans="2:2">
      <c r="B81" s="382"/>
    </row>
    <row r="82" spans="2:2">
      <c r="B82" s="382"/>
    </row>
    <row r="83" spans="2:2">
      <c r="B83" s="410"/>
    </row>
    <row r="84" spans="2:2">
      <c r="B84" s="382"/>
    </row>
    <row r="85" spans="2:2">
      <c r="B85" s="382"/>
    </row>
    <row r="86" spans="2:2">
      <c r="B86" s="410"/>
    </row>
    <row r="87" spans="2:2">
      <c r="B87" s="382"/>
    </row>
    <row r="88" spans="2:2">
      <c r="B88" s="382"/>
    </row>
    <row r="89" spans="2:2">
      <c r="B89" s="410"/>
    </row>
    <row r="90" spans="2:2">
      <c r="B90" s="382"/>
    </row>
    <row r="91" spans="2:2">
      <c r="B91" s="410"/>
    </row>
    <row r="92" spans="2:2">
      <c r="B92" s="365"/>
    </row>
    <row r="93" spans="2:2">
      <c r="B93" s="410"/>
    </row>
    <row r="94" spans="2:2">
      <c r="B94" s="365"/>
    </row>
    <row r="95" spans="2:2">
      <c r="B95" s="410"/>
    </row>
    <row r="96" spans="2:2">
      <c r="B96" s="365"/>
    </row>
  </sheetData>
  <mergeCells count="1">
    <mergeCell ref="B2:D2"/>
  </mergeCells>
  <phoneticPr fontId="0" type="noConversion"/>
  <printOptions horizontalCentered="1" vertic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50.25" customHeight="1">
      <c r="A1" s="780" t="s">
        <v>479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10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76" t="s">
        <v>131</v>
      </c>
      <c r="U5" s="777" t="s">
        <v>51</v>
      </c>
      <c r="V5" s="776" t="s">
        <v>132</v>
      </c>
      <c r="W5" s="777" t="s">
        <v>51</v>
      </c>
    </row>
    <row r="6" spans="1:23">
      <c r="A6" s="46" t="s">
        <v>141</v>
      </c>
      <c r="B6" s="47">
        <f ca="1">+'Summary Plan Retail Delivered'!L6</f>
        <v>7423424</v>
      </c>
      <c r="I6" s="232" t="s">
        <v>147</v>
      </c>
      <c r="T6" s="768"/>
      <c r="U6" s="769"/>
      <c r="V6" s="768"/>
      <c r="W6" s="769"/>
    </row>
    <row r="7" spans="1:23" ht="39.6">
      <c r="A7" s="1"/>
      <c r="B7" s="232"/>
      <c r="C7" s="232"/>
      <c r="F7" s="214" t="s">
        <v>463</v>
      </c>
      <c r="G7" s="214" t="s">
        <v>462</v>
      </c>
      <c r="O7" s="440">
        <f>+[3]Retail!$N$16</f>
        <v>7423424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Delivered'!L8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Delivered'!L10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 ca="1">+E10+'P6 Summary Plan Forecast_Oct'!F10</f>
        <v>0</v>
      </c>
      <c r="G10" s="602">
        <f ca="1">+E10+'P6 Summary Plan Forecast_Oct'!G10</f>
        <v>-641.70977687899085</v>
      </c>
      <c r="H10" s="238"/>
      <c r="I10" s="235"/>
      <c r="K10" s="236"/>
      <c r="N10" s="51"/>
      <c r="P10" s="81"/>
      <c r="T10" s="770">
        <f ca="1">+E10+'P6 Summary Plan Forecast_Oct'!E10</f>
        <v>0</v>
      </c>
      <c r="U10" s="771">
        <f ca="1">+T10-F10</f>
        <v>0</v>
      </c>
      <c r="V10" s="770">
        <f ca="1">+E10+'P6 Summary Plan Forecast_Oct'!E10+'P6 Summary Plan Forecast_Sep'!E10+'P6 Summary Plan Forecast_Aug'!E10+'P6 Summary Plan Forecast_July'!E10+'P6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Delivered'!L12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 ca="1">+E12+'P6 Summary Plan Forecast_Oct'!F12</f>
        <v>0</v>
      </c>
      <c r="G12" s="602">
        <f ca="1">+E12+'P6 Summary Plan Forecast_Oct'!G12</f>
        <v>6647.7287483450054</v>
      </c>
      <c r="H12" s="238"/>
      <c r="I12" s="235"/>
      <c r="K12" s="236"/>
      <c r="N12" s="51"/>
      <c r="O12" s="5"/>
      <c r="T12" s="770">
        <f ca="1">+E12+'P6 Summary Plan Forecast_Oct'!E12</f>
        <v>0</v>
      </c>
      <c r="U12" s="771">
        <f ca="1">+T12-F12</f>
        <v>0</v>
      </c>
      <c r="V12" s="770">
        <f ca="1">+E12+'P6 Summary Plan Forecast_Oct'!E12+'P6 Summary Plan Forecast_Sep'!E12+'P6 Summary Plan Forecast_Aug'!E12+'P6 Summary Plan Forecast_July'!E12+'P6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Delivered'!L14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 ca="1">+E14+'P6 Summary Plan Forecast_Oct'!F14</f>
        <v>0</v>
      </c>
      <c r="G14" s="602">
        <f ca="1">+E14+'P6 Summary Plan Forecast_Oct'!G14</f>
        <v>-60476.10363792815</v>
      </c>
      <c r="H14" s="238"/>
      <c r="I14" s="235"/>
      <c r="K14" s="236"/>
      <c r="N14" s="51"/>
      <c r="T14" s="770">
        <f ca="1">+E14+'P6 Summary Plan Forecast_Oct'!E14</f>
        <v>0</v>
      </c>
      <c r="U14" s="771">
        <f ca="1">+T14-F14</f>
        <v>0</v>
      </c>
      <c r="V14" s="770">
        <f ca="1">+E14+'P6 Summary Plan Forecast_Oct'!E14+'P6 Summary Plan Forecast_Sep'!E14+'P6 Summary Plan Forecast_Aug'!E14+'P6 Summary Plan Forecast_July'!E14+'P6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Delivered'!L16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 ca="1">+E16+'P6 Summary Plan Forecast_Oct'!F16</f>
        <v>0</v>
      </c>
      <c r="G16" s="602">
        <f ca="1">+E16+'P6 Summary Plan Forecast_Oct'!G16</f>
        <v>-11230.05540265602</v>
      </c>
      <c r="H16" s="238"/>
      <c r="I16" s="235"/>
      <c r="K16" s="236"/>
      <c r="N16" s="51"/>
      <c r="T16" s="770">
        <f ca="1">+E16+'P6 Summary Plan Forecast_Oct'!E16</f>
        <v>0</v>
      </c>
      <c r="U16" s="771">
        <f ca="1">+T16-F16</f>
        <v>0</v>
      </c>
      <c r="V16" s="770">
        <f ca="1">+E16+'P6 Summary Plan Forecast_Oct'!E16+'P6 Summary Plan Forecast_Sep'!E16+'P6 Summary Plan Forecast_Aug'!E16+'P6 Summary Plan Forecast_July'!E16+'P6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Delivered'!L18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 ca="1">+E18+'P6 Summary Plan Forecast_Oct'!F18</f>
        <v>0</v>
      </c>
      <c r="G18" s="602">
        <f ca="1">+E18+'P6 Summary Plan Forecast_Oct'!G18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 ca="1">+E18+'P6 Summary Plan Forecast_Oct'!E18</f>
        <v>0</v>
      </c>
      <c r="U18" s="771">
        <f ca="1">+T18-F18</f>
        <v>0</v>
      </c>
      <c r="V18" s="770">
        <f ca="1">+E18+'P6 Summary Plan Forecast_Oct'!E18+'P6 Summary Plan Forecast_Sep'!E18+'P6 Summary Plan Forecast_Aug'!E18+'P6 Summary Plan Forecast_July'!E18+'P6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Delivered'!L20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 ca="1">+E20+'P6 Summary Plan Forecast_Oct'!F20</f>
        <v>0</v>
      </c>
      <c r="G20" s="602">
        <f ca="1">+E20+'P6 Summary Plan Forecast_Oct'!G20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 ca="1">+E20+'P6 Summary Plan Forecast_Oct'!E20</f>
        <v>0</v>
      </c>
      <c r="U20" s="771">
        <f ca="1">+T20-F20</f>
        <v>0</v>
      </c>
      <c r="V20" s="770">
        <f ca="1">+E20+'P6 Summary Plan Forecast_Oct'!E20+'P6 Summary Plan Forecast_Sep'!E20+'P6 Summary Plan Forecast_Aug'!E20+'P6 Summary Plan Forecast_July'!E20+'P6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Delivered'!L22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 ca="1">+E22+'P6 Summary Plan Forecast_Oct'!F22</f>
        <v>0</v>
      </c>
      <c r="G22" s="602">
        <f ca="1">+E22+'P6 Summary Plan Forecast_Oct'!G22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 ca="1">+E22+'P6 Summary Plan Forecast_Oct'!E22</f>
        <v>0</v>
      </c>
      <c r="U22" s="771">
        <f ca="1">+T22-F22</f>
        <v>0</v>
      </c>
      <c r="V22" s="770">
        <f ca="1">+E22+'P6 Summary Plan Forecast_Oct'!E22+'P6 Summary Plan Forecast_Sep'!E22+'P6 Summary Plan Forecast_Aug'!E22+'P6 Summary Plan Forecast_July'!E22+'P6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Delivered'!L24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 ca="1">+E24+'P6 Summary Plan Forecast_Oct'!F24</f>
        <v>0</v>
      </c>
      <c r="G24" s="602">
        <f ca="1">+E24+'P6 Summary Plan Forecast_Oct'!G24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 ca="1">+E24+'P6 Summary Plan Forecast_Oct'!E24</f>
        <v>0</v>
      </c>
      <c r="U24" s="771">
        <f ca="1">+T24-F24</f>
        <v>0</v>
      </c>
      <c r="V24" s="770">
        <f ca="1">+E24+'P6 Summary Plan Forecast_Oct'!E24+'P6 Summary Plan Forecast_Sep'!E24+'P6 Summary Plan Forecast_Aug'!E24+'P6 Summary Plan Forecast_July'!E24+'P6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7423424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 ca="1">+E26+'P6 Summary Plan Forecast_Oct'!E26</f>
        <v>0</v>
      </c>
      <c r="U26" s="773">
        <f ca="1">+T26-F26</f>
        <v>0</v>
      </c>
      <c r="V26" s="772">
        <f ca="1">+E26+'P6 Summary Plan Forecast_Oct'!E26+'P6 Summary Plan Forecast_Sep'!E26+'P6 Summary Plan Forecast_Aug'!E26+'P6 Summary Plan Forecast_July'!E26+'P6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Delivered'!L38</f>
        <v>7672046.7099064216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Delivered'!L40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Delivered'!L42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 ca="1">+E42+'P6 Summary Plan Forecast_Oct'!F42</f>
        <v>0</v>
      </c>
      <c r="G42" s="602">
        <f ca="1">+E42+'P6 Summary Plan Forecast_Oct'!G42</f>
        <v>-491.82505887175989</v>
      </c>
      <c r="H42" s="51"/>
      <c r="I42" s="234"/>
      <c r="T42" s="770">
        <f ca="1">+E42+'P6 Summary Plan Forecast_Oct'!E42</f>
        <v>0</v>
      </c>
      <c r="U42" s="771">
        <f ca="1">+T42-F42</f>
        <v>0</v>
      </c>
      <c r="V42" s="770">
        <f ca="1">+E42+'P6 Summary Plan Forecast_Oct'!E42+'P6 Summary Plan Forecast_Sep'!E42+'P6 Summary Plan Forecast_Aug'!E42+'P6 Summary Plan Forecast_July'!E42+'P6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71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Delivered'!L44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 ca="1">+E44+'P6 Summary Plan Forecast_Oct'!F44</f>
        <v>0</v>
      </c>
      <c r="G44" s="602">
        <f ca="1">+E44+'P6 Summary Plan Forecast_Oct'!G44</f>
        <v>-475.05273860621776</v>
      </c>
      <c r="H44" s="51"/>
      <c r="T44" s="770">
        <f ca="1">+E44+'P6 Summary Plan Forecast_Oct'!E44</f>
        <v>0</v>
      </c>
      <c r="U44" s="771">
        <f ca="1">+T44-F44</f>
        <v>0</v>
      </c>
      <c r="V44" s="770">
        <f ca="1">+E44+'P6 Summary Plan Forecast_Oct'!E44+'P6 Summary Plan Forecast_Sep'!E44+'P6 Summary Plan Forecast_Aug'!E44+'P6 Summary Plan Forecast_July'!E44+'P6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Delivered'!L46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 ca="1">+E46+'P6 Summary Plan Forecast_Oct'!F46</f>
        <v>0</v>
      </c>
      <c r="G46" s="602">
        <f ca="1">+E46+'P6 Summary Plan Forecast_Oct'!G46</f>
        <v>20367.630782642045</v>
      </c>
      <c r="T46" s="770">
        <f ca="1">+E46+'P6 Summary Plan Forecast_Oct'!E46</f>
        <v>0</v>
      </c>
      <c r="U46" s="771">
        <f ca="1">+T46-F46</f>
        <v>0</v>
      </c>
      <c r="V46" s="770">
        <f ca="1">+E46+'P6 Summary Plan Forecast_Oct'!E46+'P6 Summary Plan Forecast_Sep'!E46+'P6 Summary Plan Forecast_Aug'!E46+'P6 Summary Plan Forecast_July'!E46+'P6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Delivered'!L48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 ca="1">+E48+'P6 Summary Plan Forecast_Oct'!F48</f>
        <v>0</v>
      </c>
      <c r="G48" s="602">
        <f ca="1">+E48+'P6 Summary Plan Forecast_Oct'!G48</f>
        <v>-21019.925031443199</v>
      </c>
      <c r="H48" s="51"/>
      <c r="I48" s="235"/>
      <c r="T48" s="770">
        <f ca="1">+E48+'P6 Summary Plan Forecast_Oct'!E48</f>
        <v>0</v>
      </c>
      <c r="U48" s="771">
        <f ca="1">+T48-F48</f>
        <v>0</v>
      </c>
      <c r="V48" s="770">
        <f ca="1">+E48+'P6 Summary Plan Forecast_Oct'!E48+'P6 Summary Plan Forecast_Sep'!E48+'P6 Summary Plan Forecast_Aug'!E48+'P6 Summary Plan Forecast_July'!E48+'P6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Delivered'!L38</f>
        <v>7672046.7099064216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Delivered'!L50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 ca="1">+E50+'P6 Summary Plan Forecast_Oct'!F50</f>
        <v>0</v>
      </c>
      <c r="G50" s="602">
        <f ca="1">+E50+'P6 Summary Plan Forecast_Oct'!G50</f>
        <v>0</v>
      </c>
      <c r="H50" s="51"/>
      <c r="I50" s="235"/>
      <c r="T50" s="770">
        <f ca="1">+E50+'P6 Summary Plan Forecast_Oct'!E50</f>
        <v>0</v>
      </c>
      <c r="U50" s="771">
        <f ca="1">+T50-F50</f>
        <v>0</v>
      </c>
      <c r="V50" s="770">
        <f ca="1">+E50+'P6 Summary Plan Forecast_Oct'!E50+'P6 Summary Plan Forecast_Sep'!E50+'P6 Summary Plan Forecast_Aug'!E50+'P6 Summary Plan Forecast_July'!E50+'P6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Delivered'!L52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 ca="1">+E52+'P6 Summary Plan Forecast_Oct'!F52</f>
        <v>0</v>
      </c>
      <c r="G52" s="602">
        <f ca="1">+E52+'P6 Summary Plan Forecast_Oct'!G52</f>
        <v>3818.5040101289064</v>
      </c>
      <c r="H52" s="183"/>
      <c r="I52" s="508"/>
      <c r="N52" s="510"/>
      <c r="O52" t="s">
        <v>139</v>
      </c>
      <c r="T52" s="770">
        <f ca="1">+E52+'P6 Summary Plan Forecast_Oct'!E52</f>
        <v>0</v>
      </c>
      <c r="U52" s="771">
        <f ca="1">+T52-F52</f>
        <v>0</v>
      </c>
      <c r="V52" s="770">
        <f ca="1">+E52+'P6 Summary Plan Forecast_Oct'!E52+'P6 Summary Plan Forecast_Sep'!E52+'P6 Summary Plan Forecast_Aug'!E52+'P6 Summary Plan Forecast_July'!E52+'P6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 ca="1">+E54+'P6 Summary Plan Forecast_Oct'!F54</f>
        <v>0</v>
      </c>
      <c r="G54" s="602">
        <f ca="1">+E54+'P6 Summary Plan Forecast_Oct'!G54</f>
        <v>0</v>
      </c>
      <c r="H54" s="51"/>
      <c r="I54" s="235"/>
      <c r="T54" s="770">
        <f ca="1">+E54+'P6 Summary Plan Forecast_Oct'!E54</f>
        <v>0</v>
      </c>
      <c r="U54" s="771">
        <f ca="1">+T54-F54</f>
        <v>0</v>
      </c>
      <c r="V54" s="770">
        <f ca="1">+E54+'P6 Summary Plan Forecast_Oct'!E54+'P6 Summary Plan Forecast_Sep'!E54+'P6 Summary Plan Forecast_Aug'!E54+'P6 Summary Plan Forecast_July'!E54+'P6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Delivered'!L56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 ca="1">+E56+'P6 Summary Plan Forecast_Oct'!F56</f>
        <v>0</v>
      </c>
      <c r="G56" s="602">
        <f ca="1">+E56+'P6 Summary Plan Forecast_Oct'!G56</f>
        <v>23324.51161989104</v>
      </c>
      <c r="H56" s="51"/>
      <c r="I56" s="232"/>
      <c r="T56" s="770">
        <f ca="1">+E56+'P6 Summary Plan Forecast_Oct'!E56</f>
        <v>0</v>
      </c>
      <c r="U56" s="771">
        <f ca="1">+T56-F56</f>
        <v>0</v>
      </c>
      <c r="V56" s="770">
        <f ca="1">+E56+'P6 Summary Plan Forecast_Oct'!E56+'P6 Summary Plan Forecast_Sep'!E56+'P6 Summary Plan Forecast_Aug'!E56+'P6 Summary Plan Forecast_July'!E56+'P6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 ht="13.8" thickBot="1">
      <c r="A58" s="46" t="s">
        <v>144</v>
      </c>
      <c r="B58" s="47">
        <f>SUM(B38:B56)</f>
        <v>7672046.7099064216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2">
        <f ca="1">+E58+'P6 Summary Plan Forecast_Oct'!E58</f>
        <v>0</v>
      </c>
      <c r="U58" s="773">
        <f ca="1">+T58-F58</f>
        <v>0</v>
      </c>
      <c r="V58" s="772">
        <f ca="1">+E58+'P6 Summary Plan Forecast_Oct'!E58+'P6 Summary Plan Forecast_Sep'!E58+'P6 Summary Plan Forecast_Aug'!E58+'P6 Summary Plan Forecast_July'!E58+'P6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3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5"/>
      <c r="U59" s="765"/>
      <c r="V59" s="765"/>
      <c r="W59" s="765"/>
    </row>
    <row r="60" spans="1:23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65"/>
      <c r="U60" s="765"/>
      <c r="V60" s="765"/>
      <c r="W60" s="765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  <c r="T61" s="765"/>
      <c r="U61" s="765"/>
      <c r="V61" s="765"/>
      <c r="W61" s="765"/>
    </row>
    <row r="62" spans="1:23">
      <c r="B62" s="3"/>
      <c r="E62" s="160"/>
      <c r="F62" s="242"/>
      <c r="G62" s="242"/>
      <c r="H62" s="160"/>
      <c r="T62" s="765"/>
      <c r="U62" s="765"/>
      <c r="V62" s="765"/>
      <c r="W62" s="765"/>
    </row>
    <row r="63" spans="1:23">
      <c r="B63" s="3"/>
      <c r="E63" s="160"/>
      <c r="F63" s="160"/>
      <c r="G63" s="160"/>
      <c r="H63" s="160"/>
      <c r="T63" s="765"/>
      <c r="U63" s="765"/>
      <c r="V63" s="765"/>
      <c r="W63" s="765"/>
    </row>
    <row r="64" spans="1:23">
      <c r="B64" s="3"/>
      <c r="T64" s="765"/>
      <c r="U64" s="765"/>
      <c r="V64" s="765"/>
      <c r="W64" s="765"/>
    </row>
    <row r="65" spans="2:23">
      <c r="B65" s="430"/>
      <c r="D65" s="33"/>
      <c r="T65" s="765"/>
      <c r="U65" s="765"/>
      <c r="V65" s="765"/>
      <c r="W65" s="765"/>
    </row>
    <row r="66" spans="2:23">
      <c r="B66" s="5"/>
    </row>
    <row r="67" spans="2:23">
      <c r="D67" s="131"/>
    </row>
    <row r="69" spans="2:23">
      <c r="D69" s="33"/>
    </row>
    <row r="71" spans="2:23">
      <c r="D71" s="701"/>
      <c r="E71" s="701"/>
    </row>
    <row r="73" spans="2:23">
      <c r="D73" s="237"/>
      <c r="E73" s="237"/>
      <c r="F73" s="237"/>
    </row>
    <row r="75" spans="2:23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2.44140625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42.75" customHeight="1">
      <c r="A1" s="780" t="s">
        <v>480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9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76" t="s">
        <v>131</v>
      </c>
      <c r="U5" s="777" t="s">
        <v>51</v>
      </c>
      <c r="V5" s="776" t="s">
        <v>132</v>
      </c>
      <c r="W5" s="777" t="s">
        <v>51</v>
      </c>
    </row>
    <row r="6" spans="1:23">
      <c r="A6" s="46" t="s">
        <v>141</v>
      </c>
      <c r="B6" s="47">
        <f ca="1">+'Summary Plan Retail Delivered'!K6</f>
        <v>8313026.4949999992</v>
      </c>
      <c r="I6" s="232" t="s">
        <v>147</v>
      </c>
      <c r="T6" s="768"/>
      <c r="U6" s="769"/>
      <c r="V6" s="768"/>
      <c r="W6" s="769"/>
    </row>
    <row r="7" spans="1:23" ht="26.4">
      <c r="A7" s="1"/>
      <c r="B7" s="232"/>
      <c r="C7" s="232"/>
      <c r="F7" s="123" t="s">
        <v>464</v>
      </c>
      <c r="G7" s="214" t="s">
        <v>462</v>
      </c>
      <c r="O7" s="440">
        <f>+[3]Retail!$N$15</f>
        <v>8313026.4949999992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Delivered'!K8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Delivered'!K10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>+E10</f>
        <v>0</v>
      </c>
      <c r="G10" s="602">
        <f ca="1">+E10+'P6 Summary Plan Forecast_Sep'!G10</f>
        <v>-641.70977687899085</v>
      </c>
      <c r="H10" s="238"/>
      <c r="I10" s="235"/>
      <c r="K10" s="236"/>
      <c r="N10" s="51"/>
      <c r="P10" s="81"/>
      <c r="T10" s="770">
        <f>+E10</f>
        <v>0</v>
      </c>
      <c r="U10" s="771">
        <f>+T10-F10</f>
        <v>0</v>
      </c>
      <c r="V10" s="770">
        <f ca="1">+E10+'P6 Summary Plan Forecast_Sep'!E10+'P6 Summary Plan Forecast_Aug'!E10+'P6 Summary Plan Forecast_July'!E10+'P6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Delivered'!K12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>+E12</f>
        <v>0</v>
      </c>
      <c r="G12" s="602">
        <f ca="1">+E12+'P6 Summary Plan Forecast_Sep'!G12</f>
        <v>6647.7287483450054</v>
      </c>
      <c r="H12" s="238"/>
      <c r="I12" s="235"/>
      <c r="K12" s="236"/>
      <c r="N12" s="51"/>
      <c r="O12" s="5"/>
      <c r="T12" s="770">
        <f>+E12</f>
        <v>0</v>
      </c>
      <c r="U12" s="771">
        <f>+T12-F12</f>
        <v>0</v>
      </c>
      <c r="V12" s="770">
        <f ca="1">+E12+'P6 Summary Plan Forecast_Sep'!E12+'P6 Summary Plan Forecast_Aug'!E12+'P6 Summary Plan Forecast_July'!E12+'P6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Delivered'!K14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>+E14</f>
        <v>0</v>
      </c>
      <c r="G14" s="602">
        <f ca="1">+E14+'P6 Summary Plan Forecast_Sep'!G14</f>
        <v>-60476.10363792815</v>
      </c>
      <c r="H14" s="238"/>
      <c r="I14" s="235"/>
      <c r="K14" s="236"/>
      <c r="N14" s="51"/>
      <c r="T14" s="770">
        <f>+E14</f>
        <v>0</v>
      </c>
      <c r="U14" s="771">
        <f>+T14-F14</f>
        <v>0</v>
      </c>
      <c r="V14" s="770">
        <f ca="1">+E14+'P6 Summary Plan Forecast_Sep'!E14+'P6 Summary Plan Forecast_Aug'!E14+'P6 Summary Plan Forecast_July'!E14+'P6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Delivered'!K16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>+E16</f>
        <v>0</v>
      </c>
      <c r="G16" s="602">
        <f ca="1">+E16+'P6 Summary Plan Forecast_Sep'!G16</f>
        <v>-11230.05540265602</v>
      </c>
      <c r="H16" s="238"/>
      <c r="I16" s="235"/>
      <c r="K16" s="236"/>
      <c r="N16" s="51"/>
      <c r="T16" s="770">
        <f>+E16</f>
        <v>0</v>
      </c>
      <c r="U16" s="771">
        <f>+T16-F16</f>
        <v>0</v>
      </c>
      <c r="V16" s="770">
        <f ca="1">+E16+'P6 Summary Plan Forecast_Sep'!E16+'P6 Summary Plan Forecast_Aug'!E16+'P6 Summary Plan Forecast_July'!E16+'P6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Delivered'!K18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>+E18</f>
        <v>0</v>
      </c>
      <c r="G18" s="602">
        <f ca="1">+E18+'P6 Summary Plan Forecast_Sep'!G18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>+E18</f>
        <v>0</v>
      </c>
      <c r="U18" s="771">
        <f>+T18-F18</f>
        <v>0</v>
      </c>
      <c r="V18" s="770">
        <f ca="1">+E18+'P6 Summary Plan Forecast_Sep'!E18+'P6 Summary Plan Forecast_Aug'!E18+'P6 Summary Plan Forecast_July'!E18+'P6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Delivered'!K20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>+E20</f>
        <v>0</v>
      </c>
      <c r="G20" s="602">
        <f ca="1">+E20+'P6 Summary Plan Forecast_Sep'!G20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>+E20</f>
        <v>0</v>
      </c>
      <c r="U20" s="771">
        <f>+T20-F20</f>
        <v>0</v>
      </c>
      <c r="V20" s="770">
        <f ca="1">+E20+'P6 Summary Plan Forecast_Sep'!E20+'P6 Summary Plan Forecast_Aug'!E20+'P6 Summary Plan Forecast_July'!E20+'P6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Delivered'!K22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>+E22</f>
        <v>0</v>
      </c>
      <c r="G22" s="602">
        <f ca="1">+E22+'P6 Summary Plan Forecast_Sep'!G22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>+E22</f>
        <v>0</v>
      </c>
      <c r="U22" s="771">
        <f>+T22-F22</f>
        <v>0</v>
      </c>
      <c r="V22" s="770">
        <f ca="1">+E22+'P6 Summary Plan Forecast_Sep'!E22+'P6 Summary Plan Forecast_Aug'!E22+'P6 Summary Plan Forecast_July'!E22+'P6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Delivered'!K24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>+E24</f>
        <v>0</v>
      </c>
      <c r="G24" s="602">
        <f ca="1">+E24+'P6 Summary Plan Forecast_Sep'!G24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>+E24</f>
        <v>0</v>
      </c>
      <c r="U24" s="771">
        <f>+T24-F24</f>
        <v>0</v>
      </c>
      <c r="V24" s="770">
        <f ca="1">+E24+'P6 Summary Plan Forecast_Sep'!E24+'P6 Summary Plan Forecast_Aug'!E24+'P6 Summary Plan Forecast_July'!E24+'P6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8313026.4949999992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>+E26</f>
        <v>0</v>
      </c>
      <c r="U26" s="773">
        <f>+T26-F26</f>
        <v>0</v>
      </c>
      <c r="V26" s="772">
        <f ca="1">+E26+'P6 Summary Plan Forecast_Sep'!E26+'P6 Summary Plan Forecast_Aug'!E26+'P6 Summary Plan Forecast_July'!E26+'P6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Delivered'!K38</f>
        <v>8816668.4823664725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Delivered'!K40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Delivered'!K42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>+E42</f>
        <v>0</v>
      </c>
      <c r="G42" s="602">
        <f ca="1">+E42+'P6 Summary Plan Forecast_Sep'!G42</f>
        <v>-491.82505887175989</v>
      </c>
      <c r="H42" s="51"/>
      <c r="I42" s="234"/>
      <c r="T42" s="770">
        <f>+E42</f>
        <v>0</v>
      </c>
      <c r="U42" s="769">
        <f>+T42-F42</f>
        <v>0</v>
      </c>
      <c r="V42" s="768">
        <f ca="1">+E42+'P6 Summary Plan Forecast_Sep'!E42+'P6 Summary Plan Forecast_Aug'!E42+'P6 Summary Plan Forecast_July'!E42+'P6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69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70"/>
      <c r="U43" s="769"/>
      <c r="V43" s="768"/>
      <c r="W43" s="769"/>
    </row>
    <row r="44" spans="1:23">
      <c r="A44" s="1" t="s">
        <v>13</v>
      </c>
      <c r="B44" s="31">
        <f ca="1">+'Summary Plan Retail Delivered'!K44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>+E44</f>
        <v>0</v>
      </c>
      <c r="G44" s="602">
        <f ca="1">+E44+'P6 Summary Plan Forecast_Sep'!G44</f>
        <v>-475.05273860621776</v>
      </c>
      <c r="H44" s="51"/>
      <c r="T44" s="770">
        <f>+E44</f>
        <v>0</v>
      </c>
      <c r="U44" s="771">
        <f>+T44-F44</f>
        <v>0</v>
      </c>
      <c r="V44" s="770">
        <f ca="1">+E44+'P6 Summary Plan Forecast_Sep'!E44+'P6 Summary Plan Forecast_Aug'!E44+'P6 Summary Plan Forecast_July'!E44+'P6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Delivered'!K46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>+E46</f>
        <v>0</v>
      </c>
      <c r="G46" s="602">
        <f ca="1">+E46+'P6 Summary Plan Forecast_Sep'!G46</f>
        <v>20367.630782642045</v>
      </c>
      <c r="T46" s="770">
        <f>+E46</f>
        <v>0</v>
      </c>
      <c r="U46" s="771">
        <f>+T46-F46</f>
        <v>0</v>
      </c>
      <c r="V46" s="770">
        <f ca="1">+E46+'P6 Summary Plan Forecast_Sep'!E46+'P6 Summary Plan Forecast_Aug'!E46+'P6 Summary Plan Forecast_July'!E46+'P6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Delivered'!K48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>+E48</f>
        <v>0</v>
      </c>
      <c r="G48" s="602">
        <f ca="1">+E48+'P6 Summary Plan Forecast_Sep'!G48</f>
        <v>-21019.925031443199</v>
      </c>
      <c r="H48" s="51"/>
      <c r="I48" s="235"/>
      <c r="T48" s="770">
        <f>+E48</f>
        <v>0</v>
      </c>
      <c r="U48" s="771">
        <f>+T48-F48</f>
        <v>0</v>
      </c>
      <c r="V48" s="770">
        <f ca="1">+E48+'P6 Summary Plan Forecast_Sep'!E48+'P6 Summary Plan Forecast_Aug'!E48+'P6 Summary Plan Forecast_July'!E48+'P6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Delivered'!K38</f>
        <v>8816668.4823664725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Delivered'!K50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>+E50</f>
        <v>0</v>
      </c>
      <c r="G50" s="602">
        <f ca="1">+E50+'P6 Summary Plan Forecast_Sep'!G50</f>
        <v>0</v>
      </c>
      <c r="H50" s="51"/>
      <c r="I50" s="235"/>
      <c r="T50" s="770">
        <f>+E50</f>
        <v>0</v>
      </c>
      <c r="U50" s="771">
        <f>+T50-F50</f>
        <v>0</v>
      </c>
      <c r="V50" s="770">
        <f ca="1">+E50+'P6 Summary Plan Forecast_Sep'!E50+'P6 Summary Plan Forecast_Aug'!E50+'P6 Summary Plan Forecast_July'!E50+'P6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Delivered'!K52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>+E52</f>
        <v>0</v>
      </c>
      <c r="G52" s="602">
        <f ca="1">+E52+'P6 Summary Plan Forecast_Sep'!G52</f>
        <v>3818.5040101289064</v>
      </c>
      <c r="H52" s="183"/>
      <c r="I52" s="508"/>
      <c r="N52" s="510"/>
      <c r="O52" t="s">
        <v>139</v>
      </c>
      <c r="T52" s="770">
        <f>+E52</f>
        <v>0</v>
      </c>
      <c r="U52" s="771">
        <f>+T52-F52</f>
        <v>0</v>
      </c>
      <c r="V52" s="770">
        <f ca="1">+E52+'P6 Summary Plan Forecast_Sep'!E52+'P6 Summary Plan Forecast_Aug'!E52+'P6 Summary Plan Forecast_July'!E52+'P6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>+E54</f>
        <v>0</v>
      </c>
      <c r="G54" s="602">
        <f ca="1">+E54+'P6 Summary Plan Forecast_Sep'!G54</f>
        <v>0</v>
      </c>
      <c r="H54" s="51"/>
      <c r="I54" s="235"/>
      <c r="T54" s="770">
        <f>+E54</f>
        <v>0</v>
      </c>
      <c r="U54" s="771">
        <f>+T54-F54</f>
        <v>0</v>
      </c>
      <c r="V54" s="770">
        <f ca="1">+E54+'P6 Summary Plan Forecast_Sep'!E54+'P6 Summary Plan Forecast_Aug'!E54+'P6 Summary Plan Forecast_July'!E54+'P6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Delivered'!K56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>+E56</f>
        <v>0</v>
      </c>
      <c r="G56" s="602">
        <f ca="1">+E56+'P6 Summary Plan Forecast_Sep'!G56</f>
        <v>23324.51161989104</v>
      </c>
      <c r="H56" s="51"/>
      <c r="I56" s="232"/>
      <c r="T56" s="770">
        <f>+E56</f>
        <v>0</v>
      </c>
      <c r="U56" s="771">
        <f>+T56-F56</f>
        <v>0</v>
      </c>
      <c r="V56" s="770">
        <f ca="1">+E56+'P6 Summary Plan Forecast_Sep'!E56+'P6 Summary Plan Forecast_Aug'!E56+'P6 Summary Plan Forecast_July'!E56+'P6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>
      <c r="A58" s="46" t="s">
        <v>144</v>
      </c>
      <c r="B58" s="47">
        <f>SUM(B38:B56)</f>
        <v>8816668.4823664725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0">
        <f>+E58</f>
        <v>0</v>
      </c>
      <c r="U58" s="771">
        <f>+T58-F58</f>
        <v>0</v>
      </c>
      <c r="V58" s="770">
        <f ca="1">+E58+'P6 Summary Plan Forecast_Sep'!E58+'P6 Summary Plan Forecast_Aug'!E58+'P6 Summary Plan Forecast_July'!E58+'P6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1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8"/>
      <c r="U59" s="769"/>
      <c r="V59" s="768"/>
      <c r="W59" s="769"/>
    </row>
    <row r="60" spans="1:23" ht="13.8" thickBot="1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72"/>
      <c r="U60" s="773"/>
      <c r="V60" s="772"/>
      <c r="W60" s="773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  <c r="T61" s="765"/>
      <c r="U61" s="765"/>
      <c r="V61" s="765"/>
      <c r="W61" s="765"/>
    </row>
    <row r="62" spans="1:23">
      <c r="B62" s="3"/>
      <c r="E62" s="160"/>
      <c r="F62" s="242"/>
      <c r="G62" s="242"/>
      <c r="H62" s="160"/>
      <c r="T62" s="765"/>
      <c r="U62" s="765"/>
      <c r="V62" s="765"/>
      <c r="W62" s="765"/>
    </row>
    <row r="63" spans="1:23">
      <c r="B63" s="3"/>
      <c r="E63" s="160"/>
      <c r="F63" s="160"/>
      <c r="G63" s="160"/>
      <c r="H63" s="160"/>
      <c r="T63" s="765"/>
      <c r="U63" s="765"/>
      <c r="V63" s="765"/>
      <c r="W63" s="765"/>
    </row>
    <row r="64" spans="1:23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96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ColWidth="9.109375" defaultRowHeight="13.2"/>
  <cols>
    <col min="1" max="1" width="2.109375" style="160" customWidth="1"/>
    <col min="2" max="2" width="45.5546875" customWidth="1"/>
    <col min="3" max="5" width="11.88671875" customWidth="1"/>
    <col min="6" max="6" width="11.33203125" customWidth="1"/>
    <col min="7" max="7" width="14" bestFit="1" customWidth="1"/>
    <col min="8" max="10" width="11.88671875" customWidth="1"/>
    <col min="11" max="11" width="12.88671875" bestFit="1" customWidth="1"/>
    <col min="12" max="12" width="11.33203125" customWidth="1"/>
    <col min="13" max="13" width="11.88671875" customWidth="1"/>
    <col min="14" max="14" width="14.5546875" bestFit="1" customWidth="1"/>
    <col min="15" max="15" width="11.6640625" customWidth="1"/>
    <col min="16" max="17" width="11.33203125" customWidth="1"/>
  </cols>
  <sheetData>
    <row r="1" spans="2:17" ht="55.5" customHeight="1">
      <c r="B1" s="780" t="s">
        <v>481</v>
      </c>
    </row>
    <row r="2" spans="2:17" s="160" customFormat="1" ht="22.8">
      <c r="B2" s="785" t="s">
        <v>178</v>
      </c>
      <c r="C2" s="785"/>
      <c r="D2" s="785"/>
      <c r="O2" s="160" t="str">
        <f>B6</f>
        <v>Last Refreshed</v>
      </c>
      <c r="P2" s="160" t="str">
        <f>C6</f>
        <v>7/6/2012 09:52:06</v>
      </c>
    </row>
    <row r="3" spans="2:17" s="160" customFormat="1" ht="22.8">
      <c r="B3" s="314" t="s">
        <v>179</v>
      </c>
      <c r="C3" s="313"/>
      <c r="D3" s="313"/>
    </row>
    <row r="4" spans="2:17" ht="21">
      <c r="B4" s="315" t="s">
        <v>180</v>
      </c>
      <c r="C4" s="316"/>
    </row>
    <row r="5" spans="2:17" ht="16.8" hidden="1">
      <c r="B5" s="317"/>
      <c r="C5" s="561"/>
    </row>
    <row r="6" spans="2:17" hidden="1">
      <c r="B6" s="712" t="s">
        <v>181</v>
      </c>
      <c r="C6" s="713" t="s">
        <v>455</v>
      </c>
    </row>
    <row r="7" spans="2:17" ht="17.399999999999999">
      <c r="B7" s="321" t="str">
        <f>MID(D9,1,LEN(D9)-11)</f>
        <v>JUN 2012</v>
      </c>
      <c r="C7" s="32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7" ht="66.75" customHeight="1">
      <c r="B8" s="321"/>
      <c r="C8" s="323" t="str">
        <f>C9</f>
        <v xml:space="preserve"> JUN 2012</v>
      </c>
      <c r="D8" s="324" t="str">
        <f>D9</f>
        <v>JUN 2012
Month
Plan</v>
      </c>
      <c r="E8" s="325" t="str">
        <f>E9</f>
        <v xml:space="preserve"> JUN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456</v>
      </c>
      <c r="D9" s="324" t="s">
        <v>457</v>
      </c>
      <c r="E9" s="325" t="s">
        <v>458</v>
      </c>
      <c r="F9" s="324" t="s">
        <v>186</v>
      </c>
      <c r="G9" s="324" t="s">
        <v>187</v>
      </c>
      <c r="H9" s="323" t="s">
        <v>370</v>
      </c>
      <c r="I9" s="324" t="s">
        <v>373</v>
      </c>
      <c r="J9" s="325" t="s">
        <v>372</v>
      </c>
      <c r="K9" s="324" t="s">
        <v>189</v>
      </c>
      <c r="L9" s="324" t="s">
        <v>190</v>
      </c>
      <c r="M9" s="323" t="s">
        <v>456</v>
      </c>
      <c r="N9" s="324" t="s">
        <v>459</v>
      </c>
      <c r="O9" s="325" t="s">
        <v>458</v>
      </c>
      <c r="P9" s="324" t="s">
        <v>192</v>
      </c>
      <c r="Q9" s="325" t="s">
        <v>193</v>
      </c>
    </row>
    <row r="10" spans="2:17">
      <c r="B10" s="567" t="s">
        <v>194</v>
      </c>
      <c r="C10" s="714">
        <v>377648.09198999999</v>
      </c>
      <c r="D10" s="715">
        <v>360177.87592000002</v>
      </c>
      <c r="E10" s="716">
        <v>387750.89383999998</v>
      </c>
      <c r="F10" s="715">
        <v>17470.216069999999</v>
      </c>
      <c r="G10" s="715">
        <v>-10102.80185</v>
      </c>
      <c r="H10" s="714">
        <v>1023348.16163</v>
      </c>
      <c r="I10" s="715">
        <v>983548.84073000005</v>
      </c>
      <c r="J10" s="716">
        <v>1059583.6590799999</v>
      </c>
      <c r="K10" s="717">
        <v>39799.320899999999</v>
      </c>
      <c r="L10" s="717">
        <v>-36235.497450000003</v>
      </c>
      <c r="M10" s="714">
        <v>1912213.9386499999</v>
      </c>
      <c r="N10" s="715">
        <v>1902923.1487400001</v>
      </c>
      <c r="O10" s="716">
        <v>1952088.0250599999</v>
      </c>
      <c r="P10" s="717">
        <v>9290.7899099999995</v>
      </c>
      <c r="Q10" s="718">
        <v>-39874.086410000004</v>
      </c>
    </row>
    <row r="11" spans="2:17">
      <c r="B11" s="567" t="s">
        <v>195</v>
      </c>
      <c r="C11" s="714">
        <v>14975.73136</v>
      </c>
      <c r="D11" s="715">
        <v>14890.340539999999</v>
      </c>
      <c r="E11" s="716">
        <v>14607.204</v>
      </c>
      <c r="F11" s="715">
        <v>85.390820000000005</v>
      </c>
      <c r="G11" s="715">
        <v>368.52735999999999</v>
      </c>
      <c r="H11" s="714">
        <v>41025.326119999998</v>
      </c>
      <c r="I11" s="715">
        <v>40490.365989999998</v>
      </c>
      <c r="J11" s="716">
        <v>18711.120999999999</v>
      </c>
      <c r="K11" s="717">
        <v>534.96013000000005</v>
      </c>
      <c r="L11" s="717">
        <v>22314.205119999999</v>
      </c>
      <c r="M11" s="714">
        <v>77041.22696</v>
      </c>
      <c r="N11" s="715">
        <v>78034.653779999993</v>
      </c>
      <c r="O11" s="716">
        <v>18711.120999999999</v>
      </c>
      <c r="P11" s="717">
        <v>-993.42682000000002</v>
      </c>
      <c r="Q11" s="718">
        <v>58330.105960000001</v>
      </c>
    </row>
    <row r="12" spans="2:17">
      <c r="B12" s="567" t="s">
        <v>196</v>
      </c>
      <c r="C12" s="719">
        <v>0</v>
      </c>
      <c r="D12" s="720"/>
      <c r="E12" s="721"/>
      <c r="F12" s="720">
        <v>0</v>
      </c>
      <c r="G12" s="720">
        <v>0</v>
      </c>
      <c r="H12" s="719">
        <v>-1357.2059999999999</v>
      </c>
      <c r="I12" s="720"/>
      <c r="J12" s="721"/>
      <c r="K12" s="722">
        <v>-1357.2059999999999</v>
      </c>
      <c r="L12" s="722">
        <v>-1357.2059999999999</v>
      </c>
      <c r="M12" s="719">
        <v>-1357.2059999999999</v>
      </c>
      <c r="N12" s="720"/>
      <c r="O12" s="721"/>
      <c r="P12" s="722">
        <v>-1357.2059999999999</v>
      </c>
      <c r="Q12" s="723">
        <v>-1357.2059999999999</v>
      </c>
    </row>
    <row r="13" spans="2:17">
      <c r="B13" s="567" t="s">
        <v>197</v>
      </c>
      <c r="C13" s="719"/>
      <c r="D13" s="720"/>
      <c r="E13" s="721"/>
      <c r="F13" s="720"/>
      <c r="G13" s="720"/>
      <c r="H13" s="719"/>
      <c r="I13" s="720"/>
      <c r="J13" s="721"/>
      <c r="K13" s="722"/>
      <c r="L13" s="722"/>
      <c r="M13" s="719"/>
      <c r="N13" s="720"/>
      <c r="O13" s="721"/>
      <c r="P13" s="722"/>
      <c r="Q13" s="723"/>
    </row>
    <row r="14" spans="2:17">
      <c r="B14" s="567" t="s">
        <v>198</v>
      </c>
      <c r="C14" s="719"/>
      <c r="D14" s="720"/>
      <c r="E14" s="721"/>
      <c r="F14" s="720"/>
      <c r="G14" s="720"/>
      <c r="H14" s="719"/>
      <c r="I14" s="720"/>
      <c r="J14" s="721"/>
      <c r="K14" s="722"/>
      <c r="L14" s="722"/>
      <c r="M14" s="719"/>
      <c r="N14" s="720"/>
      <c r="O14" s="721"/>
      <c r="P14" s="722"/>
      <c r="Q14" s="723"/>
    </row>
    <row r="15" spans="2:17">
      <c r="B15" s="568" t="s">
        <v>199</v>
      </c>
      <c r="C15" s="724">
        <v>-5594.5556100000003</v>
      </c>
      <c r="D15" s="725">
        <v>11421.71588</v>
      </c>
      <c r="E15" s="726">
        <v>8957.8860000000004</v>
      </c>
      <c r="F15" s="725">
        <v>-17016.271489999999</v>
      </c>
      <c r="G15" s="725">
        <v>-14552.44161</v>
      </c>
      <c r="H15" s="724">
        <v>22046.62831</v>
      </c>
      <c r="I15" s="725">
        <v>55363.54305</v>
      </c>
      <c r="J15" s="726">
        <v>49997.850039999998</v>
      </c>
      <c r="K15" s="727">
        <v>-33316.91474</v>
      </c>
      <c r="L15" s="727">
        <v>-27951.221730000001</v>
      </c>
      <c r="M15" s="724">
        <v>31469.11996</v>
      </c>
      <c r="N15" s="725">
        <v>25142.75995</v>
      </c>
      <c r="O15" s="726">
        <v>26528.16692</v>
      </c>
      <c r="P15" s="727">
        <v>6326.3600100000003</v>
      </c>
      <c r="Q15" s="728">
        <v>4940.9530400000003</v>
      </c>
    </row>
    <row r="16" spans="2:17">
      <c r="B16" s="569" t="s">
        <v>200</v>
      </c>
      <c r="C16" s="719">
        <v>387029.26773999998</v>
      </c>
      <c r="D16" s="720">
        <v>386489.93234</v>
      </c>
      <c r="E16" s="721">
        <v>411315.98384</v>
      </c>
      <c r="F16" s="720">
        <v>539.33540000000005</v>
      </c>
      <c r="G16" s="720">
        <v>-24286.716100000001</v>
      </c>
      <c r="H16" s="719">
        <v>1085062.9100599999</v>
      </c>
      <c r="I16" s="720">
        <v>1079402.7497700001</v>
      </c>
      <c r="J16" s="721">
        <v>1128292.6301200001</v>
      </c>
      <c r="K16" s="722">
        <v>5660.1602899999998</v>
      </c>
      <c r="L16" s="722">
        <v>-43229.72006</v>
      </c>
      <c r="M16" s="719">
        <v>2019367.0795700001</v>
      </c>
      <c r="N16" s="720">
        <v>2006100.56247</v>
      </c>
      <c r="O16" s="721">
        <v>1997327.3129799999</v>
      </c>
      <c r="P16" s="722">
        <v>13266.517099999999</v>
      </c>
      <c r="Q16" s="723">
        <v>22039.766589999999</v>
      </c>
    </row>
    <row r="17" spans="2:17">
      <c r="B17" s="568" t="s">
        <v>201</v>
      </c>
      <c r="C17" s="719">
        <v>11832.16401</v>
      </c>
      <c r="D17" s="720">
        <v>4657.0931</v>
      </c>
      <c r="E17" s="721">
        <v>8233.8346299999994</v>
      </c>
      <c r="F17" s="720">
        <v>7175.0709100000004</v>
      </c>
      <c r="G17" s="720">
        <v>3598.3293800000001</v>
      </c>
      <c r="H17" s="719">
        <v>21099.011450000002</v>
      </c>
      <c r="I17" s="720">
        <v>13191.965399999999</v>
      </c>
      <c r="J17" s="721">
        <v>16433.110639999999</v>
      </c>
      <c r="K17" s="722">
        <v>7907.0460499999999</v>
      </c>
      <c r="L17" s="722">
        <v>4665.9008100000001</v>
      </c>
      <c r="M17" s="719">
        <v>34475.557110000002</v>
      </c>
      <c r="N17" s="720">
        <v>26522.063999999998</v>
      </c>
      <c r="O17" s="721">
        <v>29089.058540000002</v>
      </c>
      <c r="P17" s="722">
        <v>7953.4931100000003</v>
      </c>
      <c r="Q17" s="723">
        <v>5386.4985699999997</v>
      </c>
    </row>
    <row r="18" spans="2:17">
      <c r="B18" s="568" t="s">
        <v>202</v>
      </c>
      <c r="C18" s="719">
        <v>314.471</v>
      </c>
      <c r="D18" s="720">
        <v>458.95229999999998</v>
      </c>
      <c r="E18" s="721">
        <v>360.96</v>
      </c>
      <c r="F18" s="720">
        <v>-144.4813</v>
      </c>
      <c r="G18" s="720">
        <v>-46.488999999999997</v>
      </c>
      <c r="H18" s="719">
        <v>1102.741</v>
      </c>
      <c r="I18" s="720">
        <v>938.00720000000001</v>
      </c>
      <c r="J18" s="721">
        <v>1278.461</v>
      </c>
      <c r="K18" s="722">
        <v>164.7338</v>
      </c>
      <c r="L18" s="722">
        <v>-175.72</v>
      </c>
      <c r="M18" s="719">
        <v>1513.0060000000001</v>
      </c>
      <c r="N18" s="720">
        <v>1330.52</v>
      </c>
      <c r="O18" s="721">
        <v>536.64800000000002</v>
      </c>
      <c r="P18" s="722">
        <v>182.48599999999999</v>
      </c>
      <c r="Q18" s="723">
        <v>976.35799999999995</v>
      </c>
    </row>
    <row r="19" spans="2:17">
      <c r="B19" s="570" t="s">
        <v>203</v>
      </c>
      <c r="C19" s="724"/>
      <c r="D19" s="725"/>
      <c r="E19" s="726"/>
      <c r="F19" s="725"/>
      <c r="G19" s="725"/>
      <c r="H19" s="724"/>
      <c r="I19" s="725"/>
      <c r="J19" s="726"/>
      <c r="K19" s="727"/>
      <c r="L19" s="727"/>
      <c r="M19" s="724"/>
      <c r="N19" s="725"/>
      <c r="O19" s="726"/>
      <c r="P19" s="727"/>
      <c r="Q19" s="728"/>
    </row>
    <row r="20" spans="2:17">
      <c r="B20" s="569" t="s">
        <v>204</v>
      </c>
      <c r="C20" s="719">
        <v>12146.63501</v>
      </c>
      <c r="D20" s="720">
        <v>5116.0454</v>
      </c>
      <c r="E20" s="721">
        <v>8594.7946300000003</v>
      </c>
      <c r="F20" s="720">
        <v>7030.58961</v>
      </c>
      <c r="G20" s="720">
        <v>3551.8403800000001</v>
      </c>
      <c r="H20" s="719">
        <v>22201.75245</v>
      </c>
      <c r="I20" s="720">
        <v>14129.972599999999</v>
      </c>
      <c r="J20" s="721">
        <v>17711.571639999998</v>
      </c>
      <c r="K20" s="722">
        <v>8071.7798499999999</v>
      </c>
      <c r="L20" s="722">
        <v>4490.1808099999998</v>
      </c>
      <c r="M20" s="719">
        <v>35988.563110000003</v>
      </c>
      <c r="N20" s="720">
        <v>27852.583999999999</v>
      </c>
      <c r="O20" s="721">
        <v>29625.706539999999</v>
      </c>
      <c r="P20" s="722">
        <v>8135.9791100000002</v>
      </c>
      <c r="Q20" s="723">
        <v>6362.8565699999999</v>
      </c>
    </row>
    <row r="21" spans="2:17">
      <c r="B21" s="571" t="s">
        <v>205</v>
      </c>
      <c r="C21" s="719">
        <v>3768.4269800000002</v>
      </c>
      <c r="D21" s="720">
        <v>3638.8331600000001</v>
      </c>
      <c r="E21" s="721">
        <v>3988.2462099999998</v>
      </c>
      <c r="F21" s="720">
        <v>129.59381999999999</v>
      </c>
      <c r="G21" s="720">
        <v>-219.81923</v>
      </c>
      <c r="H21" s="719">
        <v>11401.22732</v>
      </c>
      <c r="I21" s="720">
        <v>10861.361419999999</v>
      </c>
      <c r="J21" s="721">
        <v>11689.40797</v>
      </c>
      <c r="K21" s="722">
        <v>539.86590000000001</v>
      </c>
      <c r="L21" s="722">
        <v>-288.18065000000001</v>
      </c>
      <c r="M21" s="719">
        <v>20910.57316</v>
      </c>
      <c r="N21" s="720">
        <v>21716.335439999999</v>
      </c>
      <c r="O21" s="721">
        <v>20352.199779999999</v>
      </c>
      <c r="P21" s="722">
        <v>-805.76228000000003</v>
      </c>
      <c r="Q21" s="723">
        <v>558.37338</v>
      </c>
    </row>
    <row r="22" spans="2:17">
      <c r="B22" s="571" t="s">
        <v>206</v>
      </c>
      <c r="C22" s="719">
        <f>3677.97597+3398.50002</f>
        <v>7076.4759899999999</v>
      </c>
      <c r="D22" s="720">
        <v>3834.1052199999999</v>
      </c>
      <c r="E22" s="721">
        <v>2259.41464</v>
      </c>
      <c r="F22" s="720">
        <f>C22-D22</f>
        <v>3242.37077</v>
      </c>
      <c r="G22" s="720">
        <f>C22-E22</f>
        <v>4817.0613499999999</v>
      </c>
      <c r="H22" s="719">
        <f>10220.28643+3398.50002</f>
        <v>13618.78645</v>
      </c>
      <c r="I22" s="720">
        <v>10838.6819</v>
      </c>
      <c r="J22" s="721">
        <v>9465.8365300000005</v>
      </c>
      <c r="K22" s="722">
        <f>H22-I22</f>
        <v>2780.10455</v>
      </c>
      <c r="L22" s="722">
        <f>H22-J22</f>
        <v>4152.9499199999991</v>
      </c>
      <c r="M22" s="719">
        <f>19670.0137+3398.50002</f>
        <v>23068.513719999999</v>
      </c>
      <c r="N22" s="720">
        <v>20966.2111</v>
      </c>
      <c r="O22" s="721">
        <v>15480.859549999999</v>
      </c>
      <c r="P22" s="722">
        <f>M22-N22</f>
        <v>2102.3026199999986</v>
      </c>
      <c r="Q22" s="723">
        <f>M22-O22</f>
        <v>7587.6541699999998</v>
      </c>
    </row>
    <row r="23" spans="2:17">
      <c r="B23" s="571" t="s">
        <v>207</v>
      </c>
      <c r="C23" s="719">
        <v>0.98399999999999999</v>
      </c>
      <c r="D23" s="720"/>
      <c r="E23" s="721">
        <v>0</v>
      </c>
      <c r="F23" s="720">
        <v>0.98399999999999999</v>
      </c>
      <c r="G23" s="720">
        <v>0.98399999999999999</v>
      </c>
      <c r="H23" s="719">
        <v>0.98399999999999999</v>
      </c>
      <c r="I23" s="720"/>
      <c r="J23" s="721">
        <v>8.3480000000000008</v>
      </c>
      <c r="K23" s="722">
        <v>0.98399999999999999</v>
      </c>
      <c r="L23" s="722">
        <v>-7.3639999999999999</v>
      </c>
      <c r="M23" s="719">
        <v>1.738</v>
      </c>
      <c r="N23" s="720"/>
      <c r="O23" s="721">
        <v>19.763400000000001</v>
      </c>
      <c r="P23" s="722">
        <v>1.738</v>
      </c>
      <c r="Q23" s="723">
        <v>-18.025400000000001</v>
      </c>
    </row>
    <row r="24" spans="2:17">
      <c r="B24" s="571" t="s">
        <v>208</v>
      </c>
      <c r="C24" s="719">
        <v>2383.9421699999998</v>
      </c>
      <c r="D24" s="720">
        <v>2691.5151000000001</v>
      </c>
      <c r="E24" s="721">
        <v>2981.4189099999999</v>
      </c>
      <c r="F24" s="720">
        <v>-307.57292999999999</v>
      </c>
      <c r="G24" s="720">
        <v>-597.47673999999995</v>
      </c>
      <c r="H24" s="719">
        <v>6999.0682800000004</v>
      </c>
      <c r="I24" s="720">
        <v>6734.3576999999996</v>
      </c>
      <c r="J24" s="721">
        <v>7452.7594799999997</v>
      </c>
      <c r="K24" s="722">
        <v>264.71057999999999</v>
      </c>
      <c r="L24" s="722">
        <v>-453.69119999999998</v>
      </c>
      <c r="M24" s="719">
        <v>13926.723249999999</v>
      </c>
      <c r="N24" s="720">
        <v>14462.9372</v>
      </c>
      <c r="O24" s="721">
        <v>15091.421490000001</v>
      </c>
      <c r="P24" s="722">
        <v>-536.21394999999995</v>
      </c>
      <c r="Q24" s="723">
        <v>-1164.6982399999999</v>
      </c>
    </row>
    <row r="25" spans="2:17">
      <c r="B25" s="568" t="s">
        <v>209</v>
      </c>
      <c r="C25" s="719">
        <v>2543.00974</v>
      </c>
      <c r="D25" s="720">
        <v>2632.76341</v>
      </c>
      <c r="E25" s="721">
        <v>3075.7335400000002</v>
      </c>
      <c r="F25" s="720">
        <v>-89.75367</v>
      </c>
      <c r="G25" s="720">
        <v>-532.72379999999998</v>
      </c>
      <c r="H25" s="719">
        <v>7032.8768899999995</v>
      </c>
      <c r="I25" s="720">
        <v>7641.7464399999999</v>
      </c>
      <c r="J25" s="721">
        <v>7823.4661400000005</v>
      </c>
      <c r="K25" s="722">
        <v>-608.86955</v>
      </c>
      <c r="L25" s="722">
        <v>-790.58924999999999</v>
      </c>
      <c r="M25" s="719">
        <v>14663.919099999999</v>
      </c>
      <c r="N25" s="720">
        <v>15376.136140000001</v>
      </c>
      <c r="O25" s="721">
        <v>15517.7248</v>
      </c>
      <c r="P25" s="722">
        <v>-712.21704</v>
      </c>
      <c r="Q25" s="723">
        <v>-853.8057</v>
      </c>
    </row>
    <row r="26" spans="2:17">
      <c r="B26" s="570" t="s">
        <v>210</v>
      </c>
      <c r="C26" s="719"/>
      <c r="D26" s="729"/>
      <c r="E26" s="721"/>
      <c r="F26" s="729"/>
      <c r="G26" s="729"/>
      <c r="H26" s="719"/>
      <c r="I26" s="729"/>
      <c r="J26" s="721"/>
      <c r="K26" s="730"/>
      <c r="L26" s="730"/>
      <c r="M26" s="719"/>
      <c r="N26" s="729"/>
      <c r="O26" s="721"/>
      <c r="P26" s="730"/>
      <c r="Q26" s="723"/>
    </row>
    <row r="27" spans="2:17">
      <c r="B27" s="568" t="s">
        <v>211</v>
      </c>
      <c r="C27" s="719">
        <v>1205.2345</v>
      </c>
      <c r="D27" s="720">
        <v>1533.05</v>
      </c>
      <c r="E27" s="721">
        <v>3000.4940499999998</v>
      </c>
      <c r="F27" s="720">
        <v>-327.81549999999999</v>
      </c>
      <c r="G27" s="720">
        <v>-1795.25955</v>
      </c>
      <c r="H27" s="719">
        <v>3699.3752899999999</v>
      </c>
      <c r="I27" s="720">
        <v>3924.23</v>
      </c>
      <c r="J27" s="721">
        <v>5816.0798100000002</v>
      </c>
      <c r="K27" s="722">
        <v>-224.85471000000001</v>
      </c>
      <c r="L27" s="722">
        <v>-2116.7045199999998</v>
      </c>
      <c r="M27" s="719">
        <v>6861.1852900000004</v>
      </c>
      <c r="N27" s="720">
        <v>7694.7340000000004</v>
      </c>
      <c r="O27" s="721">
        <v>9518.7502299999996</v>
      </c>
      <c r="P27" s="722">
        <v>-833.54871000000003</v>
      </c>
      <c r="Q27" s="723">
        <v>-2657.5649400000002</v>
      </c>
    </row>
    <row r="28" spans="2:17">
      <c r="B28" s="568" t="s">
        <v>212</v>
      </c>
      <c r="C28" s="719"/>
      <c r="D28" s="720"/>
      <c r="E28" s="721"/>
      <c r="F28" s="720"/>
      <c r="G28" s="720"/>
      <c r="H28" s="719"/>
      <c r="I28" s="720"/>
      <c r="J28" s="721"/>
      <c r="K28" s="722"/>
      <c r="L28" s="722"/>
      <c r="M28" s="719"/>
      <c r="N28" s="720"/>
      <c r="O28" s="721"/>
      <c r="P28" s="722"/>
      <c r="Q28" s="723"/>
    </row>
    <row r="29" spans="2:17">
      <c r="B29" s="568" t="s">
        <v>213</v>
      </c>
      <c r="C29" s="719">
        <v>1312.5810100000001</v>
      </c>
      <c r="D29" s="720">
        <v>345.37795999999997</v>
      </c>
      <c r="E29" s="721">
        <v>572.98328000000004</v>
      </c>
      <c r="F29" s="720">
        <v>967.20304999999996</v>
      </c>
      <c r="G29" s="720">
        <v>739.59772999999996</v>
      </c>
      <c r="H29" s="719">
        <v>2416.45361</v>
      </c>
      <c r="I29" s="720">
        <v>913.74884999999995</v>
      </c>
      <c r="J29" s="721">
        <v>1794.0465799999999</v>
      </c>
      <c r="K29" s="722">
        <v>1502.7047600000001</v>
      </c>
      <c r="L29" s="722">
        <v>622.40702999999996</v>
      </c>
      <c r="M29" s="719">
        <v>4045.5055699999998</v>
      </c>
      <c r="N29" s="720">
        <v>1752.5372600000001</v>
      </c>
      <c r="O29" s="721">
        <v>3172.34015</v>
      </c>
      <c r="P29" s="722">
        <v>2292.9683100000002</v>
      </c>
      <c r="Q29" s="723">
        <v>873.16542000000004</v>
      </c>
    </row>
    <row r="30" spans="2:17">
      <c r="B30" s="568" t="s">
        <v>214</v>
      </c>
      <c r="C30" s="719"/>
      <c r="D30" s="720"/>
      <c r="E30" s="721"/>
      <c r="F30" s="720"/>
      <c r="G30" s="720"/>
      <c r="H30" s="719"/>
      <c r="I30" s="720"/>
      <c r="J30" s="721"/>
      <c r="K30" s="722"/>
      <c r="L30" s="722"/>
      <c r="M30" s="719"/>
      <c r="N30" s="720"/>
      <c r="O30" s="721"/>
      <c r="P30" s="722"/>
      <c r="Q30" s="723"/>
    </row>
    <row r="31" spans="2:17" ht="20.25" customHeight="1">
      <c r="B31" s="572" t="s">
        <v>215</v>
      </c>
      <c r="C31" s="731">
        <f>SUM(C21:C30)</f>
        <v>18290.65439</v>
      </c>
      <c r="D31" s="732">
        <f t="shared" ref="D31:P31" si="0">SUM(D21:D30)</f>
        <v>14675.644849999999</v>
      </c>
      <c r="E31" s="733">
        <f t="shared" si="0"/>
        <v>15878.290630000001</v>
      </c>
      <c r="F31" s="732">
        <f t="shared" si="0"/>
        <v>3615.00954</v>
      </c>
      <c r="G31" s="732">
        <f t="shared" si="0"/>
        <v>2412.3637600000002</v>
      </c>
      <c r="H31" s="731">
        <f t="shared" si="0"/>
        <v>45168.771839999987</v>
      </c>
      <c r="I31" s="732">
        <f t="shared" si="0"/>
        <v>40914.126310000007</v>
      </c>
      <c r="J31" s="733">
        <f t="shared" si="0"/>
        <v>44049.944510000008</v>
      </c>
      <c r="K31" s="734">
        <f t="shared" si="0"/>
        <v>4254.6455299999998</v>
      </c>
      <c r="L31" s="734">
        <f t="shared" si="0"/>
        <v>1118.8273299999992</v>
      </c>
      <c r="M31" s="731">
        <f t="shared" si="0"/>
        <v>83478.158089999983</v>
      </c>
      <c r="N31" s="732">
        <f t="shared" si="0"/>
        <v>81968.891139999992</v>
      </c>
      <c r="O31" s="733">
        <f t="shared" si="0"/>
        <v>79153.059400000013</v>
      </c>
      <c r="P31" s="734">
        <f t="shared" si="0"/>
        <v>1509.2669499999988</v>
      </c>
      <c r="Q31" s="735">
        <f>SUM(Q21:Q30)</f>
        <v>4325.0986899999998</v>
      </c>
    </row>
    <row r="32" spans="2:17" ht="13.8">
      <c r="B32" s="572" t="s">
        <v>216</v>
      </c>
      <c r="C32" s="719">
        <f>C16+C20+C31</f>
        <v>417466.55713999999</v>
      </c>
      <c r="D32" s="720">
        <f>D16+D20+D31</f>
        <v>406281.62258999998</v>
      </c>
      <c r="E32" s="721">
        <f>E16+E20+E31</f>
        <v>435789.06910000002</v>
      </c>
      <c r="F32" s="720">
        <f>F16+F20+F31</f>
        <v>11184.93455</v>
      </c>
      <c r="G32" s="720">
        <f t="shared" ref="G32:Q32" si="1">G16+G20+G31</f>
        <v>-18322.51196</v>
      </c>
      <c r="H32" s="719">
        <f t="shared" si="1"/>
        <v>1152433.43435</v>
      </c>
      <c r="I32" s="720">
        <f t="shared" si="1"/>
        <v>1134446.8486800001</v>
      </c>
      <c r="J32" s="721">
        <f t="shared" si="1"/>
        <v>1190054.1462700001</v>
      </c>
      <c r="K32" s="722">
        <f t="shared" si="1"/>
        <v>17986.58567</v>
      </c>
      <c r="L32" s="722">
        <f t="shared" si="1"/>
        <v>-37620.711920000002</v>
      </c>
      <c r="M32" s="719">
        <f t="shared" si="1"/>
        <v>2138833.8007700001</v>
      </c>
      <c r="N32" s="720">
        <f t="shared" si="1"/>
        <v>2115922.03761</v>
      </c>
      <c r="O32" s="721">
        <f t="shared" si="1"/>
        <v>2106106.0789199998</v>
      </c>
      <c r="P32" s="722">
        <f t="shared" si="1"/>
        <v>22911.763159999995</v>
      </c>
      <c r="Q32" s="723">
        <f t="shared" si="1"/>
        <v>32727.721849999998</v>
      </c>
    </row>
    <row r="33" spans="2:17">
      <c r="B33" s="570" t="s">
        <v>217</v>
      </c>
      <c r="C33" s="719">
        <v>357136.50118999998</v>
      </c>
      <c r="D33" s="720">
        <v>343237.86625999998</v>
      </c>
      <c r="E33" s="721">
        <v>417970.98480999999</v>
      </c>
      <c r="F33" s="720">
        <v>13898.63493</v>
      </c>
      <c r="G33" s="720">
        <v>-60834.483619999999</v>
      </c>
      <c r="H33" s="719">
        <v>956513.69132999994</v>
      </c>
      <c r="I33" s="720">
        <v>933656.34806999995</v>
      </c>
      <c r="J33" s="721">
        <v>1153121.9931999999</v>
      </c>
      <c r="K33" s="722">
        <v>22857.343260000001</v>
      </c>
      <c r="L33" s="722">
        <v>-196608.30187</v>
      </c>
      <c r="M33" s="719">
        <v>1778514.9445100001</v>
      </c>
      <c r="N33" s="720">
        <v>1797104.36289</v>
      </c>
      <c r="O33" s="721">
        <v>2095486.95526</v>
      </c>
      <c r="P33" s="722">
        <v>-18589.418379999999</v>
      </c>
      <c r="Q33" s="723">
        <v>-316972.01075000002</v>
      </c>
    </row>
    <row r="34" spans="2:17">
      <c r="B34" s="570" t="s">
        <v>218</v>
      </c>
      <c r="C34" s="719"/>
      <c r="D34" s="720"/>
      <c r="E34" s="721"/>
      <c r="F34" s="720"/>
      <c r="G34" s="720"/>
      <c r="H34" s="719"/>
      <c r="I34" s="720"/>
      <c r="J34" s="721"/>
      <c r="K34" s="722"/>
      <c r="L34" s="722"/>
      <c r="M34" s="719"/>
      <c r="N34" s="720"/>
      <c r="O34" s="721"/>
      <c r="P34" s="722"/>
      <c r="Q34" s="723"/>
    </row>
    <row r="35" spans="2:17">
      <c r="B35" s="568" t="s">
        <v>219</v>
      </c>
      <c r="C35" s="719">
        <v>1130.2972299999999</v>
      </c>
      <c r="D35" s="720">
        <v>1535.1749500000001</v>
      </c>
      <c r="E35" s="721">
        <v>1308.98017</v>
      </c>
      <c r="F35" s="720">
        <v>-404.87772000000001</v>
      </c>
      <c r="G35" s="720">
        <v>-178.68294</v>
      </c>
      <c r="H35" s="719">
        <v>2110.52342</v>
      </c>
      <c r="I35" s="720">
        <v>4208.7971799999996</v>
      </c>
      <c r="J35" s="721">
        <v>3600.8657600000001</v>
      </c>
      <c r="K35" s="722">
        <v>-2098.27376</v>
      </c>
      <c r="L35" s="722">
        <v>-1490.3423399999999</v>
      </c>
      <c r="M35" s="719">
        <v>6503.9748</v>
      </c>
      <c r="N35" s="720">
        <v>15184.82231</v>
      </c>
      <c r="O35" s="721">
        <v>13364.74865</v>
      </c>
      <c r="P35" s="722">
        <v>-8680.8475099999996</v>
      </c>
      <c r="Q35" s="723">
        <v>-6860.7738499999996</v>
      </c>
    </row>
    <row r="36" spans="2:17">
      <c r="B36" s="568" t="s">
        <v>220</v>
      </c>
      <c r="C36" s="719"/>
      <c r="D36" s="720">
        <v>0</v>
      </c>
      <c r="E36" s="721"/>
      <c r="F36" s="720">
        <v>0</v>
      </c>
      <c r="G36" s="720"/>
      <c r="H36" s="719"/>
      <c r="I36" s="720">
        <v>0</v>
      </c>
      <c r="J36" s="721"/>
      <c r="K36" s="722">
        <v>0</v>
      </c>
      <c r="L36" s="722"/>
      <c r="M36" s="719"/>
      <c r="N36" s="720">
        <v>0</v>
      </c>
      <c r="O36" s="721"/>
      <c r="P36" s="722">
        <v>0</v>
      </c>
      <c r="Q36" s="723"/>
    </row>
    <row r="37" spans="2:17">
      <c r="B37" s="571" t="s">
        <v>221</v>
      </c>
      <c r="C37" s="724">
        <v>-254.65589</v>
      </c>
      <c r="D37" s="725"/>
      <c r="E37" s="726">
        <v>0</v>
      </c>
      <c r="F37" s="725">
        <v>-254.65589</v>
      </c>
      <c r="G37" s="725">
        <v>-254.65589</v>
      </c>
      <c r="H37" s="724">
        <v>102.51085</v>
      </c>
      <c r="I37" s="725"/>
      <c r="J37" s="726">
        <v>130.73129</v>
      </c>
      <c r="K37" s="727">
        <v>102.51085</v>
      </c>
      <c r="L37" s="727">
        <v>-28.22044</v>
      </c>
      <c r="M37" s="724">
        <v>-118.8467</v>
      </c>
      <c r="N37" s="725"/>
      <c r="O37" s="726">
        <v>774.13412000000005</v>
      </c>
      <c r="P37" s="727">
        <v>-118.8467</v>
      </c>
      <c r="Q37" s="728">
        <v>-892.98081999999999</v>
      </c>
    </row>
    <row r="38" spans="2:17" ht="20.25" customHeight="1">
      <c r="B38" s="573" t="s">
        <v>222</v>
      </c>
      <c r="C38" s="719">
        <v>358012.14253000001</v>
      </c>
      <c r="D38" s="720">
        <v>344773.04121</v>
      </c>
      <c r="E38" s="721">
        <v>419279.96497999999</v>
      </c>
      <c r="F38" s="720">
        <v>13239.10132</v>
      </c>
      <c r="G38" s="720">
        <v>-61267.82245</v>
      </c>
      <c r="H38" s="719">
        <v>958726.72560000001</v>
      </c>
      <c r="I38" s="720">
        <v>937865.14524999994</v>
      </c>
      <c r="J38" s="721">
        <v>1156853.5902499999</v>
      </c>
      <c r="K38" s="722">
        <v>20861.58035</v>
      </c>
      <c r="L38" s="722">
        <v>-198126.86465</v>
      </c>
      <c r="M38" s="719">
        <v>1784900.0726099999</v>
      </c>
      <c r="N38" s="720">
        <v>1812289.1851999999</v>
      </c>
      <c r="O38" s="721">
        <v>2109625.8380300002</v>
      </c>
      <c r="P38" s="722">
        <v>-27389.112590000001</v>
      </c>
      <c r="Q38" s="723">
        <v>-324725.76542000001</v>
      </c>
    </row>
    <row r="39" spans="2:17">
      <c r="B39" s="568" t="s">
        <v>223</v>
      </c>
      <c r="C39" s="719">
        <v>79532.564119999995</v>
      </c>
      <c r="D39" s="720">
        <v>63418.556149999997</v>
      </c>
      <c r="E39" s="721">
        <v>72257.328259999995</v>
      </c>
      <c r="F39" s="720">
        <v>16114.007970000001</v>
      </c>
      <c r="G39" s="720">
        <v>7275.2358599999998</v>
      </c>
      <c r="H39" s="719">
        <v>216744.14098</v>
      </c>
      <c r="I39" s="720">
        <v>172450.08887000001</v>
      </c>
      <c r="J39" s="721">
        <v>178236.54597000001</v>
      </c>
      <c r="K39" s="722">
        <v>44294.052109999997</v>
      </c>
      <c r="L39" s="722">
        <v>38507.595009999997</v>
      </c>
      <c r="M39" s="719">
        <v>405864.85356000002</v>
      </c>
      <c r="N39" s="720">
        <v>332352.71279000002</v>
      </c>
      <c r="O39" s="721">
        <v>310655.56518999999</v>
      </c>
      <c r="P39" s="722">
        <v>73512.140769999998</v>
      </c>
      <c r="Q39" s="723">
        <v>95209.288369999995</v>
      </c>
    </row>
    <row r="40" spans="2:17">
      <c r="B40" s="568" t="s">
        <v>224</v>
      </c>
      <c r="C40" s="719">
        <v>-14975.73136</v>
      </c>
      <c r="D40" s="720"/>
      <c r="E40" s="721">
        <v>-14607.204</v>
      </c>
      <c r="F40" s="720">
        <v>-14975.73136</v>
      </c>
      <c r="G40" s="720">
        <v>-368.52735999999999</v>
      </c>
      <c r="H40" s="719">
        <v>-41025.326119999998</v>
      </c>
      <c r="I40" s="720"/>
      <c r="J40" s="721">
        <v>-18711.120999999999</v>
      </c>
      <c r="K40" s="722">
        <v>-41025.326119999998</v>
      </c>
      <c r="L40" s="722">
        <v>-22314.205119999999</v>
      </c>
      <c r="M40" s="719">
        <v>-77041.22696</v>
      </c>
      <c r="N40" s="720"/>
      <c r="O40" s="721">
        <v>-18711.120999999999</v>
      </c>
      <c r="P40" s="722">
        <v>-77041.22696</v>
      </c>
      <c r="Q40" s="723">
        <v>-58330.105960000001</v>
      </c>
    </row>
    <row r="41" spans="2:17">
      <c r="B41" s="568" t="s">
        <v>225</v>
      </c>
      <c r="C41" s="719">
        <v>83.792569999999998</v>
      </c>
      <c r="D41" s="720">
        <v>36.511130000000001</v>
      </c>
      <c r="E41" s="721">
        <v>55.121600000000001</v>
      </c>
      <c r="F41" s="720">
        <v>47.281440000000003</v>
      </c>
      <c r="G41" s="720">
        <v>28.670970000000001</v>
      </c>
      <c r="H41" s="719">
        <v>173.08073999999999</v>
      </c>
      <c r="I41" s="720">
        <v>113.77119</v>
      </c>
      <c r="J41" s="721">
        <v>145.47128000000001</v>
      </c>
      <c r="K41" s="722">
        <v>59.309550000000002</v>
      </c>
      <c r="L41" s="722">
        <v>27.609459999999999</v>
      </c>
      <c r="M41" s="719">
        <v>519.95299999999997</v>
      </c>
      <c r="N41" s="720">
        <v>897.84373000000005</v>
      </c>
      <c r="O41" s="721">
        <v>887.72537999999997</v>
      </c>
      <c r="P41" s="722">
        <v>-377.89073000000002</v>
      </c>
      <c r="Q41" s="723">
        <v>-367.77238</v>
      </c>
    </row>
    <row r="42" spans="2:17">
      <c r="B42" s="571" t="s">
        <v>226</v>
      </c>
      <c r="C42" s="724"/>
      <c r="D42" s="725"/>
      <c r="E42" s="726"/>
      <c r="F42" s="725"/>
      <c r="G42" s="725"/>
      <c r="H42" s="724"/>
      <c r="I42" s="725"/>
      <c r="J42" s="726"/>
      <c r="K42" s="727"/>
      <c r="L42" s="727"/>
      <c r="M42" s="724"/>
      <c r="N42" s="725"/>
      <c r="O42" s="726"/>
      <c r="P42" s="727"/>
      <c r="Q42" s="728"/>
    </row>
    <row r="43" spans="2:17" ht="20.25" customHeight="1">
      <c r="B43" s="573" t="s">
        <v>227</v>
      </c>
      <c r="C43" s="719">
        <v>64640.625330000003</v>
      </c>
      <c r="D43" s="720">
        <v>63455.067280000003</v>
      </c>
      <c r="E43" s="721">
        <v>57705.245860000003</v>
      </c>
      <c r="F43" s="720">
        <v>1185.5580500000001</v>
      </c>
      <c r="G43" s="720">
        <v>6935.3794699999999</v>
      </c>
      <c r="H43" s="719">
        <v>175891.89559999999</v>
      </c>
      <c r="I43" s="720">
        <v>172563.86006000001</v>
      </c>
      <c r="J43" s="721">
        <v>159670.89624999999</v>
      </c>
      <c r="K43" s="722">
        <v>3328.0355399999999</v>
      </c>
      <c r="L43" s="722">
        <v>16220.99935</v>
      </c>
      <c r="M43" s="719">
        <v>329343.5796</v>
      </c>
      <c r="N43" s="720">
        <v>333250.55651999998</v>
      </c>
      <c r="O43" s="721">
        <v>292832.16957000003</v>
      </c>
      <c r="P43" s="722">
        <v>-3906.9769200000001</v>
      </c>
      <c r="Q43" s="723">
        <v>36511.410029999999</v>
      </c>
    </row>
    <row r="44" spans="2:17">
      <c r="B44" s="568" t="s">
        <v>228</v>
      </c>
      <c r="C44" s="719">
        <v>16916.205320000001</v>
      </c>
      <c r="D44" s="720">
        <v>17106.358960000001</v>
      </c>
      <c r="E44" s="721">
        <v>12714.32619</v>
      </c>
      <c r="F44" s="720">
        <v>-190.15364</v>
      </c>
      <c r="G44" s="720">
        <v>4201.8791300000003</v>
      </c>
      <c r="H44" s="719">
        <v>44488.178509999998</v>
      </c>
      <c r="I44" s="720">
        <v>44494.108189999999</v>
      </c>
      <c r="J44" s="721">
        <v>36697.859020000004</v>
      </c>
      <c r="K44" s="722">
        <v>-5.9296800000000003</v>
      </c>
      <c r="L44" s="722">
        <v>7790.3194899999999</v>
      </c>
      <c r="M44" s="719">
        <v>88915.626300000004</v>
      </c>
      <c r="N44" s="720">
        <v>84178.709589999999</v>
      </c>
      <c r="O44" s="721">
        <v>66586.23315</v>
      </c>
      <c r="P44" s="722">
        <v>4736.9167100000004</v>
      </c>
      <c r="Q44" s="723">
        <v>22329.39315</v>
      </c>
    </row>
    <row r="45" spans="2:17">
      <c r="B45" s="571" t="s">
        <v>229</v>
      </c>
      <c r="C45" s="724"/>
      <c r="D45" s="725">
        <v>0</v>
      </c>
      <c r="E45" s="726"/>
      <c r="F45" s="725">
        <v>0</v>
      </c>
      <c r="G45" s="725"/>
      <c r="H45" s="724"/>
      <c r="I45" s="725">
        <v>0</v>
      </c>
      <c r="J45" s="726"/>
      <c r="K45" s="727">
        <v>0</v>
      </c>
      <c r="L45" s="727"/>
      <c r="M45" s="724"/>
      <c r="N45" s="725">
        <v>0</v>
      </c>
      <c r="O45" s="726"/>
      <c r="P45" s="727">
        <v>0</v>
      </c>
      <c r="Q45" s="728"/>
    </row>
    <row r="46" spans="2:17" ht="20.25" customHeight="1">
      <c r="B46" s="573" t="s">
        <v>230</v>
      </c>
      <c r="C46" s="719">
        <v>16916.205320000001</v>
      </c>
      <c r="D46" s="720">
        <v>17106.358960000001</v>
      </c>
      <c r="E46" s="721">
        <v>12714.32619</v>
      </c>
      <c r="F46" s="720">
        <v>-190.15364</v>
      </c>
      <c r="G46" s="720">
        <v>4201.8791300000003</v>
      </c>
      <c r="H46" s="719">
        <v>44488.178509999998</v>
      </c>
      <c r="I46" s="720">
        <v>44494.108189999999</v>
      </c>
      <c r="J46" s="721">
        <v>36697.859020000004</v>
      </c>
      <c r="K46" s="722">
        <v>-5.9296800000000003</v>
      </c>
      <c r="L46" s="722">
        <v>7790.3194899999999</v>
      </c>
      <c r="M46" s="719">
        <v>88915.626300000004</v>
      </c>
      <c r="N46" s="720">
        <v>84178.709589999999</v>
      </c>
      <c r="O46" s="721">
        <v>66586.23315</v>
      </c>
      <c r="P46" s="722">
        <v>4736.9167100000004</v>
      </c>
      <c r="Q46" s="723">
        <v>22329.39315</v>
      </c>
    </row>
    <row r="47" spans="2:17">
      <c r="B47" s="568" t="s">
        <v>231</v>
      </c>
      <c r="C47" s="719">
        <v>16292.88322</v>
      </c>
      <c r="D47" s="720">
        <v>15470.746080000001</v>
      </c>
      <c r="E47" s="721">
        <v>12806.736419999999</v>
      </c>
      <c r="F47" s="720">
        <v>822.13714000000004</v>
      </c>
      <c r="G47" s="720">
        <v>3486.1468</v>
      </c>
      <c r="H47" s="719">
        <v>43775.717049999999</v>
      </c>
      <c r="I47" s="720">
        <v>42068.626239999998</v>
      </c>
      <c r="J47" s="721">
        <v>34815.924489999998</v>
      </c>
      <c r="K47" s="722">
        <v>1707.0908099999999</v>
      </c>
      <c r="L47" s="722">
        <v>8959.7925599999999</v>
      </c>
      <c r="M47" s="719">
        <v>81240.230349999998</v>
      </c>
      <c r="N47" s="720">
        <v>81076.340079999994</v>
      </c>
      <c r="O47" s="721">
        <v>69165.134009999994</v>
      </c>
      <c r="P47" s="722">
        <v>163.89026999999999</v>
      </c>
      <c r="Q47" s="723">
        <v>12075.09634</v>
      </c>
    </row>
    <row r="48" spans="2:17">
      <c r="B48" s="571" t="s">
        <v>232</v>
      </c>
      <c r="C48" s="724">
        <v>-942.84460000000001</v>
      </c>
      <c r="D48" s="725">
        <v>-381.49128000000002</v>
      </c>
      <c r="E48" s="726">
        <v>4861.2906000000003</v>
      </c>
      <c r="F48" s="725">
        <v>-561.35332000000005</v>
      </c>
      <c r="G48" s="725">
        <v>-5804.1351999999997</v>
      </c>
      <c r="H48" s="724">
        <v>1707.62752</v>
      </c>
      <c r="I48" s="725">
        <v>2765.69659</v>
      </c>
      <c r="J48" s="726">
        <v>10733.88905</v>
      </c>
      <c r="K48" s="727">
        <v>-1058.06907</v>
      </c>
      <c r="L48" s="727">
        <v>-9026.2615299999998</v>
      </c>
      <c r="M48" s="724">
        <v>8056.4819500000003</v>
      </c>
      <c r="N48" s="725">
        <v>8542.0455000000002</v>
      </c>
      <c r="O48" s="726">
        <v>17256.468680000002</v>
      </c>
      <c r="P48" s="727">
        <v>-485.56355000000002</v>
      </c>
      <c r="Q48" s="728">
        <v>-9199.9867300000005</v>
      </c>
    </row>
    <row r="49" spans="2:17" ht="20.25" customHeight="1">
      <c r="B49" s="573" t="s">
        <v>233</v>
      </c>
      <c r="C49" s="719">
        <v>15350.038619999999</v>
      </c>
      <c r="D49" s="720">
        <v>15089.254800000001</v>
      </c>
      <c r="E49" s="721">
        <v>17668.027020000001</v>
      </c>
      <c r="F49" s="720">
        <v>260.78381999999999</v>
      </c>
      <c r="G49" s="720">
        <v>-2317.9884000000002</v>
      </c>
      <c r="H49" s="719">
        <v>45483.344570000001</v>
      </c>
      <c r="I49" s="720">
        <v>44834.322829999997</v>
      </c>
      <c r="J49" s="721">
        <v>45549.813540000003</v>
      </c>
      <c r="K49" s="722">
        <v>649.02174000000002</v>
      </c>
      <c r="L49" s="722">
        <v>-66.468969999999999</v>
      </c>
      <c r="M49" s="719">
        <v>89296.712299999999</v>
      </c>
      <c r="N49" s="720">
        <v>89618.385580000002</v>
      </c>
      <c r="O49" s="721">
        <v>86421.60269</v>
      </c>
      <c r="P49" s="722">
        <v>-321.67327999999998</v>
      </c>
      <c r="Q49" s="723">
        <v>2875.10961</v>
      </c>
    </row>
    <row r="50" spans="2:17" ht="13.8">
      <c r="B50" s="574" t="s">
        <v>234</v>
      </c>
      <c r="C50" s="719">
        <v>12552.894329999999</v>
      </c>
      <c r="D50" s="720">
        <v>9185.9393600000003</v>
      </c>
      <c r="E50" s="721">
        <v>9863.5945400000001</v>
      </c>
      <c r="F50" s="720">
        <v>3366.9549699999998</v>
      </c>
      <c r="G50" s="720">
        <v>2689.29979</v>
      </c>
      <c r="H50" s="719">
        <v>30574.374080000001</v>
      </c>
      <c r="I50" s="720">
        <v>24978.74683</v>
      </c>
      <c r="J50" s="721">
        <v>26315.905200000001</v>
      </c>
      <c r="K50" s="722">
        <v>5595.6272499999995</v>
      </c>
      <c r="L50" s="722">
        <v>4258.4688800000004</v>
      </c>
      <c r="M50" s="719">
        <v>50860.584219999997</v>
      </c>
      <c r="N50" s="720">
        <v>47463.192479999998</v>
      </c>
      <c r="O50" s="721">
        <v>48215.985970000002</v>
      </c>
      <c r="P50" s="722">
        <v>3397.39174</v>
      </c>
      <c r="Q50" s="723">
        <v>2644.59825</v>
      </c>
    </row>
    <row r="51" spans="2:17" ht="13.8">
      <c r="B51" s="574" t="s">
        <v>235</v>
      </c>
      <c r="C51" s="719">
        <v>21736.216209999999</v>
      </c>
      <c r="D51" s="720">
        <v>20751.399300000001</v>
      </c>
      <c r="E51" s="721">
        <v>23079.662799999998</v>
      </c>
      <c r="F51" s="720">
        <v>984.81691000000001</v>
      </c>
      <c r="G51" s="720">
        <v>-1343.44659</v>
      </c>
      <c r="H51" s="719">
        <v>58501.682630000003</v>
      </c>
      <c r="I51" s="720">
        <v>56446.148350000003</v>
      </c>
      <c r="J51" s="721">
        <v>62840.669289999998</v>
      </c>
      <c r="K51" s="722">
        <v>2055.5342799999999</v>
      </c>
      <c r="L51" s="722">
        <v>-4338.9866599999996</v>
      </c>
      <c r="M51" s="719">
        <v>109022.75165000001</v>
      </c>
      <c r="N51" s="720">
        <v>108891.46245000001</v>
      </c>
      <c r="O51" s="721">
        <v>114589.13293000001</v>
      </c>
      <c r="P51" s="722">
        <v>131.28919999999999</v>
      </c>
      <c r="Q51" s="723">
        <v>-5566.3812799999996</v>
      </c>
    </row>
    <row r="52" spans="2:17" ht="13.8">
      <c r="B52" s="358" t="s">
        <v>236</v>
      </c>
      <c r="C52" s="724">
        <v>42228.719400000002</v>
      </c>
      <c r="D52" s="725">
        <v>39543.49654</v>
      </c>
      <c r="E52" s="726">
        <v>44996.860630000003</v>
      </c>
      <c r="F52" s="725">
        <v>2685.2228599999999</v>
      </c>
      <c r="G52" s="725">
        <v>-2768.1412300000002</v>
      </c>
      <c r="H52" s="724">
        <v>113920.24666999999</v>
      </c>
      <c r="I52" s="725">
        <v>107630.91611000001</v>
      </c>
      <c r="J52" s="726">
        <v>122820.45091</v>
      </c>
      <c r="K52" s="727">
        <v>6289.3305600000003</v>
      </c>
      <c r="L52" s="727">
        <v>-8900.2042399999991</v>
      </c>
      <c r="M52" s="724">
        <v>212367.30038</v>
      </c>
      <c r="N52" s="725">
        <v>207680.11962000001</v>
      </c>
      <c r="O52" s="726">
        <v>222876.89879000001</v>
      </c>
      <c r="P52" s="727">
        <v>4687.1807600000002</v>
      </c>
      <c r="Q52" s="728">
        <v>-10509.598410000001</v>
      </c>
    </row>
    <row r="53" spans="2:17" ht="13.8">
      <c r="B53" s="358" t="s">
        <v>237</v>
      </c>
      <c r="C53" s="719">
        <f>C43+C46+C49+C50+C51+C52</f>
        <v>173424.69920999999</v>
      </c>
      <c r="D53" s="720">
        <f t="shared" ref="D53:Q53" si="2">D43+D46+D49+D50+D51+D52</f>
        <v>165131.51624</v>
      </c>
      <c r="E53" s="721">
        <f t="shared" si="2"/>
        <v>166027.71704000002</v>
      </c>
      <c r="F53" s="720">
        <f t="shared" si="2"/>
        <v>8293.1829699999998</v>
      </c>
      <c r="G53" s="720">
        <f t="shared" si="2"/>
        <v>7396.9821700000002</v>
      </c>
      <c r="H53" s="719">
        <f t="shared" si="2"/>
        <v>468859.72205999994</v>
      </c>
      <c r="I53" s="720">
        <f t="shared" si="2"/>
        <v>450948.10236999998</v>
      </c>
      <c r="J53" s="721">
        <f t="shared" si="2"/>
        <v>453895.59421000001</v>
      </c>
      <c r="K53" s="722">
        <f t="shared" si="2"/>
        <v>17911.61969</v>
      </c>
      <c r="L53" s="722">
        <f t="shared" si="2"/>
        <v>14964.127850000001</v>
      </c>
      <c r="M53" s="719">
        <f t="shared" si="2"/>
        <v>879806.55445000005</v>
      </c>
      <c r="N53" s="720">
        <f t="shared" si="2"/>
        <v>871082.42623999994</v>
      </c>
      <c r="O53" s="721">
        <f t="shared" si="2"/>
        <v>831522.02309999999</v>
      </c>
      <c r="P53" s="722">
        <f t="shared" si="2"/>
        <v>8724.1282100000008</v>
      </c>
      <c r="Q53" s="723">
        <f t="shared" si="2"/>
        <v>48284.531350000005</v>
      </c>
    </row>
    <row r="54" spans="2:17" ht="13.8">
      <c r="B54" s="358" t="s">
        <v>238</v>
      </c>
      <c r="C54" s="719">
        <f>C38+C43+C46+C49+C50+C51+C52</f>
        <v>531436.84174000006</v>
      </c>
      <c r="D54" s="720">
        <f t="shared" ref="D54:Q54" si="3">D38+D43+D46+D49+D50+D51+D52</f>
        <v>509904.55745000002</v>
      </c>
      <c r="E54" s="721">
        <f t="shared" si="3"/>
        <v>585307.68202000007</v>
      </c>
      <c r="F54" s="720">
        <f t="shared" si="3"/>
        <v>21532.284290000003</v>
      </c>
      <c r="G54" s="720">
        <f t="shared" si="3"/>
        <v>-53870.840280000004</v>
      </c>
      <c r="H54" s="719">
        <f t="shared" si="3"/>
        <v>1427586.4476599998</v>
      </c>
      <c r="I54" s="720">
        <f t="shared" si="3"/>
        <v>1388813.24762</v>
      </c>
      <c r="J54" s="721">
        <f t="shared" si="3"/>
        <v>1610749.1844599999</v>
      </c>
      <c r="K54" s="722">
        <f t="shared" si="3"/>
        <v>38773.200040000003</v>
      </c>
      <c r="L54" s="722">
        <f t="shared" si="3"/>
        <v>-183162.73679999998</v>
      </c>
      <c r="M54" s="719">
        <f t="shared" si="3"/>
        <v>2664706.6270599999</v>
      </c>
      <c r="N54" s="720">
        <f t="shared" si="3"/>
        <v>2683371.6114400001</v>
      </c>
      <c r="O54" s="721">
        <f t="shared" si="3"/>
        <v>2941147.8611300001</v>
      </c>
      <c r="P54" s="722">
        <f t="shared" si="3"/>
        <v>-18664.984380000002</v>
      </c>
      <c r="Q54" s="723">
        <f t="shared" si="3"/>
        <v>-276441.23407000001</v>
      </c>
    </row>
    <row r="55" spans="2:17" ht="19.5" customHeight="1" thickBot="1">
      <c r="B55" s="669" t="s">
        <v>239</v>
      </c>
      <c r="C55" s="736">
        <f>C32+C38+C43+C46+C49+C50+C51+C52</f>
        <v>948903.39887999999</v>
      </c>
      <c r="D55" s="737">
        <f t="shared" ref="D55:Q55" si="4">D32+D38+D43+D46+D49+D50+D51+D52</f>
        <v>916186.18003999989</v>
      </c>
      <c r="E55" s="738">
        <f t="shared" si="4"/>
        <v>1021096.7511200001</v>
      </c>
      <c r="F55" s="737">
        <f t="shared" si="4"/>
        <v>32717.218840000001</v>
      </c>
      <c r="G55" s="737">
        <f t="shared" si="4"/>
        <v>-72193.352239999993</v>
      </c>
      <c r="H55" s="736">
        <f t="shared" si="4"/>
        <v>2580019.8820100003</v>
      </c>
      <c r="I55" s="737">
        <f t="shared" si="4"/>
        <v>2523260.0962999999</v>
      </c>
      <c r="J55" s="738">
        <f t="shared" si="4"/>
        <v>2800803.33073</v>
      </c>
      <c r="K55" s="739">
        <f t="shared" si="4"/>
        <v>56759.785709999996</v>
      </c>
      <c r="L55" s="739">
        <f t="shared" si="4"/>
        <v>-220783.44871999999</v>
      </c>
      <c r="M55" s="736">
        <f t="shared" si="4"/>
        <v>4803540.4278299985</v>
      </c>
      <c r="N55" s="737">
        <f t="shared" si="4"/>
        <v>4799293.6490500011</v>
      </c>
      <c r="O55" s="738">
        <f t="shared" si="4"/>
        <v>5047253.9400500003</v>
      </c>
      <c r="P55" s="739">
        <f t="shared" si="4"/>
        <v>4246.7787799999942</v>
      </c>
      <c r="Q55" s="740">
        <f t="shared" si="4"/>
        <v>-243713.51222000003</v>
      </c>
    </row>
    <row r="56" spans="2:17" ht="13.8" thickTop="1">
      <c r="B56" s="365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457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</row>
    <row r="60" spans="2:17">
      <c r="B60" s="369" t="s">
        <v>249</v>
      </c>
      <c r="C60" s="741">
        <v>9760441.682</v>
      </c>
      <c r="D60" s="742">
        <v>9298429.0700000003</v>
      </c>
      <c r="E60" s="743">
        <v>10028106.151000001</v>
      </c>
      <c r="F60" s="742">
        <v>462012.61200000002</v>
      </c>
      <c r="G60" s="742">
        <v>-267664.46899999998</v>
      </c>
      <c r="H60" s="741">
        <v>26379688.072000001</v>
      </c>
      <c r="I60" s="742">
        <v>25291963.77</v>
      </c>
      <c r="J60" s="743">
        <v>27361225.515999999</v>
      </c>
      <c r="K60" s="744">
        <v>1087724.3019999999</v>
      </c>
      <c r="L60" s="744">
        <v>-981537.44400000002</v>
      </c>
      <c r="M60" s="741">
        <v>49146510.568999998</v>
      </c>
      <c r="N60" s="742">
        <v>48690085.049999997</v>
      </c>
      <c r="O60" s="743">
        <v>49988053.027000003</v>
      </c>
      <c r="P60" s="744">
        <v>456425.51899999997</v>
      </c>
      <c r="Q60" s="745">
        <v>-841542.45799999998</v>
      </c>
    </row>
    <row r="61" spans="2:17">
      <c r="B61" s="369" t="s">
        <v>250</v>
      </c>
      <c r="C61" s="746">
        <v>-116877</v>
      </c>
      <c r="D61" s="744">
        <v>308863.56</v>
      </c>
      <c r="E61" s="745">
        <v>281258</v>
      </c>
      <c r="F61" s="744">
        <v>-425740.56</v>
      </c>
      <c r="G61" s="744">
        <v>-398135</v>
      </c>
      <c r="H61" s="746">
        <v>602587</v>
      </c>
      <c r="I61" s="744">
        <v>1403872.85</v>
      </c>
      <c r="J61" s="745">
        <v>1204729</v>
      </c>
      <c r="K61" s="744">
        <v>-801285.85</v>
      </c>
      <c r="L61" s="744">
        <v>-602142</v>
      </c>
      <c r="M61" s="746">
        <v>785345</v>
      </c>
      <c r="N61" s="744">
        <v>636111.88</v>
      </c>
      <c r="O61" s="745">
        <v>616708</v>
      </c>
      <c r="P61" s="744">
        <v>149233.12</v>
      </c>
      <c r="Q61" s="745">
        <v>168637</v>
      </c>
    </row>
    <row r="62" spans="2:17">
      <c r="B62" s="369" t="s">
        <v>251</v>
      </c>
      <c r="C62" s="746">
        <v>71730</v>
      </c>
      <c r="D62" s="744">
        <v>52342.94</v>
      </c>
      <c r="E62" s="745">
        <v>68987</v>
      </c>
      <c r="F62" s="744">
        <v>19387.060000000001</v>
      </c>
      <c r="G62" s="744">
        <v>2743</v>
      </c>
      <c r="H62" s="746">
        <v>115961</v>
      </c>
      <c r="I62" s="744">
        <v>160823.60999999999</v>
      </c>
      <c r="J62" s="745">
        <v>191438</v>
      </c>
      <c r="K62" s="744">
        <v>-44862.61</v>
      </c>
      <c r="L62" s="744">
        <v>-75477</v>
      </c>
      <c r="M62" s="746">
        <v>269663</v>
      </c>
      <c r="N62" s="744">
        <v>523542.79</v>
      </c>
      <c r="O62" s="745">
        <v>552716</v>
      </c>
      <c r="P62" s="744">
        <v>-253879.79</v>
      </c>
      <c r="Q62" s="745">
        <v>-283053</v>
      </c>
    </row>
    <row r="63" spans="2:17" ht="13.8" thickBot="1">
      <c r="B63" s="376" t="s">
        <v>252</v>
      </c>
      <c r="C63" s="747">
        <v>9715294.682</v>
      </c>
      <c r="D63" s="748">
        <v>9659635.5700000003</v>
      </c>
      <c r="E63" s="749">
        <v>10378351.151000001</v>
      </c>
      <c r="F63" s="748">
        <v>55659.112000000001</v>
      </c>
      <c r="G63" s="748">
        <v>-663056.46900000004</v>
      </c>
      <c r="H63" s="747">
        <v>27098236.072000001</v>
      </c>
      <c r="I63" s="748">
        <v>26856660.23</v>
      </c>
      <c r="J63" s="749">
        <v>28757392.515999999</v>
      </c>
      <c r="K63" s="750">
        <v>241575.842</v>
      </c>
      <c r="L63" s="750">
        <v>-1659156.4439999999</v>
      </c>
      <c r="M63" s="747">
        <v>50201518.568999998</v>
      </c>
      <c r="N63" s="748">
        <v>49849739.719999999</v>
      </c>
      <c r="O63" s="749">
        <v>51157477.027000003</v>
      </c>
      <c r="P63" s="750">
        <v>351778.84899999999</v>
      </c>
      <c r="Q63" s="751">
        <v>-955958.45799999998</v>
      </c>
    </row>
    <row r="64" spans="2:17" ht="13.8" thickTop="1">
      <c r="B64" s="382"/>
    </row>
    <row r="65" spans="2:17" ht="17.399999999999999">
      <c r="B65" s="383" t="s">
        <v>253</v>
      </c>
      <c r="C65" s="384">
        <f>C55</f>
        <v>948903.39887999999</v>
      </c>
      <c r="D65" s="384"/>
      <c r="E65" s="384">
        <f>E55</f>
        <v>1021096.7511200001</v>
      </c>
      <c r="F65" s="384"/>
      <c r="G65" s="384">
        <f>G55</f>
        <v>-72193.352239999993</v>
      </c>
      <c r="H65" s="384">
        <f>H55</f>
        <v>2580019.8820100003</v>
      </c>
      <c r="I65" s="384"/>
      <c r="J65" s="384">
        <f>J55</f>
        <v>2800803.33073</v>
      </c>
      <c r="K65" s="384"/>
      <c r="L65" s="384">
        <f>L55</f>
        <v>-220783.44871999999</v>
      </c>
      <c r="M65" s="384">
        <f>M55</f>
        <v>4803540.4278299985</v>
      </c>
      <c r="N65" s="384"/>
      <c r="O65" s="384">
        <f>O55</f>
        <v>5047253.9400500003</v>
      </c>
      <c r="P65" s="384"/>
      <c r="Q65" s="384">
        <f>Q55</f>
        <v>-243713.51222000003</v>
      </c>
    </row>
    <row r="66" spans="2:17">
      <c r="B66" s="385"/>
      <c r="C66" s="160"/>
      <c r="D66" s="160"/>
      <c r="E66" s="160"/>
      <c r="F66" s="160"/>
      <c r="G66" s="386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2:17">
      <c r="B67" s="752"/>
      <c r="C67" s="388"/>
      <c r="D67" s="389"/>
      <c r="E67" s="389"/>
      <c r="F67" s="390"/>
      <c r="G67" s="391"/>
      <c r="H67" s="388"/>
      <c r="I67" s="392"/>
      <c r="J67" s="389"/>
      <c r="K67" s="390"/>
      <c r="L67" s="391"/>
      <c r="M67" s="388"/>
      <c r="N67" s="392"/>
      <c r="O67" s="389"/>
      <c r="P67" s="393"/>
      <c r="Q67" s="391"/>
    </row>
    <row r="68" spans="2:17">
      <c r="B68" s="591" t="s">
        <v>254</v>
      </c>
      <c r="C68" s="753">
        <v>-151.24781999999999</v>
      </c>
      <c r="D68" s="754"/>
      <c r="E68" s="276">
        <f>[14]Summary!C67</f>
        <v>-141.17704999999998</v>
      </c>
      <c r="F68" s="755"/>
      <c r="G68" s="756">
        <f>C68-E68</f>
        <v>-10.07077000000001</v>
      </c>
      <c r="H68" s="399">
        <f>[15]Actual!F68+[15]Actual!G68+[15]Actual!H68</f>
        <v>-429.35626999999999</v>
      </c>
      <c r="I68" s="276"/>
      <c r="J68" s="400">
        <f>[15]Prior!F68+[15]Prior!G68+[15]Prior!H68</f>
        <v>-366.33714999999995</v>
      </c>
      <c r="K68" s="756"/>
      <c r="L68" s="756">
        <f>H68-J68</f>
        <v>-63.019120000000044</v>
      </c>
      <c r="M68" s="399">
        <f>[15]Actual!O68</f>
        <v>-816.61355000000003</v>
      </c>
      <c r="N68" s="401"/>
      <c r="O68" s="757">
        <f>SUM([15]Prior!C68:H68)</f>
        <v>-715.35278000000005</v>
      </c>
      <c r="P68" s="756"/>
      <c r="Q68" s="758">
        <f>M68-O68</f>
        <v>-101.26076999999998</v>
      </c>
    </row>
    <row r="69" spans="2:17">
      <c r="B69" s="591" t="s">
        <v>255</v>
      </c>
      <c r="C69" s="753">
        <v>0</v>
      </c>
      <c r="D69" s="754"/>
      <c r="E69" s="276">
        <f>[14]Summary!C68</f>
        <v>0</v>
      </c>
      <c r="F69" s="755"/>
      <c r="G69" s="756">
        <f>C69-E69</f>
        <v>0</v>
      </c>
      <c r="H69" s="399">
        <f>[15]Actual!F69+[15]Actual!G69+[15]Actual!H69</f>
        <v>0</v>
      </c>
      <c r="I69" s="276"/>
      <c r="J69" s="400">
        <f>[15]Prior!F69+[15]Prior!G69+[15]Prior!H69</f>
        <v>0</v>
      </c>
      <c r="K69" s="756"/>
      <c r="L69" s="756">
        <f>H69-J69</f>
        <v>0</v>
      </c>
      <c r="M69" s="399">
        <f>[15]Actual!O69</f>
        <v>0</v>
      </c>
      <c r="N69" s="401"/>
      <c r="O69" s="757">
        <f>SUM([15]Prior!C69:H69)</f>
        <v>0</v>
      </c>
      <c r="P69" s="756"/>
      <c r="Q69" s="758">
        <f>M69-O69</f>
        <v>0</v>
      </c>
    </row>
    <row r="70" spans="2:17">
      <c r="B70" s="591" t="s">
        <v>256</v>
      </c>
      <c r="C70" s="759">
        <v>-209.76467</v>
      </c>
      <c r="D70" s="760"/>
      <c r="E70" s="276">
        <f>[14]Summary!C69</f>
        <v>-201.62836999999999</v>
      </c>
      <c r="F70" s="761"/>
      <c r="G70" s="756">
        <f>C70-E70</f>
        <v>-8.1363000000000056</v>
      </c>
      <c r="H70" s="399">
        <f>[15]Actual!F70+[15]Actual!G70+[15]Actual!H70</f>
        <v>-778.06636000000003</v>
      </c>
      <c r="I70" s="276"/>
      <c r="J70" s="400">
        <f>[15]Prior!F70+[15]Prior!G70+[15]Prior!H70</f>
        <v>-479.02701999999999</v>
      </c>
      <c r="K70" s="756"/>
      <c r="L70" s="756">
        <f>H70-J70</f>
        <v>-299.03934000000004</v>
      </c>
      <c r="M70" s="399">
        <f>[15]Actual!O70</f>
        <v>-1401.0990200000001</v>
      </c>
      <c r="N70" s="401"/>
      <c r="O70" s="757">
        <f>SUM([15]Prior!C70:H70)</f>
        <v>-831.56582000000003</v>
      </c>
      <c r="P70" s="756"/>
      <c r="Q70" s="758">
        <f>M70-O70</f>
        <v>-569.53320000000008</v>
      </c>
    </row>
    <row r="71" spans="2:17" ht="18" thickBot="1">
      <c r="B71" s="383" t="s">
        <v>257</v>
      </c>
      <c r="C71" s="762">
        <f>SUM(C65:C70)</f>
        <v>948542.38639</v>
      </c>
      <c r="D71" s="763"/>
      <c r="E71" s="764">
        <f>SUM(E65:E70)</f>
        <v>1020753.9457</v>
      </c>
      <c r="F71" s="763"/>
      <c r="G71" s="764">
        <f>C71-E71</f>
        <v>-72211.559310000041</v>
      </c>
      <c r="H71" s="763">
        <f>SUM(H65:H70)</f>
        <v>2578812.4593800004</v>
      </c>
      <c r="I71" s="763"/>
      <c r="J71" s="764">
        <f>SUM(J65:J70)</f>
        <v>2799957.9665600001</v>
      </c>
      <c r="K71" s="763"/>
      <c r="L71" s="764">
        <f>H71-J71</f>
        <v>-221145.50717999972</v>
      </c>
      <c r="M71" s="762">
        <f>SUM(M65:M70)</f>
        <v>4801322.715259999</v>
      </c>
      <c r="N71" s="763"/>
      <c r="O71" s="764">
        <f>SUM(O65:O70)</f>
        <v>5045707.0214499999</v>
      </c>
      <c r="P71" s="763"/>
      <c r="Q71" s="764">
        <f>M71-O71</f>
        <v>-244384.30619000085</v>
      </c>
    </row>
    <row r="72" spans="2:17" ht="13.8" thickTop="1">
      <c r="B72" s="382"/>
    </row>
    <row r="73" spans="2:17">
      <c r="B73" s="382"/>
    </row>
    <row r="74" spans="2:17">
      <c r="B74" s="382"/>
    </row>
    <row r="75" spans="2:17">
      <c r="B75" s="410"/>
    </row>
    <row r="76" spans="2:17">
      <c r="B76" s="382"/>
    </row>
    <row r="77" spans="2:17">
      <c r="B77" s="382"/>
    </row>
    <row r="78" spans="2:17">
      <c r="B78" s="382"/>
    </row>
    <row r="79" spans="2:17">
      <c r="B79" s="382"/>
    </row>
    <row r="80" spans="2:17">
      <c r="B80" s="410"/>
    </row>
    <row r="81" spans="2:2">
      <c r="B81" s="382"/>
    </row>
    <row r="82" spans="2:2">
      <c r="B82" s="382"/>
    </row>
    <row r="83" spans="2:2">
      <c r="B83" s="410"/>
    </row>
    <row r="84" spans="2:2">
      <c r="B84" s="382"/>
    </row>
    <row r="85" spans="2:2">
      <c r="B85" s="382"/>
    </row>
    <row r="86" spans="2:2">
      <c r="B86" s="410"/>
    </row>
    <row r="87" spans="2:2">
      <c r="B87" s="382"/>
    </row>
    <row r="88" spans="2:2">
      <c r="B88" s="382"/>
    </row>
    <row r="89" spans="2:2">
      <c r="B89" s="410"/>
    </row>
    <row r="90" spans="2:2">
      <c r="B90" s="382"/>
    </row>
    <row r="91" spans="2:2">
      <c r="B91" s="410"/>
    </row>
    <row r="92" spans="2:2">
      <c r="B92" s="365"/>
    </row>
    <row r="93" spans="2:2">
      <c r="B93" s="410"/>
    </row>
    <row r="94" spans="2:2">
      <c r="B94" s="365"/>
    </row>
    <row r="95" spans="2:2">
      <c r="B95" s="410"/>
    </row>
    <row r="96" spans="2:2">
      <c r="B96" s="365"/>
    </row>
  </sheetData>
  <mergeCells count="1">
    <mergeCell ref="B2:D2"/>
  </mergeCells>
  <phoneticPr fontId="0" type="noConversion"/>
  <printOptions horizont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43.5" customHeight="1">
      <c r="A1" s="780" t="s">
        <v>482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8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76" t="s">
        <v>131</v>
      </c>
      <c r="U5" s="777" t="s">
        <v>51</v>
      </c>
      <c r="V5" s="776" t="s">
        <v>132</v>
      </c>
      <c r="W5" s="777" t="s">
        <v>51</v>
      </c>
    </row>
    <row r="6" spans="1:23">
      <c r="A6" s="46" t="s">
        <v>141</v>
      </c>
      <c r="B6" s="47">
        <f ca="1">+'Summary Plan Retail Delivered'!J6</f>
        <v>9673442</v>
      </c>
      <c r="I6" s="232" t="s">
        <v>147</v>
      </c>
      <c r="T6" s="768"/>
      <c r="U6" s="769"/>
      <c r="V6" s="768"/>
      <c r="W6" s="769"/>
    </row>
    <row r="7" spans="1:23" ht="39.6">
      <c r="A7" s="1"/>
      <c r="B7" s="232"/>
      <c r="C7" s="232"/>
      <c r="F7" s="214" t="s">
        <v>463</v>
      </c>
      <c r="G7" s="214" t="s">
        <v>462</v>
      </c>
      <c r="O7" s="440">
        <f>+[3]Retail!$N$14</f>
        <v>9673442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Delivered'!J8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Delivered'!J10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 ca="1">+E10+'P6 Summary Plan Forecast_Aug'!F10</f>
        <v>0</v>
      </c>
      <c r="G10" s="602">
        <f ca="1">+E10+'P6 Summary Plan Forecast_Aug'!G10</f>
        <v>-641.70977687899085</v>
      </c>
      <c r="H10" s="238"/>
      <c r="I10" s="235"/>
      <c r="K10" s="236"/>
      <c r="N10" s="51"/>
      <c r="P10" s="81"/>
      <c r="T10" s="770">
        <f ca="1">+E10+'P6 Summary Plan Forecast_Aug'!E10+'P6 Summary Plan Forecast_July'!E10</f>
        <v>0</v>
      </c>
      <c r="U10" s="771">
        <f ca="1">+T10-F10</f>
        <v>0</v>
      </c>
      <c r="V10" s="770">
        <f ca="1">+E10+'P6 Summary Plan Forecast_Aug'!E10+'P6 Summary Plan Forecast_July'!E10+'P6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Delivered'!J12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 ca="1">+E12+'P6 Summary Plan Forecast_Aug'!F12</f>
        <v>0</v>
      </c>
      <c r="G12" s="602">
        <f ca="1">+E12+'P6 Summary Plan Forecast_Aug'!G12</f>
        <v>6647.7287483450054</v>
      </c>
      <c r="H12" s="238"/>
      <c r="I12" s="235"/>
      <c r="K12" s="236"/>
      <c r="N12" s="51"/>
      <c r="O12" s="5"/>
      <c r="T12" s="770">
        <f ca="1">+E12+'P6 Summary Plan Forecast_Aug'!E12+'P6 Summary Plan Forecast_July'!E12</f>
        <v>0</v>
      </c>
      <c r="U12" s="771">
        <f ca="1">+T12-F12</f>
        <v>0</v>
      </c>
      <c r="V12" s="770">
        <f ca="1">+E12+'P6 Summary Plan Forecast_Aug'!E12+'P6 Summary Plan Forecast_July'!E12+'P6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Delivered'!J14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 ca="1">+E14+'P6 Summary Plan Forecast_Aug'!F14</f>
        <v>0</v>
      </c>
      <c r="G14" s="602">
        <f ca="1">+E14+'P6 Summary Plan Forecast_Aug'!G14</f>
        <v>-60476.10363792815</v>
      </c>
      <c r="H14" s="238"/>
      <c r="I14" s="235"/>
      <c r="K14" s="236"/>
      <c r="N14" s="51"/>
      <c r="T14" s="770">
        <f ca="1">+E14+'P6 Summary Plan Forecast_Aug'!E14+'P6 Summary Plan Forecast_July'!E14</f>
        <v>0</v>
      </c>
      <c r="U14" s="771">
        <f ca="1">+T14-F14</f>
        <v>0</v>
      </c>
      <c r="V14" s="770">
        <f ca="1">+E14+'P6 Summary Plan Forecast_Aug'!E14+'P6 Summary Plan Forecast_July'!E14+'P6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Delivered'!J16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 ca="1">+E16+'P6 Summary Plan Forecast_Aug'!F16</f>
        <v>0</v>
      </c>
      <c r="G16" s="602">
        <f ca="1">+E16+'P6 Summary Plan Forecast_Aug'!G16</f>
        <v>-11230.05540265602</v>
      </c>
      <c r="H16" s="238"/>
      <c r="I16" s="235"/>
      <c r="K16" s="236"/>
      <c r="N16" s="51"/>
      <c r="T16" s="770">
        <f ca="1">+E16+'P6 Summary Plan Forecast_Aug'!E16+'P6 Summary Plan Forecast_July'!E16</f>
        <v>0</v>
      </c>
      <c r="U16" s="771">
        <f ca="1">+T16-F16</f>
        <v>0</v>
      </c>
      <c r="V16" s="770">
        <f ca="1">+E16+'P6 Summary Plan Forecast_Aug'!E16+'P6 Summary Plan Forecast_July'!E16+'P6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Delivered'!J18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 ca="1">+E18+'P6 Summary Plan Forecast_Aug'!F18</f>
        <v>0</v>
      </c>
      <c r="G18" s="602">
        <f ca="1">+E18+'P6 Summary Plan Forecast_Aug'!G18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 ca="1">+E18+'P6 Summary Plan Forecast_Aug'!E18+'P6 Summary Plan Forecast_July'!E18</f>
        <v>0</v>
      </c>
      <c r="U18" s="771">
        <f ca="1">+T18-F18</f>
        <v>0</v>
      </c>
      <c r="V18" s="770">
        <f ca="1">+E18+'P6 Summary Plan Forecast_Aug'!E18+'P6 Summary Plan Forecast_July'!E18+'P6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Delivered'!J20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 ca="1">+E20+'P6 Summary Plan Forecast_Aug'!F20</f>
        <v>0</v>
      </c>
      <c r="G20" s="602">
        <f ca="1">+E20+'P6 Summary Plan Forecast_Aug'!G20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 ca="1">+E20+'P6 Summary Plan Forecast_Aug'!E20+'P6 Summary Plan Forecast_July'!E20</f>
        <v>0</v>
      </c>
      <c r="U20" s="771">
        <f ca="1">+T20-F20</f>
        <v>0</v>
      </c>
      <c r="V20" s="770">
        <f ca="1">+E20+'P6 Summary Plan Forecast_Aug'!E20+'P6 Summary Plan Forecast_July'!E20+'P6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Delivered'!J22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 ca="1">+E22+'P6 Summary Plan Forecast_Aug'!F22</f>
        <v>0</v>
      </c>
      <c r="G22" s="602">
        <f ca="1">+E22+'P6 Summary Plan Forecast_Aug'!G22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 ca="1">+E22+'P6 Summary Plan Forecast_Aug'!E22+'P6 Summary Plan Forecast_July'!E22</f>
        <v>0</v>
      </c>
      <c r="U22" s="771">
        <f ca="1">+T22-F22</f>
        <v>0</v>
      </c>
      <c r="V22" s="770">
        <f ca="1">+E22+'P6 Summary Plan Forecast_Aug'!E22+'P6 Summary Plan Forecast_July'!E22+'P6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Delivered'!J24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 ca="1">+E24+'P6 Summary Plan Forecast_Aug'!F24</f>
        <v>0</v>
      </c>
      <c r="G24" s="602">
        <f ca="1">+E24+'P6 Summary Plan Forecast_Aug'!G24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 ca="1">+E24+'P6 Summary Plan Forecast_Aug'!E24+'P6 Summary Plan Forecast_July'!E24</f>
        <v>0</v>
      </c>
      <c r="U24" s="771">
        <f ca="1">+T24-F24</f>
        <v>0</v>
      </c>
      <c r="V24" s="770">
        <f ca="1">+E24+'P6 Summary Plan Forecast_Aug'!E24+'P6 Summary Plan Forecast_July'!E24+'P6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9673442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 ca="1">+E26+'P6 Summary Plan Forecast_Aug'!E26+'P6 Summary Plan Forecast_July'!E26</f>
        <v>0</v>
      </c>
      <c r="U26" s="773">
        <f ca="1">+T26-F26</f>
        <v>0</v>
      </c>
      <c r="V26" s="772">
        <f ca="1">+E26+'P6 Summary Plan Forecast_Aug'!E26+'P6 Summary Plan Forecast_July'!E26+'P6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Delivered'!J38</f>
        <v>9358601.7415905092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Delivered'!J40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Delivered'!J42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 ca="1">+E42+'P6 Summary Plan Forecast_Aug'!F42</f>
        <v>0</v>
      </c>
      <c r="G42" s="602">
        <f ca="1">+E42+'P6 Summary Plan Forecast_Aug'!G42</f>
        <v>-491.82505887175989</v>
      </c>
      <c r="H42" s="51"/>
      <c r="I42" s="234"/>
      <c r="T42" s="770">
        <f ca="1">+E42+'P6 Summary Plan Forecast_Aug'!E42+'P6 Summary Plan Forecast_July'!E42</f>
        <v>0</v>
      </c>
      <c r="U42" s="769">
        <f ca="1">+T42-F42</f>
        <v>0</v>
      </c>
      <c r="V42" s="768">
        <f ca="1">+E42+'P6 Summary Plan Forecast_Aug'!E42+'P6 Summary Plan Forecast_July'!E42+'P6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69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Delivered'!J44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 ca="1">+E44+'P6 Summary Plan Forecast_Aug'!F44</f>
        <v>0</v>
      </c>
      <c r="G44" s="602">
        <f ca="1">+E44+'P6 Summary Plan Forecast_Aug'!G44</f>
        <v>-475.05273860621776</v>
      </c>
      <c r="H44" s="51"/>
      <c r="T44" s="770">
        <f ca="1">+E44+'P6 Summary Plan Forecast_Aug'!E44+'P6 Summary Plan Forecast_July'!E44</f>
        <v>0</v>
      </c>
      <c r="U44" s="771">
        <f ca="1">+T44-F44</f>
        <v>0</v>
      </c>
      <c r="V44" s="770">
        <f ca="1">+E44+'P6 Summary Plan Forecast_Aug'!E44+'P6 Summary Plan Forecast_July'!E44+'P6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Delivered'!J46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 ca="1">+E46+'P6 Summary Plan Forecast_Aug'!F46</f>
        <v>0</v>
      </c>
      <c r="G46" s="602">
        <f ca="1">+E46+'P6 Summary Plan Forecast_Aug'!G46</f>
        <v>20367.630782642045</v>
      </c>
      <c r="T46" s="770">
        <f ca="1">+E46+'P6 Summary Plan Forecast_Aug'!E46+'P6 Summary Plan Forecast_July'!E46</f>
        <v>0</v>
      </c>
      <c r="U46" s="771">
        <f ca="1">+T46-F46</f>
        <v>0</v>
      </c>
      <c r="V46" s="770">
        <f ca="1">+E46+'P6 Summary Plan Forecast_Aug'!E46+'P6 Summary Plan Forecast_July'!E46+'P6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Delivered'!J48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 ca="1">+E48+'P6 Summary Plan Forecast_Aug'!F48</f>
        <v>0</v>
      </c>
      <c r="G48" s="602">
        <f ca="1">+E48+'P6 Summary Plan Forecast_Aug'!G48</f>
        <v>-21019.925031443199</v>
      </c>
      <c r="H48" s="51"/>
      <c r="I48" s="235"/>
      <c r="T48" s="770">
        <f ca="1">+E48+'P6 Summary Plan Forecast_Aug'!E48+'P6 Summary Plan Forecast_July'!E48</f>
        <v>0</v>
      </c>
      <c r="U48" s="771">
        <f ca="1">+T48-F48</f>
        <v>0</v>
      </c>
      <c r="V48" s="770">
        <f ca="1">+E48+'P6 Summary Plan Forecast_Aug'!E48+'P6 Summary Plan Forecast_July'!E48+'P6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Delivered'!J38</f>
        <v>9358601.7415905092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Delivered'!J50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 ca="1">+E50+'P6 Summary Plan Forecast_Aug'!F50</f>
        <v>0</v>
      </c>
      <c r="G50" s="602">
        <f ca="1">+E50+'P6 Summary Plan Forecast_Aug'!G50</f>
        <v>0</v>
      </c>
      <c r="H50" s="51"/>
      <c r="I50" s="235"/>
      <c r="T50" s="770">
        <f ca="1">+E50+'P6 Summary Plan Forecast_Aug'!E50+'P6 Summary Plan Forecast_July'!E50</f>
        <v>0</v>
      </c>
      <c r="U50" s="771">
        <f ca="1">+T50-F50</f>
        <v>0</v>
      </c>
      <c r="V50" s="770">
        <f ca="1">+E50+'P6 Summary Plan Forecast_Aug'!E50+'P6 Summary Plan Forecast_July'!E50+'P6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Delivered'!J52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 ca="1">+E52+'P6 Summary Plan Forecast_Aug'!F52</f>
        <v>0</v>
      </c>
      <c r="G52" s="602">
        <f ca="1">+E52+'P6 Summary Plan Forecast_Aug'!G52</f>
        <v>3818.5040101289064</v>
      </c>
      <c r="H52" s="183"/>
      <c r="I52" s="508"/>
      <c r="N52" s="510"/>
      <c r="O52" t="s">
        <v>139</v>
      </c>
      <c r="T52" s="770">
        <f ca="1">+E52+'P6 Summary Plan Forecast_Aug'!E52+'P6 Summary Plan Forecast_July'!E52</f>
        <v>0</v>
      </c>
      <c r="U52" s="771">
        <f ca="1">+T52-F52</f>
        <v>0</v>
      </c>
      <c r="V52" s="770">
        <f ca="1">+E52+'P6 Summary Plan Forecast_Aug'!E52+'P6 Summary Plan Forecast_July'!E52+'P6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 ca="1">+E54+'P6 Summary Plan Forecast_Aug'!F54</f>
        <v>0</v>
      </c>
      <c r="G54" s="602">
        <f ca="1">+E54+'P6 Summary Plan Forecast_Aug'!G54</f>
        <v>0</v>
      </c>
      <c r="H54" s="51"/>
      <c r="I54" s="235"/>
      <c r="T54" s="770">
        <f ca="1">+E54+'P6 Summary Plan Forecast_Aug'!E54+'P6 Summary Plan Forecast_July'!E54</f>
        <v>0</v>
      </c>
      <c r="U54" s="771">
        <f ca="1">+T54-F54</f>
        <v>0</v>
      </c>
      <c r="V54" s="770">
        <f ca="1">+E54+'P6 Summary Plan Forecast_Aug'!E54+'P6 Summary Plan Forecast_July'!E54+'P6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Delivered'!J56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 ca="1">+E56+'P6 Summary Plan Forecast_Aug'!F56</f>
        <v>0</v>
      </c>
      <c r="G56" s="602">
        <f ca="1">+E56+'P6 Summary Plan Forecast_Aug'!G56</f>
        <v>23324.51161989104</v>
      </c>
      <c r="H56" s="51"/>
      <c r="I56" s="232"/>
      <c r="T56" s="770">
        <f ca="1">+E56+'P6 Summary Plan Forecast_Aug'!E56+'P6 Summary Plan Forecast_July'!E56</f>
        <v>0</v>
      </c>
      <c r="U56" s="771">
        <f ca="1">+T56-F56</f>
        <v>0</v>
      </c>
      <c r="V56" s="770">
        <f ca="1">+E56+'P6 Summary Plan Forecast_Aug'!E56+'P6 Summary Plan Forecast_July'!E56+'P6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>
      <c r="A58" s="46" t="s">
        <v>144</v>
      </c>
      <c r="B58" s="47">
        <f>SUM(B38:B56)</f>
        <v>9358601.7415905092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0">
        <f ca="1">+E58+'P6 Summary Plan Forecast_Aug'!E58+'P6 Summary Plan Forecast_July'!E58</f>
        <v>0</v>
      </c>
      <c r="U58" s="771">
        <f ca="1">+T58-F58</f>
        <v>0</v>
      </c>
      <c r="V58" s="770">
        <f ca="1">+E58+'P6 Summary Plan Forecast_Aug'!E58+'P6 Summary Plan Forecast_July'!E58+'P6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1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8"/>
      <c r="U59" s="769"/>
      <c r="V59" s="768"/>
      <c r="W59" s="769"/>
    </row>
    <row r="60" spans="1:23" ht="13.8" thickBot="1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72"/>
      <c r="U60" s="773"/>
      <c r="V60" s="772"/>
      <c r="W60" s="773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  <c r="T61" s="765"/>
      <c r="U61" s="765"/>
      <c r="V61" s="765"/>
      <c r="W61" s="765"/>
    </row>
    <row r="62" spans="1:23">
      <c r="B62" s="3"/>
      <c r="E62" s="160"/>
      <c r="F62" s="242"/>
      <c r="G62" s="242"/>
      <c r="H62" s="160"/>
      <c r="T62" s="765"/>
      <c r="U62" s="765"/>
      <c r="V62" s="765"/>
      <c r="W62" s="765"/>
    </row>
    <row r="63" spans="1:23">
      <c r="B63" s="3"/>
      <c r="E63" s="160"/>
      <c r="F63" s="160"/>
      <c r="G63" s="160"/>
      <c r="H63" s="160"/>
      <c r="T63" s="765"/>
      <c r="U63" s="765"/>
      <c r="V63" s="765"/>
      <c r="W63" s="765"/>
    </row>
    <row r="64" spans="1:23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51.75" customHeight="1">
      <c r="A1" s="780" t="s">
        <v>483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7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66" t="s">
        <v>131</v>
      </c>
      <c r="U5" s="767" t="s">
        <v>51</v>
      </c>
      <c r="V5" s="766" t="s">
        <v>132</v>
      </c>
      <c r="W5" s="767" t="s">
        <v>51</v>
      </c>
    </row>
    <row r="6" spans="1:23">
      <c r="A6" s="46" t="s">
        <v>141</v>
      </c>
      <c r="B6" s="47">
        <f ca="1">+'Summary Plan Retail Delivered'!I6</f>
        <v>10352319.1</v>
      </c>
      <c r="I6" s="232" t="s">
        <v>147</v>
      </c>
      <c r="T6" s="768"/>
      <c r="U6" s="769"/>
      <c r="V6" s="768"/>
      <c r="W6" s="769"/>
    </row>
    <row r="7" spans="1:23" ht="39.6">
      <c r="A7" s="1"/>
      <c r="B7" s="232"/>
      <c r="C7" s="232"/>
      <c r="F7" s="214" t="s">
        <v>463</v>
      </c>
      <c r="G7" s="214" t="s">
        <v>462</v>
      </c>
      <c r="O7" s="440">
        <f>+[3]Retail!$N$13</f>
        <v>10352319.1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Delivered'!I8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Delivered'!I10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 ca="1">+E10+'P6 Summary Plan Forecast_July'!F10</f>
        <v>0</v>
      </c>
      <c r="G10" s="602">
        <f ca="1">+E10+'P6 Summary Plan Forecast_July'!G10</f>
        <v>-641.70977687899085</v>
      </c>
      <c r="H10" s="238"/>
      <c r="I10" s="235"/>
      <c r="K10" s="236"/>
      <c r="N10" s="51"/>
      <c r="P10" s="81"/>
      <c r="T10" s="770">
        <f ca="1">+E10+'P6 Summary Plan Forecast_July'!E10</f>
        <v>0</v>
      </c>
      <c r="U10" s="771">
        <f ca="1">+T10-F10</f>
        <v>0</v>
      </c>
      <c r="V10" s="770">
        <f ca="1">+E10+'P6 Summary Plan Forecast_July'!E10+'P6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Delivered'!I12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 ca="1">+E12+'P6 Summary Plan Forecast_July'!F12</f>
        <v>0</v>
      </c>
      <c r="G12" s="602">
        <f ca="1">+E12+'P6 Summary Plan Forecast_July'!G12</f>
        <v>6647.7287483450054</v>
      </c>
      <c r="H12" s="238"/>
      <c r="I12" s="235"/>
      <c r="K12" s="236"/>
      <c r="N12" s="51"/>
      <c r="O12" s="5"/>
      <c r="T12" s="770">
        <f ca="1">+E12+'P6 Summary Plan Forecast_July'!E12</f>
        <v>0</v>
      </c>
      <c r="U12" s="771">
        <f ca="1">+T12-F12</f>
        <v>0</v>
      </c>
      <c r="V12" s="770">
        <f ca="1">+E12+'P6 Summary Plan Forecast_July'!E12+'P6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Delivered'!I14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 ca="1">+E14+'P6 Summary Plan Forecast_July'!F14</f>
        <v>0</v>
      </c>
      <c r="G14" s="602">
        <f ca="1">+E14+'P6 Summary Plan Forecast_July'!G14</f>
        <v>-60476.10363792815</v>
      </c>
      <c r="H14" s="238"/>
      <c r="I14" s="235"/>
      <c r="K14" s="236"/>
      <c r="N14" s="51"/>
      <c r="T14" s="770">
        <f ca="1">+E14+'P6 Summary Plan Forecast_July'!E14</f>
        <v>0</v>
      </c>
      <c r="U14" s="771">
        <f ca="1">+T14-F14</f>
        <v>0</v>
      </c>
      <c r="V14" s="770">
        <f ca="1">+E14+'P6 Summary Plan Forecast_July'!E14+'P6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Delivered'!I16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 ca="1">+E16+'P6 Summary Plan Forecast_July'!F16</f>
        <v>0</v>
      </c>
      <c r="G16" s="602">
        <f ca="1">+E16+'P6 Summary Plan Forecast_July'!G16</f>
        <v>-11230.05540265602</v>
      </c>
      <c r="H16" s="238"/>
      <c r="I16" s="235"/>
      <c r="K16" s="236"/>
      <c r="N16" s="51"/>
      <c r="T16" s="770">
        <f ca="1">+E16+'P6 Summary Plan Forecast_July'!E16</f>
        <v>0</v>
      </c>
      <c r="U16" s="771">
        <f ca="1">+T16-F16</f>
        <v>0</v>
      </c>
      <c r="V16" s="770">
        <f ca="1">+E16+'P6 Summary Plan Forecast_July'!E16+'P6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Delivered'!I18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 ca="1">+E18+'P6 Summary Plan Forecast_July'!F18</f>
        <v>0</v>
      </c>
      <c r="G18" s="602">
        <f ca="1">+E18+'P6 Summary Plan Forecast_July'!G18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 ca="1">+E18+'P6 Summary Plan Forecast_July'!E18</f>
        <v>0</v>
      </c>
      <c r="U18" s="771">
        <f ca="1">+T18-F18</f>
        <v>0</v>
      </c>
      <c r="V18" s="770">
        <f ca="1">+E18+'P6 Summary Plan Forecast_July'!E18+'P6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Delivered'!I20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 ca="1">+E20+'P6 Summary Plan Forecast_July'!F20</f>
        <v>0</v>
      </c>
      <c r="G20" s="602">
        <f ca="1">+E20+'P6 Summary Plan Forecast_July'!G20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 ca="1">+E20+'P6 Summary Plan Forecast_July'!E20</f>
        <v>0</v>
      </c>
      <c r="U20" s="771">
        <f ca="1">+T20-F20</f>
        <v>0</v>
      </c>
      <c r="V20" s="770">
        <f ca="1">+E20+'P6 Summary Plan Forecast_July'!E20+'P6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Delivered'!I22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 ca="1">+E22+'P6 Summary Plan Forecast_July'!F22</f>
        <v>0</v>
      </c>
      <c r="G22" s="602">
        <f ca="1">+E22+'P6 Summary Plan Forecast_July'!G22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 ca="1">+E22+'P6 Summary Plan Forecast_July'!E22</f>
        <v>0</v>
      </c>
      <c r="U22" s="771">
        <f ca="1">+T22-F22</f>
        <v>0</v>
      </c>
      <c r="V22" s="770">
        <f ca="1">+E22+'P6 Summary Plan Forecast_July'!E22+'P6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Delivered'!I24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 ca="1">+E24+'P6 Summary Plan Forecast_July'!F24</f>
        <v>0</v>
      </c>
      <c r="G24" s="602">
        <f ca="1">+E24+'P6 Summary Plan Forecast_July'!G24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 ca="1">+E24+'P6 Summary Plan Forecast_July'!E24</f>
        <v>0</v>
      </c>
      <c r="U24" s="771">
        <f ca="1">+T24-F24</f>
        <v>0</v>
      </c>
      <c r="V24" s="770">
        <f ca="1">+E24+'P6 Summary Plan Forecast_July'!E24+'P6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10352319.1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 ca="1">+E26+'P6 Summary Plan Forecast_July'!E26</f>
        <v>0</v>
      </c>
      <c r="U26" s="773">
        <f ca="1">+T26-F26</f>
        <v>0</v>
      </c>
      <c r="V26" s="772">
        <f ca="1">+E26+'P6 Summary Plan Forecast_July'!E26+'P6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Delivered'!I38</f>
        <v>10141327.767899016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Delivered'!I40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Delivered'!I42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 ca="1">+E42+'P6 Summary Plan Forecast_July'!F42</f>
        <v>0</v>
      </c>
      <c r="G42" s="602">
        <f ca="1">+E42+'P6 Summary Plan Forecast_July'!G42</f>
        <v>-491.82505887175989</v>
      </c>
      <c r="H42" s="51"/>
      <c r="I42" s="234"/>
      <c r="T42" s="770">
        <f ca="1">+E42+'P6 Summary Plan Forecast_July'!E42</f>
        <v>0</v>
      </c>
      <c r="U42" s="769">
        <f ca="1">+T42-F42</f>
        <v>0</v>
      </c>
      <c r="V42" s="770">
        <f ca="1">+E42+'P6 Summary Plan Forecast_July'!E42+'P6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69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Delivered'!I44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 ca="1">+E44+'P6 Summary Plan Forecast_July'!F44</f>
        <v>0</v>
      </c>
      <c r="G44" s="602">
        <f ca="1">+E44+'P6 Summary Plan Forecast_July'!G44</f>
        <v>-475.05273860621776</v>
      </c>
      <c r="H44" s="51"/>
      <c r="T44" s="770">
        <f ca="1">+E44+'P6 Summary Plan Forecast_July'!E44</f>
        <v>0</v>
      </c>
      <c r="U44" s="771">
        <f ca="1">+T44-F44</f>
        <v>0</v>
      </c>
      <c r="V44" s="770">
        <f ca="1">+E44+'P6 Summary Plan Forecast_July'!E44+'P6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Delivered'!I46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 ca="1">+E46+'P6 Summary Plan Forecast_July'!F46</f>
        <v>0</v>
      </c>
      <c r="G46" s="602">
        <f ca="1">+E46+'P6 Summary Plan Forecast_July'!G46</f>
        <v>20367.630782642045</v>
      </c>
      <c r="T46" s="770">
        <f ca="1">+E46+'P6 Summary Plan Forecast_July'!E46</f>
        <v>0</v>
      </c>
      <c r="U46" s="771">
        <f ca="1">+T46-F46</f>
        <v>0</v>
      </c>
      <c r="V46" s="770">
        <f ca="1">+E46+'P6 Summary Plan Forecast_July'!E46+'P6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Delivered'!I48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 ca="1">+E48+'P6 Summary Plan Forecast_July'!F48</f>
        <v>0</v>
      </c>
      <c r="G48" s="602">
        <f ca="1">+E48+'P6 Summary Plan Forecast_July'!G48</f>
        <v>-21019.925031443199</v>
      </c>
      <c r="H48" s="51"/>
      <c r="I48" s="235"/>
      <c r="T48" s="770">
        <f ca="1">+E48+'P6 Summary Plan Forecast_July'!E48</f>
        <v>0</v>
      </c>
      <c r="U48" s="771">
        <f ca="1">+T48-F48</f>
        <v>0</v>
      </c>
      <c r="V48" s="770">
        <f ca="1">+E48+'P6 Summary Plan Forecast_July'!E48+'P6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Delivered'!I38</f>
        <v>10141327.767899016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Delivered'!I50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 ca="1">+E50+'P6 Summary Plan Forecast_July'!F50</f>
        <v>0</v>
      </c>
      <c r="G50" s="602">
        <f ca="1">+E50+'P6 Summary Plan Forecast_July'!G50</f>
        <v>0</v>
      </c>
      <c r="H50" s="51"/>
      <c r="I50" s="235"/>
      <c r="T50" s="770">
        <f ca="1">+E50+'P6 Summary Plan Forecast_July'!E50</f>
        <v>0</v>
      </c>
      <c r="U50" s="771">
        <f ca="1">+T50-F50</f>
        <v>0</v>
      </c>
      <c r="V50" s="770">
        <f ca="1">+E50+'P6 Summary Plan Forecast_July'!E50+'P6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Delivered'!I52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 ca="1">+E52+'P6 Summary Plan Forecast_July'!F52</f>
        <v>0</v>
      </c>
      <c r="G52" s="602">
        <f ca="1">+E52+'P6 Summary Plan Forecast_July'!G52</f>
        <v>3818.5040101289064</v>
      </c>
      <c r="H52" s="183"/>
      <c r="I52" s="508"/>
      <c r="N52" s="510"/>
      <c r="O52" t="s">
        <v>139</v>
      </c>
      <c r="T52" s="770">
        <f ca="1">+E52+'P6 Summary Plan Forecast_July'!E52</f>
        <v>0</v>
      </c>
      <c r="U52" s="771">
        <f ca="1">+T52-F52</f>
        <v>0</v>
      </c>
      <c r="V52" s="770">
        <f ca="1">+E52+'P6 Summary Plan Forecast_July'!E52+'P6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 ca="1">+E54+'P6 Summary Plan Forecast_July'!F54</f>
        <v>0</v>
      </c>
      <c r="G54" s="602">
        <f ca="1">+E54+'P6 Summary Plan Forecast_July'!G54</f>
        <v>0</v>
      </c>
      <c r="H54" s="51"/>
      <c r="I54" s="235"/>
      <c r="T54" s="770">
        <f ca="1">+E54+'P6 Summary Plan Forecast_July'!E54</f>
        <v>0</v>
      </c>
      <c r="U54" s="771">
        <f ca="1">+T54-F54</f>
        <v>0</v>
      </c>
      <c r="V54" s="770">
        <f ca="1">+E54+'P6 Summary Plan Forecast_July'!E54+'P6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Delivered'!I56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 ca="1">+E56+'P6 Summary Plan Forecast_July'!F56</f>
        <v>0</v>
      </c>
      <c r="G56" s="602">
        <f ca="1">+E56+'P6 Summary Plan Forecast_July'!G56</f>
        <v>23324.51161989104</v>
      </c>
      <c r="H56" s="51"/>
      <c r="I56" s="232"/>
      <c r="T56" s="770">
        <f ca="1">+E56+'P6 Summary Plan Forecast_July'!E56</f>
        <v>0</v>
      </c>
      <c r="U56" s="771">
        <f ca="1">+T56-F56</f>
        <v>0</v>
      </c>
      <c r="V56" s="770">
        <f ca="1">+E56+'P6 Summary Plan Forecast_July'!E56+'P6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 ht="13.8" thickBot="1">
      <c r="A58" s="46" t="s">
        <v>144</v>
      </c>
      <c r="B58" s="47">
        <f>SUM(B38:B56)</f>
        <v>10141327.767899016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2">
        <f ca="1">+E58+'P6 Summary Plan Forecast_July'!E58</f>
        <v>0</v>
      </c>
      <c r="U58" s="773">
        <f ca="1">+T58-F58</f>
        <v>0</v>
      </c>
      <c r="V58" s="772">
        <f ca="1">+E58+'P6 Summary Plan Forecast_July'!E58+'P6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3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5"/>
      <c r="U59" s="765"/>
      <c r="V59" s="765"/>
      <c r="W59" s="765"/>
    </row>
    <row r="60" spans="1:23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65"/>
      <c r="U60" s="765"/>
      <c r="V60" s="765"/>
      <c r="W60" s="765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  <c r="T61" s="765"/>
      <c r="U61" s="765"/>
      <c r="V61" s="765"/>
      <c r="W61" s="765"/>
    </row>
    <row r="62" spans="1:23">
      <c r="B62" s="3"/>
      <c r="E62" s="160"/>
      <c r="F62" s="242"/>
      <c r="G62" s="242"/>
      <c r="H62" s="160"/>
      <c r="T62" s="765"/>
      <c r="U62" s="765"/>
      <c r="V62" s="765"/>
      <c r="W62" s="765"/>
    </row>
    <row r="63" spans="1:23">
      <c r="B63" s="3"/>
      <c r="E63" s="160"/>
      <c r="F63" s="160"/>
      <c r="G63" s="160"/>
      <c r="H63" s="160"/>
    </row>
    <row r="64" spans="1:23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2.33203125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50.25" customHeight="1">
      <c r="A1" s="780" t="s">
        <v>484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6</v>
      </c>
      <c r="C4" s="231"/>
      <c r="D4" s="232" t="s">
        <v>147</v>
      </c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66" t="s">
        <v>131</v>
      </c>
      <c r="U5" s="767" t="s">
        <v>51</v>
      </c>
      <c r="V5" s="766" t="s">
        <v>132</v>
      </c>
      <c r="W5" s="767" t="s">
        <v>51</v>
      </c>
    </row>
    <row r="6" spans="1:23">
      <c r="A6" s="46" t="s">
        <v>141</v>
      </c>
      <c r="B6" s="47">
        <f ca="1">+'Summary Plan Retail Delivered'!H6</f>
        <v>10831587.262999998</v>
      </c>
      <c r="I6" s="232" t="s">
        <v>147</v>
      </c>
      <c r="T6" s="768"/>
      <c r="U6" s="769"/>
      <c r="V6" s="768"/>
      <c r="W6" s="769"/>
    </row>
    <row r="7" spans="1:23" ht="26.4">
      <c r="A7" s="1"/>
      <c r="B7" s="232"/>
      <c r="C7" s="232"/>
      <c r="F7" s="123" t="s">
        <v>464</v>
      </c>
      <c r="G7" s="214" t="s">
        <v>462</v>
      </c>
      <c r="O7" s="440">
        <f>+[3]Retail!$N$12</f>
        <v>10831587.262999998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Delivered'!H8</f>
        <v>0</v>
      </c>
      <c r="C8" s="50">
        <f>O9</f>
        <v>0</v>
      </c>
      <c r="D8" s="234"/>
      <c r="H8" s="249" t="s">
        <v>281</v>
      </c>
      <c r="O8" s="509"/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0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Delivered'!H10</f>
        <v>0</v>
      </c>
      <c r="C10" s="50">
        <f>C8</f>
        <v>0</v>
      </c>
      <c r="D10" s="434">
        <f>+C10*B10/1000</f>
        <v>0</v>
      </c>
      <c r="E10" s="602">
        <f>D10</f>
        <v>0</v>
      </c>
      <c r="F10" s="602">
        <f>+E10</f>
        <v>0</v>
      </c>
      <c r="G10" s="602">
        <f ca="1">+E10+'P6 Summary Plan Forecast_June'!G10</f>
        <v>-641.70977687899085</v>
      </c>
      <c r="H10" s="238"/>
      <c r="I10" s="235"/>
      <c r="K10" s="236"/>
      <c r="N10" s="51"/>
      <c r="P10" s="81"/>
      <c r="T10" s="770">
        <f>+E10</f>
        <v>0</v>
      </c>
      <c r="U10" s="771">
        <f>+T10-F10</f>
        <v>0</v>
      </c>
      <c r="V10" s="770">
        <f ca="1">+E10+'P6 Summary Plan Forecast_June'!E10+'P6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Delivered'!H12</f>
        <v>0</v>
      </c>
      <c r="C12" s="50">
        <f>C10</f>
        <v>0</v>
      </c>
      <c r="D12" s="434">
        <f>+C12*B12/1000</f>
        <v>0</v>
      </c>
      <c r="E12" s="602">
        <f>D12</f>
        <v>0</v>
      </c>
      <c r="F12" s="602">
        <f>+E12</f>
        <v>0</v>
      </c>
      <c r="G12" s="602">
        <f ca="1">+E12+'P6 Summary Plan Forecast_June'!G12</f>
        <v>6647.7287483450054</v>
      </c>
      <c r="H12" s="238"/>
      <c r="I12" s="235"/>
      <c r="K12" s="236"/>
      <c r="N12" s="51"/>
      <c r="O12" s="5"/>
      <c r="T12" s="770">
        <f>+E12</f>
        <v>0</v>
      </c>
      <c r="U12" s="771">
        <f>+T12-F12</f>
        <v>0</v>
      </c>
      <c r="V12" s="770">
        <f ca="1">+E12+'P6 Summary Plan Forecast_June'!E12+'P6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Delivered'!H14</f>
        <v>0</v>
      </c>
      <c r="C14" s="50">
        <f>C12</f>
        <v>0</v>
      </c>
      <c r="D14" s="434">
        <f>+C14*B14/1000</f>
        <v>0</v>
      </c>
      <c r="E14" s="602">
        <f>D14</f>
        <v>0</v>
      </c>
      <c r="F14" s="602">
        <f>+E14</f>
        <v>0</v>
      </c>
      <c r="G14" s="602">
        <f ca="1">+E14+'P6 Summary Plan Forecast_June'!G14</f>
        <v>-60476.10363792815</v>
      </c>
      <c r="H14" s="238"/>
      <c r="I14" s="235"/>
      <c r="K14" s="236"/>
      <c r="N14" s="51"/>
      <c r="T14" s="770">
        <f>+E14</f>
        <v>0</v>
      </c>
      <c r="U14" s="771">
        <f>+T14-F14</f>
        <v>0</v>
      </c>
      <c r="V14" s="770">
        <f ca="1">+E14+'P6 Summary Plan Forecast_June'!E14+'P6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Delivered'!H16</f>
        <v>0</v>
      </c>
      <c r="C16" s="50">
        <f>C14</f>
        <v>0</v>
      </c>
      <c r="D16" s="434">
        <f>+C16*B16/1000</f>
        <v>0</v>
      </c>
      <c r="E16" s="602">
        <f>D16</f>
        <v>0</v>
      </c>
      <c r="F16" s="602">
        <f>+E16</f>
        <v>0</v>
      </c>
      <c r="G16" s="602">
        <f ca="1">+E16+'P6 Summary Plan Forecast_June'!G16</f>
        <v>-11230.05540265602</v>
      </c>
      <c r="H16" s="238"/>
      <c r="I16" s="235"/>
      <c r="K16" s="236"/>
      <c r="N16" s="51"/>
      <c r="T16" s="770">
        <f>+E16</f>
        <v>0</v>
      </c>
      <c r="U16" s="771">
        <f>+T16-F16</f>
        <v>0</v>
      </c>
      <c r="V16" s="770">
        <f ca="1">+E16+'P6 Summary Plan Forecast_June'!E16+'P6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Delivered'!H18</f>
        <v>0</v>
      </c>
      <c r="C18" s="50">
        <f>C16</f>
        <v>0</v>
      </c>
      <c r="D18" s="434">
        <f>+C18*B18/1000</f>
        <v>0</v>
      </c>
      <c r="E18" s="602">
        <f>D18</f>
        <v>0</v>
      </c>
      <c r="F18" s="602">
        <f>+E18</f>
        <v>0</v>
      </c>
      <c r="G18" s="602">
        <f ca="1">+E18+'P6 Summary Plan Forecast_June'!G18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>+E18</f>
        <v>0</v>
      </c>
      <c r="U18" s="771">
        <f>+T18-F18</f>
        <v>0</v>
      </c>
      <c r="V18" s="770">
        <f ca="1">+E18+'P6 Summary Plan Forecast_June'!E18+'P6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Delivered'!H20</f>
        <v>0</v>
      </c>
      <c r="C20" s="50">
        <f>C18</f>
        <v>0</v>
      </c>
      <c r="D20" s="434">
        <f>+C20*B20/1000</f>
        <v>0</v>
      </c>
      <c r="E20" s="602">
        <f>D20</f>
        <v>0</v>
      </c>
      <c r="F20" s="602">
        <f>+E20</f>
        <v>0</v>
      </c>
      <c r="G20" s="602">
        <f ca="1">+E20+'P6 Summary Plan Forecast_June'!G20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>+E20</f>
        <v>0</v>
      </c>
      <c r="U20" s="771">
        <f>+T20-F20</f>
        <v>0</v>
      </c>
      <c r="V20" s="770">
        <f ca="1">+E20+'P6 Summary Plan Forecast_June'!E20+'P6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Delivered'!H22</f>
        <v>0</v>
      </c>
      <c r="C22" s="50">
        <f>C20</f>
        <v>0</v>
      </c>
      <c r="D22" s="434">
        <f>+C22*B22/1000</f>
        <v>0</v>
      </c>
      <c r="E22" s="602">
        <f>D22</f>
        <v>0</v>
      </c>
      <c r="F22" s="602">
        <f>+E22</f>
        <v>0</v>
      </c>
      <c r="G22" s="602">
        <f ca="1">+E22+'P6 Summary Plan Forecast_June'!G22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>+E22</f>
        <v>0</v>
      </c>
      <c r="U22" s="771">
        <f>+T22-F22</f>
        <v>0</v>
      </c>
      <c r="V22" s="770">
        <f ca="1">+E22+'P6 Summary Plan Forecast_June'!E22+'P6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Delivered'!H24</f>
        <v>0</v>
      </c>
      <c r="C24" s="50">
        <f>+C20</f>
        <v>0</v>
      </c>
      <c r="D24" s="434">
        <f>+C24*B24/1000</f>
        <v>0</v>
      </c>
      <c r="E24" s="602">
        <f>D24</f>
        <v>0</v>
      </c>
      <c r="F24" s="602">
        <f>+E24</f>
        <v>0</v>
      </c>
      <c r="G24" s="602">
        <f ca="1">+E24+'P6 Summary Plan Forecast_June'!G24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>+E24</f>
        <v>0</v>
      </c>
      <c r="U24" s="771">
        <f>+T24-F24</f>
        <v>0</v>
      </c>
      <c r="V24" s="770">
        <f ca="1">+E24+'P6 Summary Plan Forecast_June'!E24+'P6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10831587.262999998</v>
      </c>
      <c r="C26" s="50">
        <f>+C24</f>
        <v>0</v>
      </c>
      <c r="D26" s="434">
        <f>SUM(D10:D25)</f>
        <v>0</v>
      </c>
      <c r="E26" s="602">
        <f>SUM(E10:E25)</f>
        <v>0</v>
      </c>
      <c r="F26" s="603">
        <f>SUM(F10:F25)</f>
        <v>0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>+E26</f>
        <v>0</v>
      </c>
      <c r="U26" s="773">
        <f>+T26-F26</f>
        <v>0</v>
      </c>
      <c r="V26" s="772">
        <f ca="1">+E26+'P6 Summary Plan Forecast_June'!E26+'P6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0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0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Delivered'!H38</f>
        <v>10136606.51374303</v>
      </c>
      <c r="T38" s="765"/>
      <c r="U38" s="765"/>
      <c r="V38" s="765"/>
      <c r="W38" s="765"/>
    </row>
    <row r="39" spans="1:23" ht="26.4">
      <c r="A39" s="1"/>
      <c r="B39" s="3"/>
      <c r="C39" s="232"/>
      <c r="T39" s="776" t="s">
        <v>131</v>
      </c>
      <c r="U39" s="777" t="s">
        <v>51</v>
      </c>
      <c r="V39" s="776" t="s">
        <v>132</v>
      </c>
      <c r="W39" s="777" t="s">
        <v>51</v>
      </c>
    </row>
    <row r="40" spans="1:23">
      <c r="A40" s="1" t="s">
        <v>12</v>
      </c>
      <c r="B40" s="31">
        <f ca="1">+'Summary Plan Retail Delivered'!H40</f>
        <v>0</v>
      </c>
      <c r="C40" s="237">
        <f>N53</f>
        <v>0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Delivered'!H42</f>
        <v>0</v>
      </c>
      <c r="C42" s="50">
        <f>C40</f>
        <v>0</v>
      </c>
      <c r="D42" s="434">
        <f>+C42*B42/1000</f>
        <v>0</v>
      </c>
      <c r="E42" s="432">
        <f>D42</f>
        <v>0</v>
      </c>
      <c r="F42" s="602">
        <f>+E42</f>
        <v>0</v>
      </c>
      <c r="G42" s="602">
        <f ca="1">+E42+'P6 Summary Plan Forecast_June'!G42</f>
        <v>-491.82505887175989</v>
      </c>
      <c r="H42" s="51"/>
      <c r="I42" s="234"/>
      <c r="T42" s="770">
        <f>+E42</f>
        <v>0</v>
      </c>
      <c r="U42" s="771">
        <f>+T42-F42</f>
        <v>0</v>
      </c>
      <c r="V42" s="768">
        <f ca="1">+E42+'P6 Summary Plan Forecast_June'!E42+'P6 Summary Plan Forecast_May'!E42+'P6 Summary Plan Forecast_April'!E42+'P6 Summary Plan Forecast_Mar'!E42+'P6 Summary Plan Forecast_Feb'!E42+'P6 Summary Plan Forecast_Jan'!E42</f>
        <v>-491.82505887175989</v>
      </c>
      <c r="W42" s="769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Delivered'!H44</f>
        <v>0</v>
      </c>
      <c r="C44" s="50">
        <f>C42</f>
        <v>0</v>
      </c>
      <c r="D44" s="434">
        <f>+C44*B44/1000</f>
        <v>0</v>
      </c>
      <c r="E44" s="432">
        <f>D44</f>
        <v>0</v>
      </c>
      <c r="F44" s="602">
        <f>+E44</f>
        <v>0</v>
      </c>
      <c r="G44" s="602">
        <f ca="1">+E44+'P6 Summary Plan Forecast_June'!G44</f>
        <v>-475.05273860621776</v>
      </c>
      <c r="H44" s="51"/>
      <c r="T44" s="770">
        <f>+E44</f>
        <v>0</v>
      </c>
      <c r="U44" s="771">
        <f>+T44-F44</f>
        <v>0</v>
      </c>
      <c r="V44" s="770">
        <f ca="1">+E44+'P6 Summary Plan Forecast_June'!E44+'P6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Delivered'!H46</f>
        <v>0</v>
      </c>
      <c r="C46" s="50">
        <f>C44</f>
        <v>0</v>
      </c>
      <c r="D46" s="434">
        <f>+C46*B46/1000</f>
        <v>0</v>
      </c>
      <c r="E46" s="432">
        <f>D46</f>
        <v>0</v>
      </c>
      <c r="F46" s="602">
        <f>+E46</f>
        <v>0</v>
      </c>
      <c r="G46" s="602">
        <f ca="1">+E46+'P6 Summary Plan Forecast_June'!G46</f>
        <v>20367.630782642045</v>
      </c>
      <c r="T46" s="770">
        <f>+E46</f>
        <v>0</v>
      </c>
      <c r="U46" s="771">
        <f>+T46-F46</f>
        <v>0</v>
      </c>
      <c r="V46" s="770">
        <f ca="1">+E46+'P6 Summary Plan Forecast_June'!E46+'P6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Delivered'!H48</f>
        <v>0</v>
      </c>
      <c r="C48" s="50">
        <f>C46</f>
        <v>0</v>
      </c>
      <c r="D48" s="434">
        <f>+C48*B48/1000</f>
        <v>0</v>
      </c>
      <c r="E48" s="432">
        <f>D48</f>
        <v>0</v>
      </c>
      <c r="F48" s="602">
        <f>+E48</f>
        <v>0</v>
      </c>
      <c r="G48" s="602">
        <f ca="1">+E48+'P6 Summary Plan Forecast_June'!G48</f>
        <v>-21019.925031443199</v>
      </c>
      <c r="H48" s="51"/>
      <c r="I48" s="235"/>
      <c r="T48" s="770">
        <f>+E48</f>
        <v>0</v>
      </c>
      <c r="U48" s="771">
        <f>+T48-F48</f>
        <v>0</v>
      </c>
      <c r="V48" s="770">
        <f ca="1">+E48+'P6 Summary Plan Forecast_June'!E48+'P6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Delivered'!H38</f>
        <v>10136606.51374303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Delivered'!H50</f>
        <v>0</v>
      </c>
      <c r="C50" s="50">
        <f>C48</f>
        <v>0</v>
      </c>
      <c r="D50" s="434">
        <f>+C50*B50/1000</f>
        <v>0</v>
      </c>
      <c r="E50" s="432">
        <f>D50</f>
        <v>0</v>
      </c>
      <c r="F50" s="602">
        <f>+E50</f>
        <v>0</v>
      </c>
      <c r="G50" s="602">
        <f ca="1">+E50+'P6 Summary Plan Forecast_June'!G50</f>
        <v>0</v>
      </c>
      <c r="H50" s="51"/>
      <c r="I50" s="235"/>
      <c r="T50" s="770">
        <f>+E50</f>
        <v>0</v>
      </c>
      <c r="U50" s="771">
        <f>+T50-F50</f>
        <v>0</v>
      </c>
      <c r="V50" s="770">
        <f ca="1">+E50+'P6 Summary Plan Forecast_June'!E50+'P6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Delivered'!H52</f>
        <v>0</v>
      </c>
      <c r="C52" s="50">
        <f>C48</f>
        <v>0</v>
      </c>
      <c r="D52" s="434">
        <f>+C52*B52/1000</f>
        <v>0</v>
      </c>
      <c r="E52" s="432">
        <f>D52</f>
        <v>0</v>
      </c>
      <c r="F52" s="602">
        <f>+E52</f>
        <v>0</v>
      </c>
      <c r="G52" s="602">
        <f ca="1">+E52+'P6 Summary Plan Forecast_June'!G52</f>
        <v>3818.5040101289064</v>
      </c>
      <c r="H52" s="183"/>
      <c r="I52" s="508"/>
      <c r="N52" s="510"/>
      <c r="O52" t="s">
        <v>139</v>
      </c>
      <c r="T52" s="770">
        <f>+E52</f>
        <v>0</v>
      </c>
      <c r="U52" s="771">
        <f>+T52-F52</f>
        <v>0</v>
      </c>
      <c r="V52" s="770">
        <f ca="1">+E52+'P6 Summary Plan Forecast_June'!E52+'P6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0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0</v>
      </c>
      <c r="D54" s="434">
        <f>+C54*B54/1000</f>
        <v>0</v>
      </c>
      <c r="E54" s="432">
        <f>D54</f>
        <v>0</v>
      </c>
      <c r="F54" s="602">
        <f>+E54</f>
        <v>0</v>
      </c>
      <c r="G54" s="602">
        <f ca="1">+E54+'P6 Summary Plan Forecast_June'!G54</f>
        <v>0</v>
      </c>
      <c r="H54" s="51"/>
      <c r="I54" s="235"/>
      <c r="T54" s="770">
        <f>+E54</f>
        <v>0</v>
      </c>
      <c r="U54" s="771">
        <f>+T54-F54</f>
        <v>0</v>
      </c>
      <c r="V54" s="770">
        <f ca="1">+E54+'P6 Summary Plan Forecast_June'!E54+'P6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Delivered'!H56</f>
        <v>0</v>
      </c>
      <c r="C56" s="50">
        <f>+C52</f>
        <v>0</v>
      </c>
      <c r="D56" s="434">
        <f>+C56*B56/1000</f>
        <v>0</v>
      </c>
      <c r="E56" s="432">
        <f>D56</f>
        <v>0</v>
      </c>
      <c r="F56" s="602">
        <f>+E56</f>
        <v>0</v>
      </c>
      <c r="G56" s="602">
        <f ca="1">+E56+'P6 Summary Plan Forecast_June'!G56</f>
        <v>23324.51161989104</v>
      </c>
      <c r="H56" s="51"/>
      <c r="I56" s="232"/>
      <c r="T56" s="770">
        <f>+E56</f>
        <v>0</v>
      </c>
      <c r="U56" s="771">
        <f>+T56-F56</f>
        <v>0</v>
      </c>
      <c r="V56" s="770">
        <f ca="1">+E56+'P6 Summary Plan Forecast_June'!E56+'P6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>
      <c r="A58" s="46" t="s">
        <v>144</v>
      </c>
      <c r="B58" s="47">
        <f>SUM(B38:B56)</f>
        <v>10136606.51374303</v>
      </c>
      <c r="C58" s="50">
        <f>C56</f>
        <v>0</v>
      </c>
      <c r="D58" s="432">
        <f>SUM(D42:D56)</f>
        <v>0</v>
      </c>
      <c r="E58" s="432">
        <f>SUM(E42:E56)</f>
        <v>0</v>
      </c>
      <c r="F58" s="439">
        <f>SUM(F42:F56)</f>
        <v>0</v>
      </c>
      <c r="G58" s="439">
        <f>SUM(G42:G56)</f>
        <v>25523.843583740814</v>
      </c>
      <c r="H58" s="51"/>
      <c r="I58" s="234"/>
      <c r="T58" s="770">
        <f>+E58</f>
        <v>0</v>
      </c>
      <c r="U58" s="771">
        <f>+T58-F58</f>
        <v>0</v>
      </c>
      <c r="V58" s="770">
        <f ca="1">+E58+'P6 Summary Plan Forecast_June'!E58+'P6 Summary Plan Forecast_May'!E58+'P6 Summary Plan Forecast_April'!E58+'P6 Summary Plan Forecast_Mar'!E58+'P6 Summary Plan Forecast_Feb'!E58+'P6 Summary Plan Forecast_Jan'!E58</f>
        <v>25523.843583740818</v>
      </c>
      <c r="W58" s="771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8"/>
      <c r="U59" s="769"/>
      <c r="V59" s="768"/>
      <c r="W59" s="769"/>
    </row>
    <row r="60" spans="1:23" ht="13.8" thickBot="1">
      <c r="A60" s="239" t="s">
        <v>140</v>
      </c>
      <c r="B60" s="3">
        <f>B58-B38</f>
        <v>0</v>
      </c>
      <c r="C60" s="50"/>
      <c r="D60" s="243"/>
      <c r="E60" s="242"/>
      <c r="F60" s="242"/>
      <c r="G60" s="242"/>
      <c r="H60" s="160"/>
      <c r="T60" s="772"/>
      <c r="U60" s="773"/>
      <c r="V60" s="772"/>
      <c r="W60" s="773"/>
    </row>
    <row r="61" spans="1:23">
      <c r="A61" s="1" t="s">
        <v>16</v>
      </c>
      <c r="B61" s="240">
        <f>(B58/B38)-1</f>
        <v>0</v>
      </c>
      <c r="E61" s="160"/>
      <c r="F61" s="242"/>
      <c r="G61" s="242"/>
      <c r="H61" s="160"/>
    </row>
    <row r="62" spans="1:23">
      <c r="B62" s="3"/>
      <c r="E62" s="160"/>
      <c r="F62" s="242"/>
      <c r="G62" s="242"/>
      <c r="H62" s="160"/>
    </row>
    <row r="63" spans="1:23">
      <c r="B63" s="3"/>
      <c r="E63" s="160"/>
      <c r="F63" s="160"/>
      <c r="G63" s="160"/>
      <c r="H63" s="160"/>
    </row>
    <row r="64" spans="1:23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  <col min="17" max="19" width="9.109375" customWidth="1"/>
  </cols>
  <sheetData>
    <row r="1" spans="1:23" ht="51" customHeight="1">
      <c r="A1" s="780" t="s">
        <v>485</v>
      </c>
    </row>
    <row r="2" spans="1:23" ht="13.8">
      <c r="A2" s="436" t="s">
        <v>142</v>
      </c>
      <c r="T2" s="787" t="s">
        <v>461</v>
      </c>
      <c r="U2" s="787"/>
      <c r="V2" s="787"/>
      <c r="W2" s="787"/>
    </row>
    <row r="3" spans="1:23">
      <c r="J3" s="281"/>
      <c r="T3" s="765"/>
      <c r="U3" s="765"/>
      <c r="V3" s="765"/>
      <c r="W3" s="765"/>
    </row>
    <row r="4" spans="1:23" ht="13.8" thickBot="1">
      <c r="A4" s="1"/>
      <c r="B4" s="230" t="s">
        <v>5</v>
      </c>
      <c r="C4" s="231"/>
      <c r="D4" s="231"/>
      <c r="E4" s="231"/>
      <c r="F4" s="231"/>
      <c r="G4" s="231"/>
      <c r="H4" s="231"/>
      <c r="I4" s="231"/>
      <c r="J4" s="231"/>
      <c r="K4" s="231"/>
      <c r="T4" s="765"/>
      <c r="U4" s="765"/>
      <c r="V4" s="765"/>
      <c r="W4" s="765"/>
    </row>
    <row r="5" spans="1:23" ht="26.4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  <c r="T5" s="766" t="s">
        <v>131</v>
      </c>
      <c r="U5" s="767" t="s">
        <v>51</v>
      </c>
      <c r="V5" s="766" t="s">
        <v>132</v>
      </c>
      <c r="W5" s="767" t="s">
        <v>51</v>
      </c>
    </row>
    <row r="6" spans="1:23">
      <c r="A6" s="46" t="s">
        <v>141</v>
      </c>
      <c r="B6" s="47">
        <f ca="1">+'Summary Plan Retail Delivered'!G6</f>
        <v>10107182.301000001</v>
      </c>
      <c r="I6" s="232" t="s">
        <v>147</v>
      </c>
      <c r="T6" s="768"/>
      <c r="U6" s="769"/>
      <c r="V6" s="768"/>
      <c r="W6" s="769"/>
    </row>
    <row r="7" spans="1:23">
      <c r="A7" s="1"/>
      <c r="B7" s="232"/>
      <c r="C7" s="232"/>
      <c r="O7" s="440">
        <f>+[3]Retail!$N$11</f>
        <v>10107182.301000001</v>
      </c>
      <c r="P7" t="s">
        <v>133</v>
      </c>
      <c r="T7" s="768"/>
      <c r="U7" s="769"/>
      <c r="V7" s="768"/>
      <c r="W7" s="769"/>
    </row>
    <row r="8" spans="1:23">
      <c r="A8" s="1" t="s">
        <v>12</v>
      </c>
      <c r="B8" s="31">
        <f ca="1">+'Summary Plan Retail Delivered'!G8</f>
        <v>56764.826337752391</v>
      </c>
      <c r="C8" s="50">
        <f>O9</f>
        <v>40.695415556055075</v>
      </c>
      <c r="D8" s="234"/>
      <c r="I8" s="249" t="s">
        <v>281</v>
      </c>
      <c r="O8" s="509">
        <f ca="1">+June_Prices!E16</f>
        <v>411315.98384</v>
      </c>
      <c r="P8" t="s">
        <v>134</v>
      </c>
      <c r="T8" s="768"/>
      <c r="U8" s="769"/>
      <c r="V8" s="768"/>
      <c r="W8" s="769"/>
    </row>
    <row r="9" spans="1:23">
      <c r="A9" s="1"/>
      <c r="B9" s="3"/>
      <c r="C9" s="50"/>
      <c r="D9" s="234"/>
      <c r="O9" s="50">
        <f>O8/O7*1000</f>
        <v>40.695415556055075</v>
      </c>
      <c r="T9" s="768"/>
      <c r="U9" s="769"/>
      <c r="V9" s="768"/>
      <c r="W9" s="769"/>
    </row>
    <row r="10" spans="1:23">
      <c r="A10" s="1" t="s">
        <v>106</v>
      </c>
      <c r="B10" s="31">
        <f ca="1">+'Summary Plan Retail Delivered'!G10</f>
        <v>1960.5975711386004</v>
      </c>
      <c r="C10" s="50">
        <f>C8</f>
        <v>40.695415556055075</v>
      </c>
      <c r="D10" s="434">
        <f>+C10*B10/1000</f>
        <v>79.787332895677594</v>
      </c>
      <c r="E10" s="602">
        <f>D10</f>
        <v>79.787332895677594</v>
      </c>
      <c r="F10" s="602">
        <f ca="1">+E10+'P6 Summary Plan Forecast_May'!F10</f>
        <v>646.0383236730479</v>
      </c>
      <c r="G10" s="602">
        <f ca="1">+E10+'P6 Summary Plan Forecast_May'!G10</f>
        <v>-641.70977687899085</v>
      </c>
      <c r="H10" s="238"/>
      <c r="I10" s="235"/>
      <c r="K10" s="236"/>
      <c r="N10" s="51"/>
      <c r="P10" s="81"/>
      <c r="T10" s="770">
        <f ca="1">+E10+'P6 Summary Plan Forecast_May'!E10+'P6 Summary Plan Forecast_April'!F10</f>
        <v>646.0383236730479</v>
      </c>
      <c r="U10" s="771">
        <f ca="1">+T10-F10</f>
        <v>0</v>
      </c>
      <c r="V10" s="770">
        <f ca="1">+E10+'P6 Summary Plan Forecast_May'!E10+'P6 Summary Plan Forecast_April'!E10+'P6 Summary Plan Forecast_Mar'!E10+'P6 Summary Plan Forecast_Feb'!E10+'P6 Summary Plan Forecast_Jan'!E10</f>
        <v>-641.70977687899085</v>
      </c>
      <c r="W10" s="771">
        <f>+V10-G10</f>
        <v>0</v>
      </c>
    </row>
    <row r="11" spans="1:23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N11" s="51"/>
      <c r="O11" s="5"/>
      <c r="T11" s="768"/>
      <c r="U11" s="769"/>
      <c r="V11" s="768"/>
      <c r="W11" s="769"/>
    </row>
    <row r="12" spans="1:23">
      <c r="A12" s="1" t="s">
        <v>13</v>
      </c>
      <c r="B12" s="31">
        <f ca="1">+'Summary Plan Retail Delivered'!G12</f>
        <v>27669.417310725024</v>
      </c>
      <c r="C12" s="50">
        <f>C10</f>
        <v>40.695415556055075</v>
      </c>
      <c r="D12" s="434">
        <f>+C12*B12/1000</f>
        <v>1126.0184356538589</v>
      </c>
      <c r="E12" s="602">
        <f>D12</f>
        <v>1126.0184356538589</v>
      </c>
      <c r="F12" s="602">
        <f ca="1">+E12+'P6 Summary Plan Forecast_May'!F12</f>
        <v>3548.475902844732</v>
      </c>
      <c r="G12" s="602">
        <f ca="1">+E12+'P6 Summary Plan Forecast_May'!G12</f>
        <v>6647.7287483450054</v>
      </c>
      <c r="H12" s="238"/>
      <c r="I12" s="235"/>
      <c r="K12" s="236"/>
      <c r="N12" s="51"/>
      <c r="O12" s="5"/>
      <c r="T12" s="770">
        <f ca="1">+E12+'P6 Summary Plan Forecast_May'!E12+'P6 Summary Plan Forecast_April'!F12</f>
        <v>3548.475902844732</v>
      </c>
      <c r="U12" s="771">
        <f ca="1">+T12-F12</f>
        <v>0</v>
      </c>
      <c r="V12" s="770">
        <f ca="1">+E12+'P6 Summary Plan Forecast_May'!E12+'P6 Summary Plan Forecast_April'!E12+'P6 Summary Plan Forecast_Mar'!E12+'P6 Summary Plan Forecast_Feb'!E12+'P6 Summary Plan Forecast_Jan'!E12</f>
        <v>6647.7287483450064</v>
      </c>
      <c r="W12" s="771">
        <f>+V12-G12</f>
        <v>0</v>
      </c>
    </row>
    <row r="13" spans="1:23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N13" s="51"/>
      <c r="O13" s="81"/>
      <c r="T13" s="768"/>
      <c r="U13" s="769"/>
      <c r="V13" s="768"/>
      <c r="W13" s="769"/>
    </row>
    <row r="14" spans="1:23">
      <c r="A14" s="1" t="s">
        <v>35</v>
      </c>
      <c r="B14" s="31">
        <f ca="1">+'Summary Plan Retail Delivered'!G14</f>
        <v>-353538.39993776212</v>
      </c>
      <c r="C14" s="50">
        <f>C12</f>
        <v>40.695415556055075</v>
      </c>
      <c r="D14" s="434">
        <f>+C14*B14/1000</f>
        <v>-14387.392100490024</v>
      </c>
      <c r="E14" s="602">
        <f>D14</f>
        <v>-14387.392100490024</v>
      </c>
      <c r="F14" s="602">
        <f ca="1">+E14+'P6 Summary Plan Forecast_May'!F14</f>
        <v>-76544.605182492058</v>
      </c>
      <c r="G14" s="602">
        <f ca="1">+E14+'P6 Summary Plan Forecast_May'!G14</f>
        <v>-60476.10363792815</v>
      </c>
      <c r="H14" s="238"/>
      <c r="I14" s="235"/>
      <c r="K14" s="236"/>
      <c r="N14" s="51"/>
      <c r="T14" s="770">
        <f ca="1">+E14+'P6 Summary Plan Forecast_May'!E14+'P6 Summary Plan Forecast_April'!F14</f>
        <v>-76544.605182492058</v>
      </c>
      <c r="U14" s="771">
        <f ca="1">+T14-F14</f>
        <v>0</v>
      </c>
      <c r="V14" s="770">
        <f ca="1">+E14+'P6 Summary Plan Forecast_May'!E14+'P6 Summary Plan Forecast_April'!E14+'P6 Summary Plan Forecast_Mar'!E14+'P6 Summary Plan Forecast_Feb'!E14+'P6 Summary Plan Forecast_Jan'!E14</f>
        <v>-60476.10363792815</v>
      </c>
      <c r="W14" s="771">
        <f>+V14-G14</f>
        <v>0</v>
      </c>
    </row>
    <row r="15" spans="1:23">
      <c r="A15" s="1"/>
      <c r="B15" s="3"/>
      <c r="C15" s="50"/>
      <c r="D15" s="434"/>
      <c r="E15" s="602"/>
      <c r="F15" s="602"/>
      <c r="G15" s="602"/>
      <c r="H15" s="238"/>
      <c r="I15" s="235"/>
      <c r="K15" s="236"/>
      <c r="N15" s="51"/>
      <c r="T15" s="768"/>
      <c r="U15" s="769"/>
      <c r="V15" s="768"/>
      <c r="W15" s="769"/>
    </row>
    <row r="16" spans="1:23">
      <c r="A16" s="1" t="s">
        <v>36</v>
      </c>
      <c r="B16" s="31">
        <f ca="1">+'Summary Plan Retail Delivered'!G16</f>
        <v>0</v>
      </c>
      <c r="C16" s="50">
        <f>C14</f>
        <v>40.695415556055075</v>
      </c>
      <c r="D16" s="434">
        <f>+C16*B16/1000</f>
        <v>0</v>
      </c>
      <c r="E16" s="602">
        <f>D16</f>
        <v>0</v>
      </c>
      <c r="F16" s="602">
        <f ca="1">+E16+'P6 Summary Plan Forecast_May'!F16</f>
        <v>0</v>
      </c>
      <c r="G16" s="602">
        <f ca="1">+E16+'P6 Summary Plan Forecast_May'!G16</f>
        <v>-11230.05540265602</v>
      </c>
      <c r="H16" s="238"/>
      <c r="I16" s="235"/>
      <c r="K16" s="236"/>
      <c r="N16" s="51"/>
      <c r="T16" s="770">
        <f ca="1">+E16+'P6 Summary Plan Forecast_May'!E16+'P6 Summary Plan Forecast_April'!F16</f>
        <v>0</v>
      </c>
      <c r="U16" s="771">
        <f ca="1">+T16-F16</f>
        <v>0</v>
      </c>
      <c r="V16" s="770">
        <f ca="1">+E16+'P6 Summary Plan Forecast_May'!E16+'P6 Summary Plan Forecast_April'!E16+'P6 Summary Plan Forecast_Mar'!E16+'P6 Summary Plan Forecast_Feb'!E16+'P6 Summary Plan Forecast_Jan'!E16</f>
        <v>-11230.055402656018</v>
      </c>
      <c r="W16" s="771">
        <f>+V16-G16</f>
        <v>0</v>
      </c>
    </row>
    <row r="17" spans="1:23">
      <c r="A17" s="1"/>
      <c r="B17" s="3"/>
      <c r="C17" s="50"/>
      <c r="D17" s="434"/>
      <c r="E17" s="602"/>
      <c r="F17" s="602"/>
      <c r="G17" s="602"/>
      <c r="H17" s="238"/>
      <c r="I17" s="235"/>
      <c r="K17" s="236"/>
      <c r="N17" s="51"/>
      <c r="T17" s="768"/>
      <c r="U17" s="769"/>
      <c r="V17" s="768"/>
      <c r="W17" s="769"/>
    </row>
    <row r="18" spans="1:23">
      <c r="A18" s="1" t="s">
        <v>135</v>
      </c>
      <c r="B18" s="31">
        <f ca="1">+'Summary Plan Retail Delivered'!G18</f>
        <v>-88027.53392488572</v>
      </c>
      <c r="C18" s="50">
        <f>C16</f>
        <v>40.695415556055075</v>
      </c>
      <c r="D18" s="434">
        <f>+C18*B18/1000</f>
        <v>-3582.31707344796</v>
      </c>
      <c r="E18" s="602">
        <f>D18</f>
        <v>-3582.31707344796</v>
      </c>
      <c r="F18" s="602">
        <f ca="1">+E18+'P6 Summary Plan Forecast_May'!F18</f>
        <v>-7493.9606854930089</v>
      </c>
      <c r="G18" s="602">
        <f ca="1">+E18+'P6 Summary Plan Forecast_May'!G18</f>
        <v>-8979.2892787995188</v>
      </c>
      <c r="H18" s="238"/>
      <c r="I18" s="281"/>
      <c r="J18" s="160"/>
      <c r="K18" s="282"/>
      <c r="L18" s="160"/>
      <c r="M18" s="160"/>
      <c r="N18" s="51"/>
      <c r="P18" s="160"/>
      <c r="Q18" s="160"/>
      <c r="R18" s="160"/>
      <c r="S18" s="160"/>
      <c r="T18" s="770">
        <f ca="1">+E18+'P6 Summary Plan Forecast_May'!E18+'P6 Summary Plan Forecast_April'!F18</f>
        <v>-7493.9606854930089</v>
      </c>
      <c r="U18" s="771">
        <f ca="1">+T18-F18</f>
        <v>0</v>
      </c>
      <c r="V18" s="770">
        <f ca="1">+E18+'P6 Summary Plan Forecast_May'!E18+'P6 Summary Plan Forecast_April'!E18+'P6 Summary Plan Forecast_Mar'!E18+'P6 Summary Plan Forecast_Feb'!E18+'P6 Summary Plan Forecast_Jan'!E18</f>
        <v>-8979.289278799517</v>
      </c>
      <c r="W18" s="771">
        <f>+V18-G18</f>
        <v>0</v>
      </c>
    </row>
    <row r="19" spans="1:23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51"/>
      <c r="O19" s="160"/>
      <c r="P19" s="160"/>
      <c r="Q19" s="160"/>
      <c r="R19" s="160"/>
      <c r="S19" s="160"/>
      <c r="T19" s="768"/>
      <c r="U19" s="769"/>
      <c r="V19" s="768"/>
      <c r="W19" s="769"/>
    </row>
    <row r="20" spans="1:23">
      <c r="A20" s="1" t="s">
        <v>57</v>
      </c>
      <c r="B20" s="31">
        <f ca="1">+'Summary Plan Retail Delivered'!G20</f>
        <v>49724.191318074358</v>
      </c>
      <c r="C20" s="50">
        <f>C18</f>
        <v>40.695415556055075</v>
      </c>
      <c r="D20" s="434">
        <f>+C20*B20/1000</f>
        <v>2023.5466288778218</v>
      </c>
      <c r="E20" s="602">
        <f>D20</f>
        <v>2023.5466288778218</v>
      </c>
      <c r="F20" s="602">
        <f ca="1">+E20+'P6 Summary Plan Forecast_May'!F20</f>
        <v>5851.0188753223892</v>
      </c>
      <c r="G20" s="602">
        <f ca="1">+E20+'P6 Summary Plan Forecast_May'!G20</f>
        <v>11847.600957775629</v>
      </c>
      <c r="H20" s="238"/>
      <c r="I20" s="284"/>
      <c r="J20" s="160"/>
      <c r="K20" s="282"/>
      <c r="L20" s="160"/>
      <c r="M20" s="160"/>
      <c r="N20" s="51"/>
      <c r="O20" s="285"/>
      <c r="P20" s="160"/>
      <c r="Q20" s="160"/>
      <c r="R20" s="160"/>
      <c r="S20" s="160"/>
      <c r="T20" s="770">
        <f ca="1">+E20+'P6 Summary Plan Forecast_May'!E20+'P6 Summary Plan Forecast_April'!F20</f>
        <v>5851.0188753223892</v>
      </c>
      <c r="U20" s="771">
        <f ca="1">+T20-F20</f>
        <v>0</v>
      </c>
      <c r="V20" s="770">
        <f ca="1">+E20+'P6 Summary Plan Forecast_May'!E20+'P6 Summary Plan Forecast_April'!E20+'P6 Summary Plan Forecast_Mar'!E20+'P6 Summary Plan Forecast_Feb'!E20+'P6 Summary Plan Forecast_Jan'!E20</f>
        <v>11847.600957775629</v>
      </c>
      <c r="W20" s="771">
        <f>+V20-G20</f>
        <v>0</v>
      </c>
    </row>
    <row r="21" spans="1:23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51"/>
      <c r="O21" s="160"/>
      <c r="P21" s="160"/>
      <c r="Q21" s="160"/>
      <c r="R21" s="160"/>
      <c r="S21" s="160"/>
      <c r="T21" s="768"/>
      <c r="U21" s="769"/>
      <c r="V21" s="768"/>
      <c r="W21" s="769"/>
    </row>
    <row r="22" spans="1:23" ht="12" customHeight="1">
      <c r="A22" s="1" t="s">
        <v>83</v>
      </c>
      <c r="B22" s="3">
        <f ca="1">'Summary Plan Retail Delivered'!G22</f>
        <v>-360696.44402555423</v>
      </c>
      <c r="C22" s="50">
        <f>C20</f>
        <v>40.695415556055075</v>
      </c>
      <c r="D22" s="434">
        <f>+C22*B22/1000</f>
        <v>-14678.691679211288</v>
      </c>
      <c r="E22" s="602">
        <f>D22</f>
        <v>-14678.691679211288</v>
      </c>
      <c r="F22" s="602">
        <f ca="1">+E22+'P6 Summary Plan Forecast_May'!F22</f>
        <v>-10202.679108240853</v>
      </c>
      <c r="G22" s="602">
        <f ca="1">+E22+'P6 Summary Plan Forecast_May'!G22</f>
        <v>-7850.6712570793024</v>
      </c>
      <c r="H22" s="238"/>
      <c r="I22" s="284"/>
      <c r="J22" s="160"/>
      <c r="K22" s="160"/>
      <c r="L22" s="160"/>
      <c r="M22" s="160"/>
      <c r="N22" s="51"/>
      <c r="O22" s="286"/>
      <c r="P22" s="160"/>
      <c r="Q22" s="160"/>
      <c r="R22" s="160"/>
      <c r="S22" s="160"/>
      <c r="T22" s="770">
        <f ca="1">+E22+'P6 Summary Plan Forecast_May'!E22+'P6 Summary Plan Forecast_April'!F22</f>
        <v>-10202.679108240853</v>
      </c>
      <c r="U22" s="771">
        <f ca="1">+T22-F22</f>
        <v>0</v>
      </c>
      <c r="V22" s="770">
        <f ca="1">+E22+'P6 Summary Plan Forecast_May'!E22+'P6 Summary Plan Forecast_April'!E22+'P6 Summary Plan Forecast_Mar'!E22+'P6 Summary Plan Forecast_Feb'!E22+'P6 Summary Plan Forecast_Jan'!E22</f>
        <v>-7850.6712570793024</v>
      </c>
      <c r="W22" s="771">
        <f>+V22-G22</f>
        <v>0</v>
      </c>
    </row>
    <row r="23" spans="1:23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51"/>
      <c r="O23" s="160"/>
      <c r="P23" s="160"/>
      <c r="Q23" s="160"/>
      <c r="R23" s="160"/>
      <c r="S23" s="160"/>
      <c r="T23" s="768"/>
      <c r="U23" s="769"/>
      <c r="V23" s="768"/>
      <c r="W23" s="769"/>
    </row>
    <row r="24" spans="1:23">
      <c r="A24" s="1" t="s">
        <v>14</v>
      </c>
      <c r="B24" s="31">
        <f ca="1">+'Summary Plan Retail Delivered'!G24</f>
        <v>-657.08046061918139</v>
      </c>
      <c r="C24" s="50">
        <f>+C20</f>
        <v>40.695415556055075</v>
      </c>
      <c r="D24" s="434">
        <f>+C24*B24/1000</f>
        <v>-26.740162398661667</v>
      </c>
      <c r="E24" s="602">
        <f>D24</f>
        <v>-26.740162398661667</v>
      </c>
      <c r="F24" s="602">
        <f ca="1">+E24+'P6 Summary Plan Forecast_May'!F24</f>
        <v>15188.886824697067</v>
      </c>
      <c r="G24" s="602">
        <f ca="1">+E24+'P6 Summary Plan Forecast_May'!G24</f>
        <v>31229.258883597355</v>
      </c>
      <c r="H24" s="238"/>
      <c r="I24" s="284"/>
      <c r="J24" s="160"/>
      <c r="K24" s="160"/>
      <c r="L24" s="160"/>
      <c r="M24" s="160"/>
      <c r="N24" s="51"/>
      <c r="O24" s="287"/>
      <c r="P24" s="160"/>
      <c r="Q24" s="160"/>
      <c r="R24" s="160"/>
      <c r="S24" s="160"/>
      <c r="T24" s="770">
        <f ca="1">+E24+'P6 Summary Plan Forecast_May'!E24+'P6 Summary Plan Forecast_April'!F24</f>
        <v>15188.886824697067</v>
      </c>
      <c r="U24" s="771">
        <f ca="1">+T24-F24</f>
        <v>0</v>
      </c>
      <c r="V24" s="770">
        <f ca="1">+E24+'P6 Summary Plan Forecast_May'!E24+'P6 Summary Plan Forecast_April'!E24+'P6 Summary Plan Forecast_Mar'!E24+'P6 Summary Plan Forecast_Feb'!E24+'P6 Summary Plan Forecast_Jan'!E24</f>
        <v>31229.258883597358</v>
      </c>
      <c r="W24" s="771">
        <f>+V24-G24</f>
        <v>0</v>
      </c>
    </row>
    <row r="25" spans="1:23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51"/>
      <c r="O25" s="160"/>
      <c r="P25" s="160"/>
      <c r="Q25" s="160"/>
      <c r="R25" s="160"/>
      <c r="S25" s="160"/>
      <c r="T25" s="768"/>
      <c r="U25" s="769"/>
      <c r="V25" s="768"/>
      <c r="W25" s="769"/>
    </row>
    <row r="26" spans="1:23" ht="13.8" thickBot="1">
      <c r="A26" s="46" t="s">
        <v>144</v>
      </c>
      <c r="B26" s="47">
        <f>SUM(B6:B24)</f>
        <v>9440381.8751888722</v>
      </c>
      <c r="C26" s="50">
        <f>+C24</f>
        <v>40.695415556055075</v>
      </c>
      <c r="D26" s="434">
        <f>SUM(D10:D25)</f>
        <v>-29445.788618120572</v>
      </c>
      <c r="E26" s="602">
        <f>SUM(E10:E25)</f>
        <v>-29445.788618120572</v>
      </c>
      <c r="F26" s="774">
        <f>SUM(F10:F25)</f>
        <v>-69006.825049688676</v>
      </c>
      <c r="G26" s="603">
        <f>SUM(G10:G25)</f>
        <v>-39453.240763623995</v>
      </c>
      <c r="H26" s="234"/>
      <c r="I26" s="284"/>
      <c r="J26" s="160"/>
      <c r="K26" s="160"/>
      <c r="L26" s="160"/>
      <c r="M26" s="160"/>
      <c r="N26" s="51"/>
      <c r="O26" s="160"/>
      <c r="P26" s="160"/>
      <c r="Q26" s="160"/>
      <c r="R26" s="160"/>
      <c r="S26" s="160"/>
      <c r="T26" s="772">
        <f ca="1">+E26+'P6 Summary Plan Forecast_May'!E26+'P6 Summary Plan Forecast_April'!F26</f>
        <v>-69006.825049688676</v>
      </c>
      <c r="U26" s="773">
        <f ca="1">+T26-F26</f>
        <v>0</v>
      </c>
      <c r="V26" s="772">
        <f ca="1">+E26+'P6 Summary Plan Forecast_May'!E26+'P6 Summary Plan Forecast_April'!E26+'P6 Summary Plan Forecast_Mar'!E26+'P6 Summary Plan Forecast_Feb'!E26+'P6 Summary Plan Forecast_Jan'!E26</f>
        <v>-39453.240763623973</v>
      </c>
      <c r="W26" s="773">
        <f>+V26-G26</f>
        <v>0</v>
      </c>
    </row>
    <row r="27" spans="1:23">
      <c r="A27" s="1"/>
      <c r="B27" s="3"/>
      <c r="F27" s="233"/>
      <c r="T27" s="765"/>
      <c r="U27" s="765"/>
      <c r="V27" s="765"/>
      <c r="W27" s="765"/>
    </row>
    <row r="28" spans="1:23">
      <c r="A28" s="239" t="s">
        <v>136</v>
      </c>
      <c r="B28" s="3">
        <f>B26-B6</f>
        <v>-666800.42581112869</v>
      </c>
      <c r="E28" s="238"/>
      <c r="F28" s="238"/>
      <c r="G28" s="238"/>
      <c r="T28" s="765"/>
      <c r="U28" s="765"/>
      <c r="V28" s="765"/>
      <c r="W28" s="765"/>
    </row>
    <row r="29" spans="1:23">
      <c r="A29" s="1" t="s">
        <v>15</v>
      </c>
      <c r="B29" s="240">
        <f>B28/B6</f>
        <v>-6.5972929541911571E-2</v>
      </c>
      <c r="T29" s="765"/>
      <c r="U29" s="765"/>
      <c r="V29" s="765"/>
      <c r="W29" s="765"/>
    </row>
    <row r="30" spans="1:23">
      <c r="T30" s="765"/>
      <c r="U30" s="765"/>
      <c r="V30" s="765"/>
      <c r="W30" s="765"/>
    </row>
    <row r="31" spans="1:23">
      <c r="B31" s="5"/>
      <c r="T31" s="765"/>
      <c r="U31" s="765"/>
      <c r="V31" s="765"/>
      <c r="W31" s="765"/>
    </row>
    <row r="32" spans="1:23">
      <c r="T32" s="765"/>
      <c r="U32" s="765"/>
      <c r="V32" s="765"/>
      <c r="W32" s="765"/>
    </row>
    <row r="33" spans="1:23">
      <c r="B33" s="5"/>
      <c r="C33" s="5"/>
      <c r="D33" s="5"/>
      <c r="E33" s="5"/>
      <c r="F33" s="5"/>
      <c r="T33" s="765"/>
      <c r="U33" s="765"/>
      <c r="V33" s="765"/>
      <c r="W33" s="765"/>
    </row>
    <row r="34" spans="1:23" ht="13.8">
      <c r="A34" s="436" t="s">
        <v>143</v>
      </c>
      <c r="T34" s="765"/>
      <c r="U34" s="765"/>
      <c r="V34" s="765"/>
      <c r="W34" s="765"/>
    </row>
    <row r="35" spans="1:23">
      <c r="T35" s="765"/>
      <c r="U35" s="765"/>
      <c r="V35" s="765"/>
      <c r="W35" s="765"/>
    </row>
    <row r="36" spans="1:23">
      <c r="A36" s="1"/>
      <c r="B36" s="241"/>
      <c r="T36" s="765"/>
      <c r="U36" s="765"/>
      <c r="V36" s="765"/>
      <c r="W36" s="765"/>
    </row>
    <row r="37" spans="1:23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  <c r="T37" s="765"/>
      <c r="U37" s="765"/>
      <c r="V37" s="765"/>
      <c r="W37" s="765"/>
    </row>
    <row r="38" spans="1:23" ht="13.8" thickBot="1">
      <c r="A38" s="46" t="s">
        <v>145</v>
      </c>
      <c r="B38" s="47">
        <f ca="1">+'Summary Plan Retail Delivered'!G38</f>
        <v>9394500.5609653965</v>
      </c>
      <c r="T38" s="765"/>
      <c r="U38" s="765"/>
      <c r="V38" s="765"/>
      <c r="W38" s="765"/>
    </row>
    <row r="39" spans="1:23" ht="26.4">
      <c r="A39" s="1"/>
      <c r="B39" s="3"/>
      <c r="C39" s="232"/>
      <c r="T39" s="766" t="s">
        <v>131</v>
      </c>
      <c r="U39" s="767" t="s">
        <v>51</v>
      </c>
      <c r="V39" s="766" t="s">
        <v>132</v>
      </c>
      <c r="W39" s="767" t="s">
        <v>51</v>
      </c>
    </row>
    <row r="40" spans="1:23">
      <c r="A40" s="1" t="s">
        <v>12</v>
      </c>
      <c r="B40" s="31">
        <f ca="1">+'Summary Plan Retail Delivered'!G40</f>
        <v>-5470.555121873861</v>
      </c>
      <c r="C40" s="237">
        <f>N53</f>
        <v>41.14001908157676</v>
      </c>
      <c r="D40" s="234"/>
      <c r="T40" s="768"/>
      <c r="U40" s="769"/>
      <c r="V40" s="768"/>
      <c r="W40" s="769"/>
    </row>
    <row r="41" spans="1:23">
      <c r="A41" s="1"/>
      <c r="B41" s="3"/>
      <c r="D41" s="234"/>
      <c r="T41" s="768"/>
      <c r="U41" s="769"/>
      <c r="V41" s="768"/>
      <c r="W41" s="769"/>
    </row>
    <row r="42" spans="1:23">
      <c r="A42" s="1" t="s">
        <v>106</v>
      </c>
      <c r="B42" s="31">
        <f ca="1">+'Summary Plan Retail Delivered'!G42</f>
        <v>-3665.5976940216933</v>
      </c>
      <c r="C42" s="50">
        <f>C40</f>
        <v>41.14001908157676</v>
      </c>
      <c r="D42" s="434">
        <f>+C42*B42/1000</f>
        <v>-150.80275907743624</v>
      </c>
      <c r="E42" s="432">
        <f>D42</f>
        <v>-150.80275907743624</v>
      </c>
      <c r="F42" s="602">
        <f ca="1">+E42+'P6 Summary Plan Forecast_May'!F42</f>
        <v>-435.55469611485955</v>
      </c>
      <c r="G42" s="602">
        <f ca="1">+E42+'P6 Summary Plan Forecast_May'!G42</f>
        <v>-491.82505887175989</v>
      </c>
      <c r="H42" s="51"/>
      <c r="I42" s="234"/>
      <c r="T42" s="768">
        <f ca="1">+E42+'P6 Summary Plan Forecast_May'!E42+'P6 Summary Plan Forecast_April'!F42</f>
        <v>-435.55469611485955</v>
      </c>
      <c r="U42" s="769">
        <f ca="1">+T42-F42</f>
        <v>0</v>
      </c>
      <c r="V42" s="768">
        <f ca="1">+E42+'P6 Summary Plan Forecast_May'!E42+'P6 Summary Plan Forecast_April'!E42+'P6 Summary Plan Forecast_Mar'!E42+'P6 Summary Plan Forecast_Feb'!E42+'P6 Summary Plan Forecast_Jan'!E42</f>
        <v>-491.82505887175989</v>
      </c>
      <c r="W42" s="769">
        <f>+V42-G42</f>
        <v>0</v>
      </c>
    </row>
    <row r="43" spans="1:23">
      <c r="A43" s="1"/>
      <c r="B43" s="3"/>
      <c r="C43" s="50"/>
      <c r="D43" s="431"/>
      <c r="E43" s="432"/>
      <c r="F43" s="602"/>
      <c r="G43" s="602"/>
      <c r="H43" s="51"/>
      <c r="I43" s="232"/>
      <c r="T43" s="768"/>
      <c r="U43" s="769"/>
      <c r="V43" s="768"/>
      <c r="W43" s="769"/>
    </row>
    <row r="44" spans="1:23">
      <c r="A44" s="1" t="s">
        <v>13</v>
      </c>
      <c r="B44" s="31">
        <f ca="1">+'Summary Plan Retail Delivered'!G44</f>
        <v>-396.03206698245691</v>
      </c>
      <c r="C44" s="50">
        <f>C42</f>
        <v>41.14001908157676</v>
      </c>
      <c r="D44" s="434">
        <f>+C44*B44/1000</f>
        <v>-16.292766792574561</v>
      </c>
      <c r="E44" s="432">
        <f>D44</f>
        <v>-16.292766792574561</v>
      </c>
      <c r="F44" s="602">
        <f ca="1">+E44+'P6 Summary Plan Forecast_May'!F44</f>
        <v>90.12278296729653</v>
      </c>
      <c r="G44" s="602">
        <f ca="1">+E44+'P6 Summary Plan Forecast_May'!G44</f>
        <v>-475.05273860621776</v>
      </c>
      <c r="H44" s="51"/>
      <c r="T44" s="770">
        <f ca="1">+E44+'P6 Summary Plan Forecast_May'!E44+'P6 Summary Plan Forecast_April'!F44</f>
        <v>90.122782967296544</v>
      </c>
      <c r="U44" s="771">
        <f ca="1">+T44-F44</f>
        <v>0</v>
      </c>
      <c r="V44" s="770">
        <f ca="1">+E44+'P6 Summary Plan Forecast_May'!E44+'P6 Summary Plan Forecast_April'!E44+'P6 Summary Plan Forecast_Mar'!E44+'P6 Summary Plan Forecast_Feb'!E44+'P6 Summary Plan Forecast_Jan'!E44</f>
        <v>-475.05273860621776</v>
      </c>
      <c r="W44" s="771">
        <f>+V44-G44</f>
        <v>0</v>
      </c>
    </row>
    <row r="45" spans="1:23">
      <c r="A45" s="1"/>
      <c r="B45" s="3"/>
      <c r="C45" s="50"/>
      <c r="D45" s="431"/>
      <c r="E45" s="432"/>
      <c r="F45" s="602"/>
      <c r="G45" s="602"/>
      <c r="H45" s="51"/>
      <c r="T45" s="768"/>
      <c r="U45" s="769"/>
      <c r="V45" s="768"/>
      <c r="W45" s="769"/>
    </row>
    <row r="46" spans="1:23">
      <c r="A46" s="1" t="s">
        <v>35</v>
      </c>
      <c r="B46" s="31">
        <f ca="1">+'Summary Plan Retail Delivered'!G46</f>
        <v>51572.883356818507</v>
      </c>
      <c r="C46" s="50">
        <f>C44</f>
        <v>41.14001908157676</v>
      </c>
      <c r="D46" s="434">
        <f>+C46*B46/1000</f>
        <v>2121.7094053914457</v>
      </c>
      <c r="E46" s="432">
        <f>D46</f>
        <v>2121.7094053914457</v>
      </c>
      <c r="F46" s="602">
        <f ca="1">+E46+'P6 Summary Plan Forecast_May'!F46</f>
        <v>-2508.802808925459</v>
      </c>
      <c r="G46" s="602">
        <f ca="1">+E46+'P6 Summary Plan Forecast_May'!G46</f>
        <v>20367.630782642045</v>
      </c>
      <c r="T46" s="770">
        <f ca="1">+E46+'P6 Summary Plan Forecast_May'!E46+'P6 Summary Plan Forecast_April'!F46</f>
        <v>-2508.8028089254585</v>
      </c>
      <c r="U46" s="771">
        <f ca="1">+T46-F46</f>
        <v>0</v>
      </c>
      <c r="V46" s="770">
        <f ca="1">+E46+'P6 Summary Plan Forecast_May'!E46+'P6 Summary Plan Forecast_April'!E46+'P6 Summary Plan Forecast_Mar'!E46+'P6 Summary Plan Forecast_Feb'!E46+'P6 Summary Plan Forecast_Jan'!E46</f>
        <v>20367.630782642042</v>
      </c>
      <c r="W46" s="771">
        <f>+V46-G46</f>
        <v>0</v>
      </c>
    </row>
    <row r="47" spans="1:23">
      <c r="A47" s="1"/>
      <c r="B47" s="3"/>
      <c r="C47" s="50"/>
      <c r="D47" s="431"/>
      <c r="E47" s="432"/>
      <c r="F47" s="602"/>
      <c r="G47" s="602"/>
      <c r="N47" s="233"/>
      <c r="T47" s="768"/>
      <c r="U47" s="769"/>
      <c r="V47" s="768"/>
      <c r="W47" s="769"/>
    </row>
    <row r="48" spans="1:23">
      <c r="A48" s="1" t="s">
        <v>36</v>
      </c>
      <c r="B48" s="31">
        <f ca="1">+'Summary Plan Retail Delivered'!G48</f>
        <v>0</v>
      </c>
      <c r="C48" s="50">
        <f>C46</f>
        <v>41.14001908157676</v>
      </c>
      <c r="D48" s="434">
        <f>+C48*B48/1000</f>
        <v>0</v>
      </c>
      <c r="E48" s="432">
        <f>D48</f>
        <v>0</v>
      </c>
      <c r="F48" s="602">
        <f ca="1">+E48+'P6 Summary Plan Forecast_May'!F48</f>
        <v>0</v>
      </c>
      <c r="G48" s="602">
        <f ca="1">+E48+'P6 Summary Plan Forecast_May'!G48</f>
        <v>-21019.925031443199</v>
      </c>
      <c r="H48" s="51"/>
      <c r="I48" s="235"/>
      <c r="T48" s="770">
        <f ca="1">+E48+'P6 Summary Plan Forecast_May'!E48+'P6 Summary Plan Forecast_April'!F48</f>
        <v>0</v>
      </c>
      <c r="U48" s="771">
        <f ca="1">+T48-F48</f>
        <v>0</v>
      </c>
      <c r="V48" s="770">
        <f ca="1">+E48+'P6 Summary Plan Forecast_May'!E48+'P6 Summary Plan Forecast_April'!E48+'P6 Summary Plan Forecast_Mar'!E48+'P6 Summary Plan Forecast_Feb'!E48+'P6 Summary Plan Forecast_Jan'!E48</f>
        <v>-21019.925031443199</v>
      </c>
      <c r="W48" s="771">
        <f>+V48-G48</f>
        <v>0</v>
      </c>
    </row>
    <row r="49" spans="1:23">
      <c r="A49" s="1"/>
      <c r="B49" s="3"/>
      <c r="C49" s="50"/>
      <c r="D49" s="431"/>
      <c r="E49" s="432"/>
      <c r="F49" s="602"/>
      <c r="G49" s="602"/>
      <c r="H49" s="51"/>
      <c r="I49" s="235"/>
      <c r="N49" s="144">
        <f ca="1">'Summary Plan Retail Delivered'!G38</f>
        <v>9394500.5609653965</v>
      </c>
      <c r="O49" t="s">
        <v>137</v>
      </c>
      <c r="T49" s="768"/>
      <c r="U49" s="769"/>
      <c r="V49" s="768"/>
      <c r="W49" s="769"/>
    </row>
    <row r="50" spans="1:23">
      <c r="A50" t="s">
        <v>138</v>
      </c>
      <c r="B50" s="31">
        <f ca="1">+'Summary Plan Retail Delivered'!G50</f>
        <v>0</v>
      </c>
      <c r="C50" s="50">
        <f>C48</f>
        <v>41.14001908157676</v>
      </c>
      <c r="D50" s="434">
        <f>+C50*B50/1000</f>
        <v>0</v>
      </c>
      <c r="E50" s="432">
        <f>D50</f>
        <v>0</v>
      </c>
      <c r="F50" s="602">
        <f ca="1">+E50+'P6 Summary Plan Forecast_May'!F50</f>
        <v>0</v>
      </c>
      <c r="G50" s="602">
        <f ca="1">+E50+'P6 Summary Plan Forecast_May'!G50</f>
        <v>0</v>
      </c>
      <c r="H50" s="51"/>
      <c r="I50" s="235"/>
      <c r="T50" s="770">
        <f ca="1">+E50+'P6 Summary Plan Forecast_May'!E50+'P6 Summary Plan Forecast_April'!F50</f>
        <v>0</v>
      </c>
      <c r="U50" s="771">
        <f ca="1">+T50-F50</f>
        <v>0</v>
      </c>
      <c r="V50" s="770">
        <f ca="1">+E50+'P6 Summary Plan Forecast_May'!E50+'P6 Summary Plan Forecast_April'!E50+'P6 Summary Plan Forecast_Mar'!E50+'P6 Summary Plan Forecast_Feb'!E50+'P6 Summary Plan Forecast_Jan'!E50</f>
        <v>0</v>
      </c>
      <c r="W50" s="771">
        <f>+V50-G50</f>
        <v>0</v>
      </c>
    </row>
    <row r="51" spans="1:23">
      <c r="A51" s="1"/>
      <c r="B51" s="3"/>
      <c r="C51" s="50"/>
      <c r="D51" s="431"/>
      <c r="E51" s="432"/>
      <c r="F51" s="602"/>
      <c r="G51" s="602"/>
      <c r="H51" s="51"/>
      <c r="I51" s="235"/>
      <c r="N51" s="508" t="s">
        <v>460</v>
      </c>
      <c r="T51" s="768"/>
      <c r="U51" s="769"/>
      <c r="V51" s="768"/>
      <c r="W51" s="769"/>
    </row>
    <row r="52" spans="1:23">
      <c r="A52" s="1" t="s">
        <v>57</v>
      </c>
      <c r="B52" s="31">
        <f ca="1">+'Summary Plan Retail Delivered'!G52</f>
        <v>13826.480298979677</v>
      </c>
      <c r="C52" s="50">
        <f>C48</f>
        <v>41.14001908157676</v>
      </c>
      <c r="D52" s="434">
        <f>+C52*B52/1000</f>
        <v>568.82166333106909</v>
      </c>
      <c r="E52" s="432">
        <f>D52</f>
        <v>568.82166333106909</v>
      </c>
      <c r="F52" s="602">
        <f ca="1">+E52+'P6 Summary Plan Forecast_May'!F52</f>
        <v>1921.1162992173117</v>
      </c>
      <c r="G52" s="602">
        <f ca="1">+E52+'P6 Summary Plan Forecast_May'!G52</f>
        <v>3818.5040101289064</v>
      </c>
      <c r="H52" s="183"/>
      <c r="I52" s="508"/>
      <c r="N52" s="510">
        <f ca="1">+June_Prices!D16</f>
        <v>386489.93234</v>
      </c>
      <c r="O52" t="s">
        <v>139</v>
      </c>
      <c r="T52" s="770">
        <f ca="1">+E52+'P6 Summary Plan Forecast_May'!E52+'P6 Summary Plan Forecast_April'!F52</f>
        <v>1921.1162992173117</v>
      </c>
      <c r="U52" s="771">
        <f ca="1">+T52-F52</f>
        <v>0</v>
      </c>
      <c r="V52" s="770">
        <f ca="1">+E52+'P6 Summary Plan Forecast_May'!E52+'P6 Summary Plan Forecast_April'!E52+'P6 Summary Plan Forecast_Mar'!E52+'P6 Summary Plan Forecast_Feb'!E52+'P6 Summary Plan Forecast_Jan'!E52</f>
        <v>3818.5040101289064</v>
      </c>
      <c r="W52" s="771">
        <f>+V52-G52</f>
        <v>0</v>
      </c>
    </row>
    <row r="53" spans="1:23">
      <c r="A53" s="1"/>
      <c r="B53" s="3"/>
      <c r="C53" s="50"/>
      <c r="D53" s="431"/>
      <c r="E53" s="432"/>
      <c r="F53" s="602"/>
      <c r="G53" s="602"/>
      <c r="H53" s="51"/>
      <c r="I53" s="235"/>
      <c r="N53" s="237">
        <f>N52/N49*1000</f>
        <v>41.14001908157676</v>
      </c>
      <c r="T53" s="768"/>
      <c r="U53" s="769"/>
      <c r="V53" s="768"/>
      <c r="W53" s="769"/>
    </row>
    <row r="54" spans="1:23">
      <c r="A54" s="1" t="s">
        <v>83</v>
      </c>
      <c r="B54" s="31">
        <v>0</v>
      </c>
      <c r="C54" s="50">
        <f>C52</f>
        <v>41.14001908157676</v>
      </c>
      <c r="D54" s="434">
        <f>+C54*B54/1000</f>
        <v>0</v>
      </c>
      <c r="E54" s="432">
        <f>D54</f>
        <v>0</v>
      </c>
      <c r="F54" s="602">
        <f ca="1">+E54+'P6 Summary Plan Forecast_May'!F54</f>
        <v>0</v>
      </c>
      <c r="G54" s="602">
        <f ca="1">+E54+'P6 Summary Plan Forecast_May'!G54</f>
        <v>0</v>
      </c>
      <c r="H54" s="51"/>
      <c r="I54" s="235"/>
      <c r="T54" s="770">
        <f ca="1">+E54+'P6 Summary Plan Forecast_May'!E54+'P6 Summary Plan Forecast_April'!F54</f>
        <v>0</v>
      </c>
      <c r="U54" s="771">
        <f ca="1">+T54-F54</f>
        <v>0</v>
      </c>
      <c r="V54" s="770">
        <f ca="1">+E54+'P6 Summary Plan Forecast_May'!E54+'P6 Summary Plan Forecast_April'!E54+'P6 Summary Plan Forecast_Mar'!E54+'P6 Summary Plan Forecast_Feb'!E54+'P6 Summary Plan Forecast_Jan'!E54</f>
        <v>0</v>
      </c>
      <c r="W54" s="771">
        <f>+V54-G54</f>
        <v>0</v>
      </c>
    </row>
    <row r="55" spans="1:23">
      <c r="A55" s="1"/>
      <c r="B55" s="3"/>
      <c r="C55" s="50"/>
      <c r="D55" s="431"/>
      <c r="E55" s="432"/>
      <c r="F55" s="602"/>
      <c r="G55" s="602"/>
      <c r="H55" s="51"/>
      <c r="I55" s="235"/>
      <c r="T55" s="768"/>
      <c r="U55" s="769"/>
      <c r="V55" s="768"/>
      <c r="W55" s="769"/>
    </row>
    <row r="56" spans="1:23">
      <c r="A56" s="1" t="s">
        <v>14</v>
      </c>
      <c r="B56" s="31">
        <f ca="1">+'Summary Plan Retail Delivered'!G56</f>
        <v>-9985.8645494431257</v>
      </c>
      <c r="C56" s="50">
        <f>+C52</f>
        <v>41.14001908157676</v>
      </c>
      <c r="D56" s="434">
        <f>+C56*B56/1000</f>
        <v>-410.81865811013108</v>
      </c>
      <c r="E56" s="432">
        <f>D56</f>
        <v>-410.81865811013108</v>
      </c>
      <c r="F56" s="602">
        <f ca="1">+E56+'P6 Summary Plan Forecast_May'!F56</f>
        <v>13914.296335901401</v>
      </c>
      <c r="G56" s="602">
        <f ca="1">+E56+'P6 Summary Plan Forecast_May'!G56</f>
        <v>23324.51161989104</v>
      </c>
      <c r="H56" s="51"/>
      <c r="I56" s="232"/>
      <c r="T56" s="770">
        <f ca="1">+E56+'P6 Summary Plan Forecast_May'!E56+'P6 Summary Plan Forecast_April'!F56</f>
        <v>13914.296335901401</v>
      </c>
      <c r="U56" s="771">
        <f ca="1">+T56-F56</f>
        <v>0</v>
      </c>
      <c r="V56" s="770">
        <f ca="1">+E56+'P6 Summary Plan Forecast_May'!E56+'P6 Summary Plan Forecast_April'!E56+'P6 Summary Plan Forecast_Mar'!E56+'P6 Summary Plan Forecast_Feb'!E56+'P6 Summary Plan Forecast_Jan'!E56</f>
        <v>23324.511619891044</v>
      </c>
      <c r="W56" s="771">
        <f>+V56-G56</f>
        <v>0</v>
      </c>
    </row>
    <row r="57" spans="1:23">
      <c r="A57" s="1"/>
      <c r="B57" s="3"/>
      <c r="C57" s="50"/>
      <c r="D57" s="433"/>
      <c r="E57" s="432"/>
      <c r="F57" s="432"/>
      <c r="G57" s="432"/>
      <c r="H57" s="51"/>
      <c r="I57" s="234"/>
      <c r="T57" s="768"/>
      <c r="U57" s="769"/>
      <c r="V57" s="768"/>
      <c r="W57" s="769"/>
    </row>
    <row r="58" spans="1:23">
      <c r="A58" s="46" t="s">
        <v>144</v>
      </c>
      <c r="B58" s="47">
        <f>SUM(B38:B56)</f>
        <v>9440381.8751888722</v>
      </c>
      <c r="C58" s="50">
        <f>C56</f>
        <v>41.14001908157676</v>
      </c>
      <c r="D58" s="432">
        <f>SUM(D42:D56)</f>
        <v>2112.6168847423733</v>
      </c>
      <c r="E58" s="432">
        <f>SUM(E42:E56)</f>
        <v>2112.6168847423733</v>
      </c>
      <c r="F58" s="775">
        <f>SUM(F42:F56)</f>
        <v>12981.177913045691</v>
      </c>
      <c r="G58" s="439">
        <f>SUM(G42:G56)</f>
        <v>25523.843583740814</v>
      </c>
      <c r="H58" s="51"/>
      <c r="I58" s="234"/>
      <c r="T58" s="770">
        <f ca="1">+E58+'P6 Summary Plan Forecast_May'!E58+'P6 Summary Plan Forecast_April'!F58</f>
        <v>12981.177913045689</v>
      </c>
      <c r="U58" s="771">
        <f ca="1">+T58-F58</f>
        <v>0</v>
      </c>
      <c r="V58" s="770">
        <f ca="1">+E58+'P6 Summary Plan Forecast_May'!E58+'P6 Summary Plan Forecast_April'!E58+'P6 Summary Plan Forecast_Mar'!E58+'P6 Summary Plan Forecast_Feb'!E58+'P6 Summary Plan Forecast_Jan'!E58</f>
        <v>25523.843583740818</v>
      </c>
      <c r="W58" s="771">
        <f>+V58-G58</f>
        <v>0</v>
      </c>
    </row>
    <row r="59" spans="1:23">
      <c r="A59" s="1"/>
      <c r="B59" s="3"/>
      <c r="C59" s="50"/>
      <c r="D59" s="5"/>
      <c r="E59" s="160"/>
      <c r="F59" s="242"/>
      <c r="G59" s="242"/>
      <c r="H59" s="160"/>
      <c r="T59" s="768"/>
      <c r="U59" s="769"/>
      <c r="V59" s="768"/>
      <c r="W59" s="769"/>
    </row>
    <row r="60" spans="1:23" ht="13.8" thickBot="1">
      <c r="A60" s="239" t="s">
        <v>140</v>
      </c>
      <c r="B60" s="3">
        <f>B58-B38</f>
        <v>45881.314223475754</v>
      </c>
      <c r="C60" s="50"/>
      <c r="D60" s="243"/>
      <c r="E60" s="242"/>
      <c r="F60" s="242"/>
      <c r="G60" s="242"/>
      <c r="H60" s="160"/>
      <c r="T60" s="772"/>
      <c r="U60" s="773"/>
      <c r="V60" s="772"/>
      <c r="W60" s="773"/>
    </row>
    <row r="61" spans="1:23">
      <c r="A61" s="1" t="s">
        <v>16</v>
      </c>
      <c r="B61" s="240">
        <f>(B58/B38)-1</f>
        <v>4.8838481541120249E-3</v>
      </c>
      <c r="E61" s="160"/>
      <c r="F61" s="242"/>
      <c r="G61" s="242"/>
      <c r="H61" s="160"/>
    </row>
    <row r="62" spans="1:23">
      <c r="B62" s="3"/>
      <c r="E62" s="160"/>
      <c r="F62" s="242"/>
      <c r="G62" s="242"/>
      <c r="H62" s="160"/>
    </row>
    <row r="63" spans="1:23">
      <c r="B63" s="3"/>
      <c r="E63" s="160"/>
      <c r="F63" s="160"/>
      <c r="G63" s="160"/>
      <c r="H63" s="160"/>
    </row>
    <row r="64" spans="1:23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mergeCells count="1">
    <mergeCell ref="T2:W2"/>
  </mergeCells>
  <phoneticPr fontId="0" type="noConversion"/>
  <printOptions horizontalCentered="1" headings="1" gridLines="1"/>
  <pageMargins left="0.25" right="0.25" top="1" bottom="1" header="0.5" footer="0.5"/>
  <pageSetup scale="82" orientation="portrait" r:id="rId1"/>
  <headerFooter alignWithMargins="0">
    <oddHeader>&amp;C&amp;A</oddHeader>
    <oddFooter>&amp;F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V158"/>
  <sheetViews>
    <sheetView zoomScaleNormal="100" workbookViewId="0"/>
  </sheetViews>
  <sheetFormatPr defaultRowHeight="13.2"/>
  <cols>
    <col min="1" max="1" width="42" customWidth="1"/>
    <col min="2" max="2" width="17.5546875" customWidth="1"/>
    <col min="3" max="3" width="17" customWidth="1"/>
    <col min="4" max="4" width="13.6640625" customWidth="1"/>
    <col min="5" max="5" width="18.6640625" customWidth="1"/>
    <col min="6" max="6" width="13.44140625" customWidth="1"/>
    <col min="7" max="7" width="15.33203125" customWidth="1"/>
    <col min="8" max="8" width="14.44140625" customWidth="1"/>
    <col min="9" max="9" width="13.44140625" customWidth="1"/>
    <col min="10" max="10" width="13.5546875" customWidth="1"/>
    <col min="11" max="11" width="13.109375" customWidth="1"/>
    <col min="12" max="12" width="14.33203125" customWidth="1"/>
    <col min="13" max="13" width="13.44140625" customWidth="1"/>
    <col min="14" max="14" width="14.5546875" customWidth="1"/>
    <col min="15" max="15" width="9.33203125" customWidth="1"/>
    <col min="17" max="17" width="11.44140625" customWidth="1"/>
    <col min="19" max="19" width="20.6640625" customWidth="1"/>
    <col min="20" max="20" width="15.5546875" bestFit="1" customWidth="1"/>
    <col min="22" max="22" width="11.33203125" bestFit="1" customWidth="1"/>
  </cols>
  <sheetData>
    <row r="1" spans="1:20" ht="42.75" customHeight="1">
      <c r="A1" s="780" t="s">
        <v>486</v>
      </c>
    </row>
    <row r="2" spans="1:20" s="108" customFormat="1" ht="15.6">
      <c r="A2" s="107" t="s">
        <v>122</v>
      </c>
      <c r="B2" s="114"/>
      <c r="C2" s="644">
        <f>1/C3</f>
        <v>1.0570535236744953</v>
      </c>
      <c r="D2" s="644">
        <f>1/D3</f>
        <v>1.0597670723561943</v>
      </c>
      <c r="E2" s="644">
        <f>1/E3</f>
        <v>1.0609779789587055</v>
      </c>
      <c r="F2" s="644">
        <f>1/F3</f>
        <v>1.0608066924686199</v>
      </c>
      <c r="G2" s="644">
        <f>1/G3</f>
        <v>1.0615047814912033</v>
      </c>
    </row>
    <row r="3" spans="1:20" s="108" customFormat="1" ht="15.6">
      <c r="A3" s="223" t="s">
        <v>123</v>
      </c>
      <c r="B3" s="222">
        <f ca="1">([3]Total!$O$6/'Growth Plan'!D94)</f>
        <v>0.94393473516324256</v>
      </c>
      <c r="C3" s="222">
        <f ca="1">([3]Total!$O$7/'Growth Plan'!E94)</f>
        <v>0.94602588951582345</v>
      </c>
      <c r="D3" s="222">
        <f ca="1">([3]Total!$O$8/'Growth Plan'!F94)</f>
        <v>0.94360357675266004</v>
      </c>
      <c r="E3" s="643">
        <f ca="1">([3]Total!$O$9/'Growth Plan'!G94)</f>
        <v>0.94252663093106592</v>
      </c>
      <c r="F3" s="643">
        <f ca="1">([3]Total!$O$10/'Growth Plan'!H94)</f>
        <v>0.94267881895888517</v>
      </c>
      <c r="G3" s="643">
        <f ca="1">([3]Total!$O$11/'Growth Plan'!I94)</f>
        <v>0.94205887475626693</v>
      </c>
      <c r="H3" s="252"/>
      <c r="I3" s="252"/>
      <c r="J3" s="252"/>
      <c r="K3" s="252"/>
      <c r="L3" s="252"/>
      <c r="M3" s="252"/>
    </row>
    <row r="4" spans="1:20" s="124" customFormat="1">
      <c r="B4" s="125" t="s">
        <v>0</v>
      </c>
      <c r="C4" s="125" t="s">
        <v>1</v>
      </c>
      <c r="D4" s="125" t="s">
        <v>2</v>
      </c>
      <c r="E4" s="125" t="s">
        <v>3</v>
      </c>
      <c r="F4" s="125" t="s">
        <v>4</v>
      </c>
      <c r="G4" s="125" t="s">
        <v>5</v>
      </c>
      <c r="H4" s="125" t="s">
        <v>6</v>
      </c>
      <c r="I4" s="125" t="s">
        <v>7</v>
      </c>
      <c r="J4" s="125" t="s">
        <v>8</v>
      </c>
      <c r="K4" s="125" t="s">
        <v>9</v>
      </c>
      <c r="L4" s="125" t="s">
        <v>10</v>
      </c>
      <c r="M4" s="125" t="s">
        <v>11</v>
      </c>
      <c r="N4" s="124" t="s">
        <v>55</v>
      </c>
      <c r="Q4" s="125" t="s">
        <v>1</v>
      </c>
    </row>
    <row r="5" spans="1:20" s="108" customFormat="1" ht="15">
      <c r="B5" s="111"/>
    </row>
    <row r="6" spans="1:20" s="108" customFormat="1" ht="15.6">
      <c r="A6" s="107" t="s">
        <v>124</v>
      </c>
      <c r="B6" s="126">
        <f>+[3]Retail!$N$6</f>
        <v>7428031.5939999996</v>
      </c>
      <c r="C6" s="126">
        <f>+[3]Retail!$N$7</f>
        <v>6668738.3879999993</v>
      </c>
      <c r="D6" s="126">
        <f>+[3]Retail!$N$8</f>
        <v>7482396.0779999997</v>
      </c>
      <c r="E6" s="126">
        <f>+[3]Retail!$N$9</f>
        <v>9030384.3930000011</v>
      </c>
      <c r="F6" s="126">
        <f>+[3]Retail!$N$10</f>
        <v>8843049.5600000005</v>
      </c>
      <c r="G6" s="126">
        <f>+[3]Retail!$N$11</f>
        <v>10107182.301000001</v>
      </c>
      <c r="H6" s="126">
        <f>+[3]Retail!$N$12</f>
        <v>10831587.262999998</v>
      </c>
      <c r="I6" s="126">
        <f>+[3]Retail!$N$13</f>
        <v>10352319.1</v>
      </c>
      <c r="J6" s="126">
        <f>+[3]Retail!$N$14</f>
        <v>9673442</v>
      </c>
      <c r="K6" s="126">
        <f>+[3]Retail!$N$15</f>
        <v>8313026.4949999992</v>
      </c>
      <c r="L6" s="126">
        <f>+[3]Retail!$N$16</f>
        <v>7423424</v>
      </c>
      <c r="M6" s="126">
        <f>+[3]Retail!$N$17</f>
        <v>7404061.023</v>
      </c>
      <c r="N6" s="208">
        <f>SUM(B6:M6)</f>
        <v>103557642.19500001</v>
      </c>
      <c r="O6" s="126">
        <f ca="1">+'Growth Plan'!Q32</f>
        <v>0</v>
      </c>
      <c r="P6" s="126">
        <f ca="1">+'Growth Plan'!R32</f>
        <v>0</v>
      </c>
      <c r="Q6" s="113"/>
    </row>
    <row r="7" spans="1:20" s="108" customFormat="1" ht="1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N7" s="112"/>
    </row>
    <row r="8" spans="1:20" s="108" customFormat="1" ht="15">
      <c r="A8" s="108" t="s">
        <v>12</v>
      </c>
      <c r="B8" s="114">
        <f ca="1">'Growth Plan'!D88*B3</f>
        <v>44523.071153938625</v>
      </c>
      <c r="C8" s="114">
        <f ca="1">+'Growth Plan'!E88*'Summary Plan Retail Delivered'!C3</f>
        <v>39786.497454806158</v>
      </c>
      <c r="D8" s="114">
        <f ca="1">+'Growth Plan'!F88*'Summary Plan Retail Delivered'!D3</f>
        <v>46535.24483196994</v>
      </c>
      <c r="E8" s="114">
        <f ca="1">+'Growth Plan'!G88*'Summary Plan Retail Delivered'!E3</f>
        <v>52487.266564489153</v>
      </c>
      <c r="F8" s="114">
        <f ca="1">+'Growth Plan'!H88*'Summary Plan Retail Delivered'!F3</f>
        <v>56368.024244626824</v>
      </c>
      <c r="G8" s="114">
        <f ca="1">+'Growth Plan'!I88*'Summary Plan Retail Delivered'!G3</f>
        <v>56764.826337752391</v>
      </c>
      <c r="H8" s="114">
        <f ca="1">+'Growth Plan'!J88*'Summary Plan Retail Delivered'!H3</f>
        <v>0</v>
      </c>
      <c r="I8" s="114">
        <f ca="1">+'Growth Plan'!K88*'Summary Plan Retail Delivered'!I3</f>
        <v>0</v>
      </c>
      <c r="J8" s="114">
        <f ca="1">+'Growth Plan'!L88*'Summary Plan Retail Delivered'!J3</f>
        <v>0</v>
      </c>
      <c r="K8" s="114">
        <f ca="1">+'Growth Plan'!M88*'Summary Plan Retail Delivered'!K3</f>
        <v>0</v>
      </c>
      <c r="L8" s="114">
        <f ca="1">+'Growth Plan'!N88*'Summary Plan Retail Delivered'!L3</f>
        <v>0</v>
      </c>
      <c r="M8" s="114">
        <f ca="1">+'Growth Plan'!O88*'Summary Plan Retail Delivered'!M3</f>
        <v>0</v>
      </c>
      <c r="N8" s="112">
        <f>SUM(B8:M8)</f>
        <v>296464.93058758311</v>
      </c>
      <c r="O8" s="116">
        <f>N8/N$6</f>
        <v>2.8628010864648391E-3</v>
      </c>
      <c r="Q8" s="116">
        <f>B8/B$26</f>
        <v>6.0503344672072357E-3</v>
      </c>
    </row>
    <row r="9" spans="1:20" s="108" customFormat="1" ht="15">
      <c r="N9" s="112"/>
      <c r="O9" s="116"/>
      <c r="Q9" s="116"/>
    </row>
    <row r="10" spans="1:20" s="108" customFormat="1" ht="15">
      <c r="A10" s="108" t="s">
        <v>106</v>
      </c>
      <c r="B10" s="117">
        <f ca="1">+'Growth Plan'!D86*B3</f>
        <v>-17916.367127295776</v>
      </c>
      <c r="C10" s="117">
        <f ca="1">+'Growth Plan'!E86*C3</f>
        <v>-9677.2102034003201</v>
      </c>
      <c r="D10" s="117">
        <f ca="1">+'Growth Plan'!F86*D3</f>
        <v>-4212.5342091126222</v>
      </c>
      <c r="E10" s="117">
        <f ca="1">+'Growth Plan'!G86*E3</f>
        <v>8247.3913920292307</v>
      </c>
      <c r="F10" s="117">
        <f ca="1">+'Growth Plan'!H86*F3</f>
        <v>5924.735965736917</v>
      </c>
      <c r="G10" s="117">
        <f ca="1">+'Growth Plan'!I86*G3</f>
        <v>1960.5975711386004</v>
      </c>
      <c r="H10" s="117">
        <f ca="1">+'Growth Plan'!J86*H3</f>
        <v>0</v>
      </c>
      <c r="I10" s="117">
        <f ca="1">+'Growth Plan'!K86*I3</f>
        <v>0</v>
      </c>
      <c r="J10" s="117">
        <f ca="1">+'Growth Plan'!L86*J3</f>
        <v>0</v>
      </c>
      <c r="K10" s="117">
        <f ca="1">+'Growth Plan'!M86*K3</f>
        <v>0</v>
      </c>
      <c r="L10" s="117">
        <f ca="1">+'Growth Plan'!N86*L3</f>
        <v>0</v>
      </c>
      <c r="M10" s="117">
        <f ca="1">+'Growth Plan'!O86*M3</f>
        <v>0</v>
      </c>
      <c r="N10" s="112">
        <f>SUM(B10:M10)</f>
        <v>-15673.386610903972</v>
      </c>
      <c r="O10" s="116">
        <f>N10/N$6</f>
        <v>-1.5134939613042596E-4</v>
      </c>
      <c r="Q10" s="116">
        <f>B10/B$26</f>
        <v>-2.4346930871552643E-3</v>
      </c>
    </row>
    <row r="11" spans="1:20" s="108" customFormat="1" ht="1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2"/>
      <c r="O11" s="116"/>
      <c r="Q11" s="116"/>
    </row>
    <row r="12" spans="1:20" s="108" customFormat="1" ht="15">
      <c r="A12" s="108" t="s">
        <v>13</v>
      </c>
      <c r="B12" s="114">
        <f ca="1">+'Growth Plan'!D77*B3</f>
        <v>26363.767123746089</v>
      </c>
      <c r="C12" s="114">
        <f ca="1">+'Growth Plan'!E77*C3</f>
        <v>25453.694516643191</v>
      </c>
      <c r="D12" s="114">
        <f ca="1">+'Growth Plan'!F77*D3</f>
        <v>25109.5329493758</v>
      </c>
      <c r="E12" s="114">
        <f ca="1">+'Growth Plan'!G77*E3</f>
        <v>30969.396479942458</v>
      </c>
      <c r="F12" s="114">
        <f ca="1">+'Growth Plan'!H77*F3</f>
        <v>29442.8449516334</v>
      </c>
      <c r="G12" s="114">
        <f ca="1">+'Growth Plan'!I77*G3</f>
        <v>27669.417310725024</v>
      </c>
      <c r="H12" s="114">
        <f ca="1">+'Growth Plan'!J77*H3</f>
        <v>0</v>
      </c>
      <c r="I12" s="114">
        <f ca="1">+'Growth Plan'!K77*I3</f>
        <v>0</v>
      </c>
      <c r="J12" s="114">
        <f ca="1">+'Growth Plan'!L77*J3</f>
        <v>0</v>
      </c>
      <c r="K12" s="114">
        <f ca="1">+'Growth Plan'!M77*K3</f>
        <v>0</v>
      </c>
      <c r="L12" s="114">
        <f ca="1">+'Growth Plan'!N77*L3</f>
        <v>0</v>
      </c>
      <c r="M12" s="114">
        <f ca="1">+'Growth Plan'!O77*M3</f>
        <v>0</v>
      </c>
      <c r="N12" s="112">
        <f>SUM(B12:M12)</f>
        <v>165008.65333206597</v>
      </c>
      <c r="O12" s="116">
        <f>N12/N$6</f>
        <v>1.5933990947896741E-3</v>
      </c>
      <c r="Q12" s="116">
        <f>B12/B$26</f>
        <v>3.5826281696229147E-3</v>
      </c>
    </row>
    <row r="13" spans="1:20" s="108" customFormat="1" ht="1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2"/>
      <c r="O13" s="116"/>
      <c r="Q13" s="116"/>
    </row>
    <row r="14" spans="1:20" s="108" customFormat="1" ht="15">
      <c r="A14" s="108" t="s">
        <v>35</v>
      </c>
      <c r="B14" s="114">
        <f ca="1">+'Growth Plan'!D73*B3</f>
        <v>171067.17616365151</v>
      </c>
      <c r="C14" s="114">
        <f ca="1">+'Growth Plan'!E73*C3</f>
        <v>98724.405845929548</v>
      </c>
      <c r="D14" s="114">
        <f ca="1">+'Growth Plan'!F73*D3</f>
        <v>128862.51527712501</v>
      </c>
      <c r="E14" s="114">
        <f ca="1">+'Growth Plan'!G73*E3</f>
        <v>-1056477.9210170703</v>
      </c>
      <c r="F14" s="114">
        <f ca="1">+'Growth Plan'!H73*F3</f>
        <v>-506797.71798906376</v>
      </c>
      <c r="G14" s="114">
        <f ca="1">+'Growth Plan'!I73*G3</f>
        <v>-353538.39993776212</v>
      </c>
      <c r="H14" s="114">
        <f ca="1">+'Growth Plan'!J73*H3</f>
        <v>0</v>
      </c>
      <c r="I14" s="114">
        <f ca="1">+'Growth Plan'!K73*I3</f>
        <v>0</v>
      </c>
      <c r="J14" s="114">
        <f ca="1">+'Growth Plan'!L73*J3</f>
        <v>0</v>
      </c>
      <c r="K14" s="114">
        <f ca="1">+'Growth Plan'!M73*K3</f>
        <v>0</v>
      </c>
      <c r="L14" s="114">
        <f ca="1">+'Growth Plan'!N73*L3</f>
        <v>0</v>
      </c>
      <c r="M14" s="114">
        <f ca="1">+'Growth Plan'!O73*M3</f>
        <v>0</v>
      </c>
      <c r="N14" s="112">
        <f>SUM(B14:M14)</f>
        <v>-1518159.9416571902</v>
      </c>
      <c r="O14" s="116">
        <f>N14/N$6</f>
        <v>-1.4660047384996279E-2</v>
      </c>
      <c r="Q14" s="116">
        <f>B14/B$26</f>
        <v>2.3246680997638072E-2</v>
      </c>
    </row>
    <row r="15" spans="1:20" s="108" customFormat="1" ht="15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2"/>
      <c r="O15" s="116"/>
      <c r="Q15" s="116"/>
    </row>
    <row r="16" spans="1:20" s="108" customFormat="1" ht="15">
      <c r="A16" s="108" t="s">
        <v>36</v>
      </c>
      <c r="B16" s="114">
        <f ca="1">(+'Growth Plan'!D72+'Growth Plan'!D74)*B3</f>
        <v>-187023.17932389703</v>
      </c>
      <c r="C16" s="114">
        <f ca="1">(+'Growth Plan'!E72+'Growth Plan'!E74)*C3</f>
        <v>-46805.957984550463</v>
      </c>
      <c r="D16" s="114">
        <f ca="1">(+'Growth Plan'!F72+'Growth Plan'!F74)*D3</f>
        <v>-43537.881471690693</v>
      </c>
      <c r="E16" s="114">
        <f ca="1">(+'Growth Plan'!G72+'Growth Plan'!G74)*E3</f>
        <v>0</v>
      </c>
      <c r="F16" s="114">
        <f ca="1">(+'Growth Plan'!H72+'Growth Plan'!H74)*F3</f>
        <v>0</v>
      </c>
      <c r="G16" s="114">
        <f ca="1">(+'Growth Plan'!I72+'Growth Plan'!I74)*G3</f>
        <v>0</v>
      </c>
      <c r="H16" s="114">
        <f ca="1">(+'Growth Plan'!J72+'Growth Plan'!J74)*H3</f>
        <v>0</v>
      </c>
      <c r="I16" s="114">
        <f ca="1">(+'Growth Plan'!K72+'Growth Plan'!K74)*I3</f>
        <v>0</v>
      </c>
      <c r="J16" s="114">
        <f ca="1">(+'Growth Plan'!L72+'Growth Plan'!L74)*J3</f>
        <v>0</v>
      </c>
      <c r="K16" s="114">
        <f ca="1">(+'Growth Plan'!M72+'Growth Plan'!M74)*K3</f>
        <v>0</v>
      </c>
      <c r="L16" s="114">
        <f ca="1">(+'Growth Plan'!N72+'Growth Plan'!N74)*L3</f>
        <v>0</v>
      </c>
      <c r="M16" s="114">
        <f ca="1">(+'Growth Plan'!O72+'Growth Plan'!O74)*M3</f>
        <v>0</v>
      </c>
      <c r="N16" s="112">
        <f>SUM(B16:M16)</f>
        <v>-277367.01878013823</v>
      </c>
      <c r="O16" s="116">
        <f>N16/N$6</f>
        <v>-2.6783829073459739E-3</v>
      </c>
      <c r="Q16" s="116">
        <f>B16/B$26</f>
        <v>-2.541497607201685E-2</v>
      </c>
      <c r="T16" s="112"/>
    </row>
    <row r="17" spans="1:22" s="108" customFormat="1" ht="15">
      <c r="N17" s="112"/>
      <c r="O17" s="116"/>
      <c r="Q17" s="116"/>
      <c r="T17" s="112"/>
    </row>
    <row r="18" spans="1:22" s="108" customFormat="1" ht="15">
      <c r="A18" s="108" t="s">
        <v>56</v>
      </c>
      <c r="B18" s="117">
        <f ca="1">+'Growth Plan'!D76*B3</f>
        <v>-8291.7597167364202</v>
      </c>
      <c r="C18" s="117">
        <f ca="1">+'Growth Plan'!E76*C3</f>
        <v>-9720.4508421688133</v>
      </c>
      <c r="D18" s="117">
        <f ca="1">+'Growth Plan'!F76*D3</f>
        <v>-19015.924081089222</v>
      </c>
      <c r="E18" s="117">
        <f ca="1">+'Growth Plan'!G76*E3</f>
        <v>-35827.811360402899</v>
      </c>
      <c r="F18" s="117">
        <f ca="1">+'Growth Plan'!H76*F3</f>
        <v>-61008.972198885123</v>
      </c>
      <c r="G18" s="117">
        <f ca="1">+'Growth Plan'!I76*G3</f>
        <v>-88027.53392488572</v>
      </c>
      <c r="H18" s="117">
        <f ca="1">+'Growth Plan'!J76*H3</f>
        <v>0</v>
      </c>
      <c r="I18" s="117">
        <f ca="1">+'Growth Plan'!K76*I3</f>
        <v>0</v>
      </c>
      <c r="J18" s="117">
        <f ca="1">+'Growth Plan'!L76*J3</f>
        <v>0</v>
      </c>
      <c r="K18" s="117">
        <f ca="1">+'Growth Plan'!M76*K3</f>
        <v>0</v>
      </c>
      <c r="L18" s="117">
        <f ca="1">+'Growth Plan'!N76*L3</f>
        <v>0</v>
      </c>
      <c r="M18" s="117">
        <f ca="1">+'Growth Plan'!O76*M3</f>
        <v>0</v>
      </c>
      <c r="N18" s="112">
        <f>SUM(B18:M18)</f>
        <v>-221892.45212416822</v>
      </c>
      <c r="O18" s="116">
        <f>N18/N$6</f>
        <v>-2.1426950963825795E-3</v>
      </c>
      <c r="Q18" s="116">
        <f>B18/B$26</f>
        <v>-1.1267847951125197E-3</v>
      </c>
      <c r="T18" s="112"/>
    </row>
    <row r="19" spans="1:22" s="108" customFormat="1" ht="15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2"/>
      <c r="O19" s="116"/>
      <c r="Q19" s="116"/>
    </row>
    <row r="20" spans="1:22" s="108" customFormat="1" ht="15">
      <c r="A20" s="108" t="s">
        <v>57</v>
      </c>
      <c r="B20" s="114">
        <f ca="1">+'Growth Plan'!D75*B3</f>
        <v>44290.516788346111</v>
      </c>
      <c r="C20" s="114">
        <f ca="1">+'Growth Plan'!E75*C3</f>
        <v>50535.631608950862</v>
      </c>
      <c r="D20" s="114">
        <f ca="1">+'Growth Plan'!F75*D3</f>
        <v>54159.033208439818</v>
      </c>
      <c r="E20" s="114">
        <f ca="1">+'Growth Plan'!G75*E3</f>
        <v>50260.727023845022</v>
      </c>
      <c r="F20" s="114">
        <f ca="1">+'Growth Plan'!H75*F3</f>
        <v>45257.225122266078</v>
      </c>
      <c r="G20" s="114">
        <f ca="1">+'Growth Plan'!I75*G3</f>
        <v>49724.191318074358</v>
      </c>
      <c r="H20" s="114">
        <f ca="1">+'Growth Plan'!J75*H3</f>
        <v>0</v>
      </c>
      <c r="I20" s="114">
        <f ca="1">+'Growth Plan'!K75*I3</f>
        <v>0</v>
      </c>
      <c r="J20" s="114">
        <f ca="1">+'Growth Plan'!L75*J3</f>
        <v>0</v>
      </c>
      <c r="K20" s="114">
        <f ca="1">+'Growth Plan'!M75*K3</f>
        <v>0</v>
      </c>
      <c r="L20" s="114">
        <f ca="1">+'Growth Plan'!N75*L3</f>
        <v>0</v>
      </c>
      <c r="M20" s="114">
        <f ca="1">+'Growth Plan'!O75*M3</f>
        <v>0</v>
      </c>
      <c r="N20" s="112">
        <f>SUM(B20:M20)</f>
        <v>294227.32506992226</v>
      </c>
      <c r="O20" s="116">
        <f>N20/N$6</f>
        <v>2.8411937432477408E-3</v>
      </c>
      <c r="Q20" s="116">
        <f>B20/B$26</f>
        <v>6.0187321617692505E-3</v>
      </c>
      <c r="T20" s="122"/>
      <c r="V20" s="122"/>
    </row>
    <row r="21" spans="1:22" s="108" customFormat="1" ht="12" customHeight="1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O21" s="116"/>
      <c r="Q21" s="116"/>
    </row>
    <row r="22" spans="1:22" s="108" customFormat="1" ht="18.75" customHeight="1">
      <c r="A22" s="177" t="s">
        <v>260</v>
      </c>
      <c r="B22" s="114">
        <f ca="1">'Growth Plan'!D92*B3</f>
        <v>-91806.14840724181</v>
      </c>
      <c r="C22" s="114">
        <f ca="1">'Growth Plan'!E92*C3</f>
        <v>50770.371412645698</v>
      </c>
      <c r="D22" s="114">
        <f ca="1">'Growth Plan'!F92*D3</f>
        <v>101591.19188392164</v>
      </c>
      <c r="E22" s="114">
        <f ca="1">'Growth Plan'!G92*E3</f>
        <v>-265854.71668020205</v>
      </c>
      <c r="F22" s="114">
        <f ca="1">'Growth Plan'!H92*F3</f>
        <v>361225.09663685522</v>
      </c>
      <c r="G22" s="114">
        <f ca="1">'Growth Plan'!I92*G3</f>
        <v>-360696.44402555423</v>
      </c>
      <c r="H22" s="114"/>
      <c r="I22" s="114"/>
      <c r="J22" s="114"/>
      <c r="K22" s="114"/>
      <c r="L22" s="114"/>
      <c r="M22" s="114"/>
      <c r="O22" s="116"/>
      <c r="Q22" s="116"/>
    </row>
    <row r="23" spans="1:22" s="108" customFormat="1" ht="12" customHeight="1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O23" s="116"/>
      <c r="Q23" s="116"/>
    </row>
    <row r="24" spans="1:22" s="108" customFormat="1" ht="15">
      <c r="A24" s="108" t="s">
        <v>14</v>
      </c>
      <c r="B24" s="114">
        <f ca="1">[3]All!$AO$6-SUM(B6:B22)</f>
        <v>-50460.177456603386</v>
      </c>
      <c r="C24" s="114">
        <f ca="1">[3]All!$AO$7-SUM(C6:C22)</f>
        <v>253972.75471400376</v>
      </c>
      <c r="D24" s="114">
        <f ca="1">[3]All!$AO$8-SUM(D6:D22)</f>
        <v>196833.01164077315</v>
      </c>
      <c r="E24" s="114">
        <f ca="1">[3]All!$AO$9-SUM(E6:E22)</f>
        <v>28110.860597369261</v>
      </c>
      <c r="F24" s="114">
        <f ca="1">[3]All!$AO$10-SUM(F6:F22)</f>
        <v>342970.49063049629</v>
      </c>
      <c r="G24" s="114">
        <f ca="1">[3]All!$AO$11-SUM(G6:G22)</f>
        <v>-657.08046061918139</v>
      </c>
      <c r="H24" s="114">
        <f ca="1">(+'Growth Plan'!J93+'Growth Plan'!J87)*H3</f>
        <v>0</v>
      </c>
      <c r="I24" s="114">
        <f ca="1">(+'Growth Plan'!K93+'Growth Plan'!K87)*I3</f>
        <v>0</v>
      </c>
      <c r="J24" s="114">
        <f ca="1">(+'Growth Plan'!L93+'Growth Plan'!L87)*J3</f>
        <v>0</v>
      </c>
      <c r="K24" s="114">
        <f ca="1">(+'Growth Plan'!M93+'Growth Plan'!M87)*K3</f>
        <v>0</v>
      </c>
      <c r="L24" s="114">
        <f ca="1">(+'Growth Plan'!N93+'Growth Plan'!N87)*L3</f>
        <v>0</v>
      </c>
      <c r="M24" s="114">
        <f ca="1">(+'Growth Plan'!O93+'Growth Plan'!O87)*M3</f>
        <v>0</v>
      </c>
      <c r="N24" s="112">
        <f>SUM(B24:M24)</f>
        <v>770769.85966541991</v>
      </c>
      <c r="O24" s="116">
        <f>N24/N$6</f>
        <v>7.4429066105430736E-3</v>
      </c>
      <c r="Q24" s="116">
        <f>B24/B$26</f>
        <v>-6.8571404212324485E-3</v>
      </c>
    </row>
    <row r="25" spans="1:22" s="108" customFormat="1" ht="15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N25" s="112"/>
    </row>
    <row r="26" spans="1:22" s="108" customFormat="1" ht="15.6">
      <c r="A26" s="107" t="s">
        <v>127</v>
      </c>
      <c r="B26" s="113">
        <f t="shared" ref="B26:N26" si="0">SUM(B6:B24)</f>
        <v>7358778.4931979077</v>
      </c>
      <c r="C26" s="113">
        <f t="shared" si="0"/>
        <v>7121778.1245228592</v>
      </c>
      <c r="D26" s="113">
        <f t="shared" si="0"/>
        <v>7968720.2680297131</v>
      </c>
      <c r="E26" s="113">
        <f t="shared" si="0"/>
        <v>7842299.5860000001</v>
      </c>
      <c r="F26" s="113">
        <f t="shared" si="0"/>
        <v>9116431.287363667</v>
      </c>
      <c r="G26" s="113">
        <f t="shared" si="0"/>
        <v>9440381.8751888722</v>
      </c>
      <c r="H26" s="113">
        <f t="shared" si="0"/>
        <v>10831587.262999998</v>
      </c>
      <c r="I26" s="113">
        <f t="shared" si="0"/>
        <v>10352319.1</v>
      </c>
      <c r="J26" s="113">
        <f t="shared" si="0"/>
        <v>9673442</v>
      </c>
      <c r="K26" s="113">
        <f t="shared" si="0"/>
        <v>8313026.4949999992</v>
      </c>
      <c r="L26" s="128">
        <f t="shared" si="0"/>
        <v>7423424</v>
      </c>
      <c r="M26" s="128">
        <f t="shared" si="0"/>
        <v>7404061.023</v>
      </c>
      <c r="N26" s="113">
        <f t="shared" si="0"/>
        <v>103051020.16448261</v>
      </c>
    </row>
    <row r="27" spans="1:22" s="244" customFormat="1" ht="15.6">
      <c r="B27" s="468">
        <f t="shared" ref="B27:G27" si="1">B28-B14-B16</f>
        <v>-53297.097641846369</v>
      </c>
      <c r="C27" s="468">
        <f t="shared" si="1"/>
        <v>401121.28866148082</v>
      </c>
      <c r="D27" s="468">
        <f t="shared" si="1"/>
        <v>400999.55622427899</v>
      </c>
      <c r="E27" s="468">
        <f t="shared" si="1"/>
        <v>-131606.88598293066</v>
      </c>
      <c r="F27" s="468">
        <f t="shared" si="1"/>
        <v>780179.44535273034</v>
      </c>
      <c r="G27" s="468">
        <f t="shared" si="1"/>
        <v>-313262.02587336657</v>
      </c>
      <c r="H27" s="245"/>
      <c r="I27" s="245"/>
      <c r="J27" s="245"/>
      <c r="K27" s="245"/>
      <c r="L27" s="245"/>
      <c r="N27" s="246"/>
    </row>
    <row r="28" spans="1:22" s="108" customFormat="1" ht="15">
      <c r="A28" s="119" t="s">
        <v>66</v>
      </c>
      <c r="B28" s="114">
        <f t="shared" ref="B28:L28" si="2">+B26-B6</f>
        <v>-69253.100802091882</v>
      </c>
      <c r="C28" s="114">
        <f t="shared" si="2"/>
        <v>453039.73652285989</v>
      </c>
      <c r="D28" s="114">
        <f t="shared" si="2"/>
        <v>486324.19002971333</v>
      </c>
      <c r="E28" s="114">
        <f t="shared" si="2"/>
        <v>-1188084.807000001</v>
      </c>
      <c r="F28" s="114">
        <f t="shared" si="2"/>
        <v>273381.72736366652</v>
      </c>
      <c r="G28" s="114">
        <f t="shared" si="2"/>
        <v>-666800.42581112869</v>
      </c>
      <c r="H28" s="114">
        <f t="shared" si="2"/>
        <v>0</v>
      </c>
      <c r="I28" s="114">
        <f t="shared" si="2"/>
        <v>0</v>
      </c>
      <c r="J28" s="114">
        <f t="shared" si="2"/>
        <v>0</v>
      </c>
      <c r="K28" s="114">
        <f t="shared" si="2"/>
        <v>0</v>
      </c>
      <c r="L28" s="114">
        <f t="shared" si="2"/>
        <v>0</v>
      </c>
      <c r="N28" s="112">
        <f>SUM(B28:M28)</f>
        <v>-711392.6796969818</v>
      </c>
      <c r="O28" s="116">
        <f>N28/N6</f>
        <v>-6.8695333788830644E-3</v>
      </c>
    </row>
    <row r="29" spans="1:22" s="108" customFormat="1" ht="15">
      <c r="A29" s="108" t="s">
        <v>15</v>
      </c>
      <c r="B29" s="118">
        <f t="shared" ref="B29:L29" si="3">(B26/B6)-1</f>
        <v>-9.323210318334052E-3</v>
      </c>
      <c r="C29" s="118">
        <f t="shared" si="3"/>
        <v>6.7934849166984668E-2</v>
      </c>
      <c r="D29" s="118">
        <f t="shared" si="3"/>
        <v>6.4995782762639509E-2</v>
      </c>
      <c r="E29" s="118">
        <f t="shared" si="3"/>
        <v>-0.13156525296098776</v>
      </c>
      <c r="F29" s="118">
        <f t="shared" si="3"/>
        <v>3.0914869978820647E-2</v>
      </c>
      <c r="G29" s="118">
        <f t="shared" si="3"/>
        <v>-6.5972929541911585E-2</v>
      </c>
      <c r="H29" s="118">
        <f t="shared" si="3"/>
        <v>0</v>
      </c>
      <c r="I29" s="118">
        <f t="shared" si="3"/>
        <v>0</v>
      </c>
      <c r="J29" s="118">
        <f t="shared" si="3"/>
        <v>0</v>
      </c>
      <c r="K29" s="118">
        <f t="shared" si="3"/>
        <v>0</v>
      </c>
      <c r="L29" s="118">
        <f t="shared" si="3"/>
        <v>0</v>
      </c>
    </row>
    <row r="30" spans="1:22">
      <c r="B30" s="469">
        <f>B27/B6</f>
        <v>-7.1751307149658808E-3</v>
      </c>
      <c r="C30" s="469">
        <f>C27/C6</f>
        <v>6.0149501348452185E-2</v>
      </c>
    </row>
    <row r="31" spans="1:22" ht="15.6">
      <c r="A31" s="232" t="s">
        <v>126</v>
      </c>
      <c r="B31" s="267">
        <f>+[3]Retail!$O$6</f>
        <v>7358778.4931979077</v>
      </c>
      <c r="C31" s="267">
        <f>+[3]Retail!$O$7</f>
        <v>7121778.1245228592</v>
      </c>
      <c r="D31" s="267">
        <f>+[3]Retail!$O$8</f>
        <v>7968720.2680297131</v>
      </c>
      <c r="E31" s="54">
        <f>+[3]Retail!$O$9</f>
        <v>7842299.5860000001</v>
      </c>
      <c r="F31" s="54">
        <f>+[3]Retail!$O$10</f>
        <v>9116431.287363667</v>
      </c>
      <c r="G31" s="54">
        <f>+[3]Retail!$O$11</f>
        <v>9440381.8751888722</v>
      </c>
      <c r="H31" s="54">
        <f>+[3]Retail!$O$12</f>
        <v>0</v>
      </c>
      <c r="I31" s="54">
        <f>+[3]Retail!$O$13</f>
        <v>0</v>
      </c>
      <c r="J31" s="54">
        <f>+[3]Retail!$O$14</f>
        <v>0</v>
      </c>
      <c r="K31" s="54">
        <f>+[3]Retail!$O$15</f>
        <v>0</v>
      </c>
      <c r="L31" s="54">
        <f>+[3]Retail!$O$16</f>
        <v>0</v>
      </c>
      <c r="M31" s="54">
        <f>+[3]Retail!$O$17</f>
        <v>0</v>
      </c>
      <c r="N31" s="227">
        <f>SUM(B31:M31)</f>
        <v>48848389.634303018</v>
      </c>
    </row>
    <row r="32" spans="1:22">
      <c r="A32" s="225" t="s">
        <v>53</v>
      </c>
      <c r="B32" s="492">
        <f t="shared" ref="B32:M32" si="4">+B31-B26</f>
        <v>0</v>
      </c>
      <c r="C32" s="35">
        <f t="shared" si="4"/>
        <v>0</v>
      </c>
      <c r="D32" s="35">
        <f t="shared" si="4"/>
        <v>0</v>
      </c>
      <c r="E32" s="5">
        <f t="shared" si="4"/>
        <v>0</v>
      </c>
      <c r="F32" s="5">
        <f t="shared" si="4"/>
        <v>0</v>
      </c>
      <c r="G32" s="5">
        <f t="shared" si="4"/>
        <v>0</v>
      </c>
      <c r="H32" s="5">
        <f t="shared" si="4"/>
        <v>-10831587.262999998</v>
      </c>
      <c r="I32" s="5">
        <f t="shared" si="4"/>
        <v>-10352319.1</v>
      </c>
      <c r="J32" s="5">
        <f t="shared" si="4"/>
        <v>-9673442</v>
      </c>
      <c r="K32" s="5">
        <f t="shared" si="4"/>
        <v>-8313026.4949999992</v>
      </c>
      <c r="L32" s="5">
        <f t="shared" si="4"/>
        <v>-7423424</v>
      </c>
      <c r="M32" s="5">
        <f t="shared" si="4"/>
        <v>-7404061.023</v>
      </c>
    </row>
    <row r="33" spans="1:22">
      <c r="B33" s="5"/>
      <c r="C33" s="5"/>
      <c r="D33" s="5"/>
      <c r="E33" s="5"/>
      <c r="F33" s="5"/>
      <c r="G33" s="5"/>
      <c r="H33" s="5"/>
    </row>
    <row r="34" spans="1:22" ht="15.6">
      <c r="A34" s="107" t="s">
        <v>146</v>
      </c>
      <c r="B34" s="108"/>
      <c r="C34" s="108"/>
      <c r="D34" s="108"/>
      <c r="E34" s="108"/>
      <c r="F34" s="700"/>
      <c r="G34" s="112">
        <f>SUM(B6:I7)</f>
        <v>70743688.677000001</v>
      </c>
      <c r="H34" s="112">
        <f>SUM(B24:I24)</f>
        <v>770769.85966541991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22" ht="15">
      <c r="A35" s="108"/>
      <c r="B35" s="108"/>
      <c r="C35" s="108"/>
      <c r="D35" s="108"/>
      <c r="E35" s="108"/>
      <c r="F35" s="108"/>
      <c r="G35" s="108"/>
      <c r="H35" s="108">
        <f>H34/G34</f>
        <v>1.0895245555890989E-2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</row>
    <row r="36" spans="1:22" s="94" customFormat="1" ht="15.6">
      <c r="A36" s="109"/>
      <c r="B36" s="110" t="s">
        <v>0</v>
      </c>
      <c r="C36" s="110" t="s">
        <v>1</v>
      </c>
      <c r="D36" s="110" t="s">
        <v>2</v>
      </c>
      <c r="E36" s="110" t="s">
        <v>3</v>
      </c>
      <c r="F36" s="110" t="s">
        <v>4</v>
      </c>
      <c r="G36" s="110" t="s">
        <v>5</v>
      </c>
      <c r="H36" s="110" t="s">
        <v>6</v>
      </c>
      <c r="I36" s="110" t="s">
        <v>7</v>
      </c>
      <c r="J36" s="110" t="s">
        <v>8</v>
      </c>
      <c r="K36" s="110" t="s">
        <v>9</v>
      </c>
      <c r="L36" s="110" t="s">
        <v>10</v>
      </c>
      <c r="M36" s="110" t="s">
        <v>11</v>
      </c>
      <c r="N36" s="109" t="s">
        <v>55</v>
      </c>
      <c r="O36" s="109"/>
      <c r="P36" s="109"/>
      <c r="Q36" s="109"/>
      <c r="R36" s="109"/>
      <c r="S36" s="109"/>
      <c r="T36" s="109"/>
      <c r="U36" s="109"/>
      <c r="V36" s="109"/>
    </row>
    <row r="37" spans="1:22" ht="15">
      <c r="A37" s="108"/>
      <c r="B37" s="111"/>
      <c r="C37" s="111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12"/>
      <c r="O37" s="108"/>
      <c r="P37" s="108"/>
      <c r="Q37" s="108"/>
      <c r="R37" s="108"/>
      <c r="S37" s="108"/>
      <c r="T37" s="108"/>
      <c r="U37" s="108"/>
      <c r="V37" s="108"/>
    </row>
    <row r="38" spans="1:22" ht="15.6">
      <c r="A38" s="107" t="s">
        <v>125</v>
      </c>
      <c r="B38" s="113">
        <f>[16]calculation_WN_retail!$K$64</f>
        <v>7619667.7579499995</v>
      </c>
      <c r="C38" s="113">
        <f>+[16]calculation_WN_retail!$K$65</f>
        <v>6823773.4127954738</v>
      </c>
      <c r="D38" s="113">
        <f>+[16]calculation_WN_retail!$K$66</f>
        <v>7690004.825303521</v>
      </c>
      <c r="E38" s="113">
        <f>+[16]calculation_WN_retail!$K$67</f>
        <v>7795631.8137212293</v>
      </c>
      <c r="F38" s="113">
        <f>+[16]calculation_WN_retail!$K$68</f>
        <v>8898818.4208626878</v>
      </c>
      <c r="G38" s="113">
        <f>+[16]calculation_WN_retail!$K$69</f>
        <v>9394500.5609653965</v>
      </c>
      <c r="H38" s="113">
        <f>+[16]calculation_WN_retail!$K$70</f>
        <v>10136606.51374303</v>
      </c>
      <c r="I38" s="113">
        <f>+[16]calculation_WN_retail!$K$71</f>
        <v>10141327.767899016</v>
      </c>
      <c r="J38" s="113">
        <f>+[16]calculation_WN_retail!$K$72</f>
        <v>9358601.7415905092</v>
      </c>
      <c r="K38" s="113">
        <f>+[16]calculation_WN_retail!$K$73</f>
        <v>8816668.4823664725</v>
      </c>
      <c r="L38" s="113">
        <f>+[16]calculation_WN_retail!$K$75</f>
        <v>7672046.7099064216</v>
      </c>
      <c r="M38" s="113">
        <f>+[16]calculation_WN_retail!$K$76</f>
        <v>7762718.8652583119</v>
      </c>
      <c r="N38" s="112">
        <f>SUM(B38:M38)</f>
        <v>102110366.87236208</v>
      </c>
      <c r="O38" s="108"/>
      <c r="P38" s="108"/>
      <c r="Q38" s="108"/>
      <c r="R38" s="108"/>
      <c r="S38" s="108"/>
      <c r="T38" s="108"/>
      <c r="U38" s="108"/>
      <c r="V38" s="108"/>
    </row>
    <row r="39" spans="1:22" ht="15.6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112"/>
      <c r="O39" s="108"/>
      <c r="P39" s="108"/>
      <c r="Q39" s="108"/>
      <c r="R39" s="108"/>
      <c r="S39" s="108"/>
      <c r="T39" s="108"/>
      <c r="U39" s="108"/>
      <c r="V39" s="108"/>
    </row>
    <row r="40" spans="1:22" ht="15">
      <c r="A40" s="108" t="s">
        <v>12</v>
      </c>
      <c r="B40" s="114">
        <f ca="1">+'Variance Plan'!D89*B3</f>
        <v>61.050881851157079</v>
      </c>
      <c r="C40" s="114">
        <f ca="1">+'Variance Plan'!E89*C3</f>
        <v>36.176360223915061</v>
      </c>
      <c r="D40" s="114">
        <f ca="1">+'Variance Plan'!F89*D3</f>
        <v>3204.9559318404031</v>
      </c>
      <c r="E40" s="114">
        <f ca="1">+'Variance Plan'!G89*E3</f>
        <v>2576.4333349640647</v>
      </c>
      <c r="F40" s="114">
        <f ca="1">+'Variance Plan'!H89*F3</f>
        <v>-41.156945206343991</v>
      </c>
      <c r="G40" s="114">
        <f ca="1">+'Variance Plan'!I89*G3</f>
        <v>-5470.555121873861</v>
      </c>
      <c r="H40" s="114">
        <f ca="1">+'Variance Plan'!J89*H3</f>
        <v>0</v>
      </c>
      <c r="I40" s="114">
        <f ca="1">+'Variance Plan'!K89*I3</f>
        <v>0</v>
      </c>
      <c r="J40" s="114">
        <f ca="1">+'Variance Plan'!L89*J3</f>
        <v>0</v>
      </c>
      <c r="K40" s="114">
        <f ca="1">+'Variance Plan'!M89*K3</f>
        <v>0</v>
      </c>
      <c r="L40" s="114">
        <f ca="1">+'Variance Plan'!N89*L3</f>
        <v>0</v>
      </c>
      <c r="M40" s="114">
        <f ca="1">+'Variance Plan'!O89*M3</f>
        <v>0</v>
      </c>
      <c r="N40" s="112">
        <f ca="1">SUM(B40:M40)</f>
        <v>366.90444179933547</v>
      </c>
      <c r="O40" s="116">
        <f>N40/N$38</f>
        <v>3.5932144114021831E-6</v>
      </c>
      <c r="P40" s="108"/>
      <c r="Q40" s="116">
        <f>B40/B$38</f>
        <v>8.0122760979255931E-6</v>
      </c>
      <c r="R40" s="108"/>
      <c r="S40" s="108"/>
      <c r="T40" s="108"/>
      <c r="U40" s="108"/>
      <c r="V40" s="108"/>
    </row>
    <row r="41" spans="1:22" ht="15">
      <c r="A41" s="108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2"/>
      <c r="O41" s="116"/>
      <c r="P41" s="108"/>
      <c r="Q41" s="116"/>
      <c r="R41" s="108"/>
      <c r="S41" s="108"/>
      <c r="T41" s="108"/>
      <c r="U41" s="108"/>
      <c r="V41" s="108"/>
    </row>
    <row r="42" spans="1:22" ht="15">
      <c r="A42" s="108" t="s">
        <v>106</v>
      </c>
      <c r="B42" s="114">
        <f ca="1">+'Variance Plan'!D86*B3</f>
        <v>271.89966212058761</v>
      </c>
      <c r="C42" s="114">
        <f ca="1">+'Variance Plan'!E86*C3</f>
        <v>-128.05377619135837</v>
      </c>
      <c r="D42" s="114">
        <f ca="1">+'Variance Plan'!F86*D3</f>
        <v>-1566.9970147819226</v>
      </c>
      <c r="E42" s="114">
        <f ca="1">+'Variance Plan'!G86*E3</f>
        <v>-2807.5104622071576</v>
      </c>
      <c r="F42" s="114">
        <f ca="1">+'Variance Plan'!H86*F3</f>
        <v>-4052.4899534619976</v>
      </c>
      <c r="G42" s="114">
        <f ca="1">+'Variance Plan'!I86*G3</f>
        <v>-3665.5976940216933</v>
      </c>
      <c r="H42" s="114">
        <f ca="1">+'Variance Plan'!J86*H3</f>
        <v>0</v>
      </c>
      <c r="I42" s="114">
        <f ca="1">+'Variance Plan'!K86*I3</f>
        <v>0</v>
      </c>
      <c r="J42" s="114">
        <f ca="1">+'Variance Plan'!L86*J3</f>
        <v>0</v>
      </c>
      <c r="K42" s="114">
        <f ca="1">+'Variance Plan'!M86*K3</f>
        <v>0</v>
      </c>
      <c r="L42" s="114">
        <f ca="1">+'Variance Plan'!N86*L3</f>
        <v>0</v>
      </c>
      <c r="M42" s="114">
        <f ca="1">+'Variance Plan'!O86*M3</f>
        <v>0</v>
      </c>
      <c r="N42" s="114">
        <f ca="1">+'Variance Plan'!P76</f>
        <v>0</v>
      </c>
      <c r="O42" s="116">
        <f>N42/N$38</f>
        <v>0</v>
      </c>
      <c r="P42" s="108"/>
      <c r="Q42" s="116">
        <f>B42/B$38</f>
        <v>3.5683926223279278E-5</v>
      </c>
      <c r="R42" s="108"/>
      <c r="S42" s="108"/>
      <c r="T42" s="108"/>
      <c r="U42" s="108"/>
      <c r="V42" s="108"/>
    </row>
    <row r="43" spans="1:22" ht="15">
      <c r="A43" s="108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2"/>
      <c r="O43" s="116"/>
      <c r="P43" s="108"/>
      <c r="Q43" s="116"/>
      <c r="R43" s="108"/>
      <c r="S43" s="108"/>
      <c r="T43" s="108"/>
      <c r="U43" s="108"/>
      <c r="V43" s="108"/>
    </row>
    <row r="44" spans="1:22" ht="15">
      <c r="A44" s="108" t="s">
        <v>13</v>
      </c>
      <c r="B44" s="114">
        <f ca="1">+'Variance Plan'!D77*B3</f>
        <v>-4426.027875548255</v>
      </c>
      <c r="C44" s="114">
        <f ca="1">+'Variance Plan'!E77*C3</f>
        <v>-4616.4394236784747</v>
      </c>
      <c r="D44" s="114">
        <f ca="1">+'Variance Plan'!F77*D3</f>
        <v>-4623.0956353189185</v>
      </c>
      <c r="E44" s="114">
        <f ca="1">+'Variance Plan'!G77*E3</f>
        <v>1811.0469225580828</v>
      </c>
      <c r="F44" s="114">
        <f ca="1">+'Variance Plan'!H77*F3</f>
        <v>753.72154623410415</v>
      </c>
      <c r="G44" s="114">
        <f ca="1">+'Variance Plan'!I77*G3</f>
        <v>-396.03206698245691</v>
      </c>
      <c r="H44" s="114">
        <f ca="1">+'Variance Plan'!J77*H3</f>
        <v>0</v>
      </c>
      <c r="I44" s="114">
        <f ca="1">+'Variance Plan'!K77*I3</f>
        <v>0</v>
      </c>
      <c r="J44" s="114">
        <f ca="1">+'Variance Plan'!L77*J3</f>
        <v>0</v>
      </c>
      <c r="K44" s="114">
        <f ca="1">+'Variance Plan'!M77*K3</f>
        <v>0</v>
      </c>
      <c r="L44" s="114">
        <f ca="1">+'Variance Plan'!N77*L3</f>
        <v>0</v>
      </c>
      <c r="M44" s="114">
        <f ca="1">+'Variance Plan'!O77*M3</f>
        <v>0</v>
      </c>
      <c r="N44" s="112">
        <f ca="1">SUM(B44:M44)</f>
        <v>-11496.826532735919</v>
      </c>
      <c r="O44" s="116">
        <f>N44/N$38</f>
        <v>-1.1259215772975282E-4</v>
      </c>
      <c r="P44" s="108"/>
      <c r="Q44" s="116">
        <f>B44/B$38</f>
        <v>-5.8086887987082475E-4</v>
      </c>
      <c r="R44" s="108"/>
      <c r="S44" s="108"/>
      <c r="T44" s="108"/>
      <c r="U44" s="108"/>
      <c r="V44" s="108"/>
    </row>
    <row r="45" spans="1:22" ht="15">
      <c r="A45" s="108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2"/>
      <c r="O45" s="116"/>
      <c r="P45" s="108"/>
      <c r="Q45" s="116"/>
      <c r="R45" s="108"/>
      <c r="S45" s="108"/>
      <c r="T45" s="108"/>
      <c r="U45" s="108"/>
      <c r="V45" s="108"/>
    </row>
    <row r="46" spans="1:22" ht="15">
      <c r="A46" s="108" t="s">
        <v>35</v>
      </c>
      <c r="B46" s="114">
        <f ca="1">+'Variance Plan'!D73*B3</f>
        <v>23634.134614336421</v>
      </c>
      <c r="C46" s="114">
        <f ca="1">+'Variance Plan'!E73*C3</f>
        <v>225394.52055967678</v>
      </c>
      <c r="D46" s="114">
        <f ca="1">+'Variance Plan'!F73*D3</f>
        <v>310949.55532152252</v>
      </c>
      <c r="E46" s="114">
        <f ca="1">+'Variance Plan'!G73*E3</f>
        <v>-39876.166132140708</v>
      </c>
      <c r="F46" s="114">
        <f ca="1">+'Variance Plan'!H73*F3</f>
        <v>-71669.866038290056</v>
      </c>
      <c r="G46" s="114">
        <f ca="1">+'Variance Plan'!I73*G3</f>
        <v>51572.883356818507</v>
      </c>
      <c r="H46" s="114">
        <f ca="1">+'Variance Plan'!J73*H3</f>
        <v>0</v>
      </c>
      <c r="I46" s="114">
        <f ca="1">+'Variance Plan'!K73*I3</f>
        <v>0</v>
      </c>
      <c r="J46" s="114">
        <f ca="1">+'Variance Plan'!L73*J3</f>
        <v>0</v>
      </c>
      <c r="K46" s="114">
        <f ca="1">+'Variance Plan'!M73*K3</f>
        <v>0</v>
      </c>
      <c r="L46" s="114">
        <f ca="1">+'Variance Plan'!N73*L3</f>
        <v>0</v>
      </c>
      <c r="M46" s="114">
        <f ca="1">+'Variance Plan'!O73*M3</f>
        <v>0</v>
      </c>
      <c r="N46" s="112">
        <f ca="1">SUM(B46:M46)</f>
        <v>500005.06168192351</v>
      </c>
      <c r="O46" s="116">
        <f>N46/N$38</f>
        <v>4.8967120283382164E-3</v>
      </c>
      <c r="P46" s="108"/>
      <c r="Q46" s="116">
        <f>B46/B$38</f>
        <v>3.1017277084919729E-3</v>
      </c>
      <c r="R46" s="108"/>
      <c r="S46" s="108"/>
      <c r="T46" s="108"/>
      <c r="U46" s="108"/>
      <c r="V46" s="108"/>
    </row>
    <row r="47" spans="1:22" ht="15">
      <c r="A47" s="108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2"/>
      <c r="O47" s="116"/>
      <c r="P47" s="108"/>
      <c r="Q47" s="116"/>
      <c r="R47" s="108"/>
      <c r="S47" s="108"/>
      <c r="T47" s="108"/>
      <c r="U47" s="108"/>
      <c r="V47" s="108"/>
    </row>
    <row r="48" spans="1:22" ht="15">
      <c r="A48" s="108" t="s">
        <v>36</v>
      </c>
      <c r="B48" s="114">
        <f ca="1">(+'Variance Plan'!D72+'Variance Plan'!D74)*B3</f>
        <v>-191185.07720555662</v>
      </c>
      <c r="C48" s="114">
        <f ca="1">(+'Variance Plan'!E72+'Variance Plan'!E74)*C3</f>
        <v>-183718.33390148415</v>
      </c>
      <c r="D48" s="114">
        <f ca="1">(+'Variance Plan'!F72+'Variance Plan'!F74)*D3</f>
        <v>-131031.70989892758</v>
      </c>
      <c r="E48" s="114">
        <f ca="1">(+'Variance Plan'!G72+'Variance Plan'!G74)*E3</f>
        <v>0</v>
      </c>
      <c r="F48" s="114">
        <f ca="1">(+'Variance Plan'!H72+'Variance Plan'!H74)*F3</f>
        <v>0</v>
      </c>
      <c r="G48" s="114">
        <f ca="1">(+'Variance Plan'!I72+'Variance Plan'!I74)*G3</f>
        <v>0</v>
      </c>
      <c r="H48" s="114">
        <f ca="1">(+'Variance Plan'!J72+'Variance Plan'!J74)*H3</f>
        <v>0</v>
      </c>
      <c r="I48" s="114">
        <f ca="1">(+'Variance Plan'!K72+'Variance Plan'!K74)*I3</f>
        <v>0</v>
      </c>
      <c r="J48" s="114">
        <f ca="1">(+'Variance Plan'!L72+'Variance Plan'!L74)*J3</f>
        <v>0</v>
      </c>
      <c r="K48" s="114">
        <f ca="1">(+'Variance Plan'!M72+'Variance Plan'!M74)*K3</f>
        <v>0</v>
      </c>
      <c r="L48" s="114">
        <f ca="1">(+'Variance Plan'!N72+'Variance Plan'!N74)*L3</f>
        <v>0</v>
      </c>
      <c r="M48" s="114">
        <f ca="1">(+'Variance Plan'!O72+'Variance Plan'!O74)*M3</f>
        <v>0</v>
      </c>
      <c r="N48" s="112">
        <f ca="1">SUM(B48:M48)</f>
        <v>-505935.12100596837</v>
      </c>
      <c r="O48" s="116">
        <f>N48/N$38</f>
        <v>-4.9547870260655035E-3</v>
      </c>
      <c r="P48" s="108"/>
      <c r="Q48" s="116">
        <f>B48/B$38</f>
        <v>-2.5090999145741387E-2</v>
      </c>
      <c r="R48" s="108"/>
      <c r="S48" s="112"/>
      <c r="T48" s="112"/>
      <c r="U48" s="108"/>
      <c r="V48" s="108"/>
    </row>
    <row r="49" spans="1:22" ht="15">
      <c r="A49" s="108"/>
      <c r="N49" s="112"/>
      <c r="O49" s="116"/>
      <c r="P49" s="108"/>
      <c r="Q49" s="116"/>
      <c r="R49" s="108"/>
      <c r="S49" s="112"/>
      <c r="T49" s="112"/>
      <c r="U49" s="108"/>
      <c r="V49" s="108"/>
    </row>
    <row r="50" spans="1:22" ht="15">
      <c r="A50" s="108" t="str">
        <f>+A18</f>
        <v>Mandated Energy Effciency</v>
      </c>
      <c r="B50" s="117">
        <f ca="1">+'Variance Plan'!D76*B3</f>
        <v>0</v>
      </c>
      <c r="C50" s="117">
        <f ca="1">+'Variance Plan'!E76*C3</f>
        <v>0</v>
      </c>
      <c r="D50" s="117">
        <f ca="1">+'Variance Plan'!F76*D3</f>
        <v>0</v>
      </c>
      <c r="E50" s="117">
        <f ca="1">+'Variance Plan'!G76*E3</f>
        <v>0</v>
      </c>
      <c r="F50" s="117">
        <f ca="1">+'Variance Plan'!H76*F3</f>
        <v>0</v>
      </c>
      <c r="G50" s="117">
        <f ca="1">+'Variance Plan'!I76*G3</f>
        <v>0</v>
      </c>
      <c r="H50" s="117">
        <f ca="1">+'Variance Plan'!J76*H3</f>
        <v>0</v>
      </c>
      <c r="I50" s="117">
        <f ca="1">+'Variance Plan'!K76*I3</f>
        <v>0</v>
      </c>
      <c r="J50" s="117">
        <f ca="1">+'Variance Plan'!L76*J3</f>
        <v>0</v>
      </c>
      <c r="K50" s="117">
        <f ca="1">+'Variance Plan'!M76*K3</f>
        <v>0</v>
      </c>
      <c r="L50" s="117">
        <f ca="1">+'Variance Plan'!N76*L3</f>
        <v>0</v>
      </c>
      <c r="M50" s="117">
        <f ca="1">+'Variance Plan'!O76*M3</f>
        <v>0</v>
      </c>
      <c r="N50" s="112">
        <f ca="1">SUM(B50:M50)</f>
        <v>0</v>
      </c>
      <c r="O50" s="116">
        <f>N50/N$38</f>
        <v>0</v>
      </c>
      <c r="P50" s="108"/>
      <c r="Q50" s="116">
        <f>B50/B$38</f>
        <v>0</v>
      </c>
      <c r="R50" s="108"/>
      <c r="S50" s="108"/>
      <c r="T50" s="108"/>
      <c r="U50" s="108"/>
      <c r="V50" s="108"/>
    </row>
    <row r="51" spans="1:22" ht="15">
      <c r="A51" s="108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2"/>
      <c r="O51" s="116"/>
      <c r="P51" s="108"/>
      <c r="Q51" s="116"/>
      <c r="R51" s="108"/>
      <c r="S51" s="108"/>
      <c r="T51" s="108"/>
      <c r="U51" s="108"/>
      <c r="V51" s="108"/>
    </row>
    <row r="52" spans="1:22" ht="15">
      <c r="A52" s="108" t="str">
        <f>+A20</f>
        <v>Empty Homes</v>
      </c>
      <c r="B52" s="114">
        <f ca="1">+'Variance Plan'!D75*B3</f>
        <v>7026.1357266695286</v>
      </c>
      <c r="C52" s="114">
        <f ca="1">+'Variance Plan'!E75*C3</f>
        <v>16189.455550472794</v>
      </c>
      <c r="D52" s="114">
        <f ca="1">+'Variance Plan'!F75*D3</f>
        <v>23083.329448938497</v>
      </c>
      <c r="E52" s="114">
        <f ca="1">+'Variance Plan'!G75*E3</f>
        <v>20888.17276976876</v>
      </c>
      <c r="F52" s="114">
        <f ca="1">+'Variance Plan'!H75*F3</f>
        <v>11701.02297205379</v>
      </c>
      <c r="G52" s="114">
        <f ca="1">+'Variance Plan'!I75*G3</f>
        <v>13826.480298979677</v>
      </c>
      <c r="H52" s="114">
        <f ca="1">+'Variance Plan'!J75*H3</f>
        <v>0</v>
      </c>
      <c r="I52" s="114">
        <f ca="1">+'Variance Plan'!K75*I3</f>
        <v>0</v>
      </c>
      <c r="J52" s="114">
        <f ca="1">+'Variance Plan'!L75*J3</f>
        <v>0</v>
      </c>
      <c r="K52" s="114">
        <f ca="1">+'Variance Plan'!M75*K3</f>
        <v>0</v>
      </c>
      <c r="L52" s="114">
        <f ca="1">+'Variance Plan'!N75*L3</f>
        <v>0</v>
      </c>
      <c r="M52" s="114">
        <f ca="1">+'Variance Plan'!O75*M3</f>
        <v>0</v>
      </c>
      <c r="N52" s="112">
        <f ca="1">SUM(B52:M52)</f>
        <v>92714.596766883042</v>
      </c>
      <c r="O52" s="116">
        <f>N52/N$38</f>
        <v>9.0798417052772174E-4</v>
      </c>
      <c r="P52" s="108"/>
      <c r="Q52" s="116">
        <f>B52/B$38</f>
        <v>9.2210526099891854E-4</v>
      </c>
      <c r="R52" s="108"/>
      <c r="S52" s="108"/>
      <c r="T52" s="108"/>
      <c r="U52" s="108"/>
      <c r="V52" s="108"/>
    </row>
    <row r="53" spans="1:22" ht="15">
      <c r="A53" s="108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2"/>
      <c r="O53" s="116"/>
      <c r="P53" s="108"/>
      <c r="Q53" s="116"/>
      <c r="R53" s="108"/>
      <c r="S53" s="108"/>
      <c r="T53" s="108"/>
      <c r="U53" s="108"/>
      <c r="V53" s="108"/>
    </row>
    <row r="54" spans="1:22" ht="15">
      <c r="A54" s="177" t="s">
        <v>76</v>
      </c>
      <c r="B54" s="115">
        <v>0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2"/>
      <c r="O54" s="116"/>
      <c r="P54" s="108"/>
      <c r="Q54" s="116"/>
      <c r="R54" s="108"/>
      <c r="S54" s="108"/>
      <c r="T54" s="108"/>
      <c r="U54" s="108"/>
      <c r="V54" s="108"/>
    </row>
    <row r="55" spans="1:22" ht="15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16"/>
      <c r="P55" s="108"/>
      <c r="Q55" s="116"/>
      <c r="R55" s="108"/>
      <c r="S55" s="108"/>
      <c r="T55" s="108"/>
      <c r="U55" s="108"/>
      <c r="V55" s="108"/>
    </row>
    <row r="56" spans="1:22" ht="15">
      <c r="A56" s="108" t="s">
        <v>37</v>
      </c>
      <c r="B56" s="280">
        <f>[3]All!$AO$6-SUM(B38:B54)</f>
        <v>-96271.380555965006</v>
      </c>
      <c r="C56" s="280">
        <f>[3]All!$AO$7-SUM(C38:C54)</f>
        <v>244847.38635836542</v>
      </c>
      <c r="D56" s="280">
        <f>[3]All!$AO$8-SUM(D38:D54)</f>
        <v>78699.404572919011</v>
      </c>
      <c r="E56" s="280">
        <f>[3]All!$AO$9-SUM(E38:E54)</f>
        <v>64075.795845827088</v>
      </c>
      <c r="F56" s="280">
        <f>[3]All!$AO$10-SUM(F38:F54)</f>
        <v>280921.63491965085</v>
      </c>
      <c r="G56" s="280">
        <f>[3]All!$AO$11-SUM(G38:G54)</f>
        <v>-9985.8645494431257</v>
      </c>
      <c r="H56" s="114"/>
      <c r="I56" s="114"/>
      <c r="J56" s="114"/>
      <c r="K56" s="114"/>
      <c r="L56" s="114"/>
      <c r="M56" s="114"/>
      <c r="N56" s="108"/>
      <c r="O56" s="116"/>
      <c r="P56" s="108"/>
      <c r="Q56" s="116">
        <f>B56/B$38</f>
        <v>-1.2634590327842053E-2</v>
      </c>
      <c r="R56" s="108"/>
      <c r="S56" s="120"/>
      <c r="T56" s="108"/>
      <c r="U56" s="108"/>
      <c r="V56" s="108"/>
    </row>
    <row r="57" spans="1:22" ht="1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16"/>
      <c r="P57" s="108"/>
      <c r="Q57" s="108"/>
      <c r="R57" s="108"/>
      <c r="S57" s="108"/>
      <c r="T57" s="112"/>
      <c r="U57" s="108"/>
      <c r="V57" s="108"/>
    </row>
    <row r="58" spans="1:22" ht="15.6">
      <c r="A58" s="107" t="str">
        <f>+A26</f>
        <v xml:space="preserve">2012 Actual Retail Delivered Sales </v>
      </c>
      <c r="B58" s="113">
        <f>SUM(B38:B56)</f>
        <v>7358778.4931979077</v>
      </c>
      <c r="C58" s="128">
        <f t="shared" ref="C58:N58" si="5">SUM(C38:C56)</f>
        <v>7121778.1245228592</v>
      </c>
      <c r="D58" s="128">
        <f t="shared" si="5"/>
        <v>7968720.2680297131</v>
      </c>
      <c r="E58" s="128">
        <f t="shared" si="5"/>
        <v>7842299.5860000001</v>
      </c>
      <c r="F58" s="128">
        <f t="shared" si="5"/>
        <v>9116431.287363667</v>
      </c>
      <c r="G58" s="128">
        <f t="shared" si="5"/>
        <v>9440381.8751888722</v>
      </c>
      <c r="H58" s="128">
        <f t="shared" si="5"/>
        <v>10136606.51374303</v>
      </c>
      <c r="I58" s="128">
        <f t="shared" si="5"/>
        <v>10141327.767899016</v>
      </c>
      <c r="J58" s="128">
        <f t="shared" si="5"/>
        <v>9358601.7415905092</v>
      </c>
      <c r="K58" s="128">
        <f t="shared" si="5"/>
        <v>8816668.4823664725</v>
      </c>
      <c r="L58" s="129">
        <f t="shared" si="5"/>
        <v>7672046.7099064216</v>
      </c>
      <c r="M58" s="129">
        <f t="shared" si="5"/>
        <v>7762718.8652583119</v>
      </c>
      <c r="N58" s="129">
        <f t="shared" si="5"/>
        <v>102186021.48771399</v>
      </c>
      <c r="O58" s="116"/>
      <c r="P58" s="108"/>
      <c r="Q58" s="108"/>
      <c r="R58" s="108"/>
      <c r="S58" s="145"/>
      <c r="T58" s="146"/>
      <c r="U58" s="108"/>
      <c r="V58" s="108"/>
    </row>
    <row r="59" spans="1:22" s="288" customFormat="1" ht="15.6"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N59" s="290"/>
    </row>
    <row r="60" spans="1:22" ht="15">
      <c r="A60" s="119" t="s">
        <v>77</v>
      </c>
      <c r="B60" s="114">
        <f>+B58-B38</f>
        <v>-260889.26475209184</v>
      </c>
      <c r="C60" s="114">
        <f t="shared" ref="C60:L60" si="6">+C58-C38</f>
        <v>298004.71172738541</v>
      </c>
      <c r="D60" s="114">
        <f t="shared" si="6"/>
        <v>278715.44272619206</v>
      </c>
      <c r="E60" s="114">
        <f t="shared" si="6"/>
        <v>46667.772278770804</v>
      </c>
      <c r="F60" s="114">
        <f t="shared" si="6"/>
        <v>217612.86650097929</v>
      </c>
      <c r="G60" s="114">
        <f t="shared" si="6"/>
        <v>45881.314223475754</v>
      </c>
      <c r="H60" s="114">
        <f t="shared" si="6"/>
        <v>0</v>
      </c>
      <c r="I60" s="114">
        <f t="shared" si="6"/>
        <v>0</v>
      </c>
      <c r="J60" s="114">
        <f t="shared" si="6"/>
        <v>0</v>
      </c>
      <c r="K60" s="114">
        <f t="shared" si="6"/>
        <v>0</v>
      </c>
      <c r="L60" s="114">
        <f t="shared" si="6"/>
        <v>0</v>
      </c>
      <c r="M60" s="108"/>
      <c r="N60" s="114">
        <f>+N58-N38</f>
        <v>75654.615351915359</v>
      </c>
      <c r="O60" s="116">
        <f>N60/N$38</f>
        <v>7.4091022948221904E-4</v>
      </c>
      <c r="P60" s="108"/>
      <c r="Q60" s="108"/>
      <c r="R60" s="108"/>
      <c r="S60" s="108"/>
      <c r="T60" s="108"/>
      <c r="U60" s="108"/>
      <c r="V60" s="108"/>
    </row>
    <row r="61" spans="1:22" ht="15">
      <c r="A61" s="108" t="s">
        <v>16</v>
      </c>
      <c r="B61" s="118">
        <f t="shared" ref="B61:L61" si="7">(B58/B38)-1</f>
        <v>-3.4238929181642175E-2</v>
      </c>
      <c r="C61" s="118">
        <f t="shared" si="7"/>
        <v>4.367154266414941E-2</v>
      </c>
      <c r="D61" s="118">
        <f t="shared" si="7"/>
        <v>3.6243857976407945E-2</v>
      </c>
      <c r="E61" s="118">
        <f t="shared" si="7"/>
        <v>5.986400255157065E-3</v>
      </c>
      <c r="F61" s="118">
        <f t="shared" si="7"/>
        <v>2.4454130448464895E-2</v>
      </c>
      <c r="G61" s="118">
        <f t="shared" si="7"/>
        <v>4.8838481541120249E-3</v>
      </c>
      <c r="H61" s="118">
        <f t="shared" si="7"/>
        <v>0</v>
      </c>
      <c r="I61" s="118">
        <f t="shared" si="7"/>
        <v>0</v>
      </c>
      <c r="J61" s="118">
        <f t="shared" si="7"/>
        <v>0</v>
      </c>
      <c r="K61" s="118">
        <f t="shared" si="7"/>
        <v>0</v>
      </c>
      <c r="L61" s="118">
        <f t="shared" si="7"/>
        <v>0</v>
      </c>
      <c r="M61" s="108"/>
      <c r="N61" s="118">
        <f>(N58/N38)-1</f>
        <v>7.4091022948219454E-4</v>
      </c>
      <c r="O61" s="108"/>
      <c r="P61" s="108"/>
      <c r="Q61" s="108"/>
      <c r="R61" s="108"/>
      <c r="S61" s="108"/>
      <c r="T61" s="108"/>
      <c r="U61" s="108"/>
      <c r="V61" s="108"/>
    </row>
    <row r="62" spans="1:22" ht="15">
      <c r="A62" s="108"/>
      <c r="B62" s="112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</row>
    <row r="63" spans="1:22" ht="15">
      <c r="A63" s="232" t="s">
        <v>126</v>
      </c>
      <c r="B63" s="267">
        <f t="shared" ref="B63:M63" si="8">+B31</f>
        <v>7358778.4931979077</v>
      </c>
      <c r="C63" s="267">
        <f t="shared" si="8"/>
        <v>7121778.1245228592</v>
      </c>
      <c r="D63" s="267">
        <f t="shared" si="8"/>
        <v>7968720.2680297131</v>
      </c>
      <c r="E63" s="54">
        <f t="shared" si="8"/>
        <v>7842299.5860000001</v>
      </c>
      <c r="F63" s="54">
        <f t="shared" si="8"/>
        <v>9116431.287363667</v>
      </c>
      <c r="G63" s="54">
        <f t="shared" si="8"/>
        <v>9440381.8751888722</v>
      </c>
      <c r="H63" s="54">
        <f t="shared" si="8"/>
        <v>0</v>
      </c>
      <c r="I63" s="54">
        <f t="shared" si="8"/>
        <v>0</v>
      </c>
      <c r="J63" s="54">
        <f t="shared" si="8"/>
        <v>0</v>
      </c>
      <c r="K63" s="54">
        <f t="shared" si="8"/>
        <v>0</v>
      </c>
      <c r="L63" s="54">
        <f t="shared" si="8"/>
        <v>0</v>
      </c>
      <c r="M63" s="54">
        <f t="shared" si="8"/>
        <v>0</v>
      </c>
      <c r="N63" s="108"/>
      <c r="O63" s="108"/>
      <c r="P63" s="108"/>
      <c r="Q63" s="108"/>
      <c r="R63" s="108"/>
      <c r="S63" s="108"/>
      <c r="T63" s="108"/>
      <c r="U63" s="108"/>
      <c r="V63" s="108"/>
    </row>
    <row r="64" spans="1:22" ht="15">
      <c r="A64" s="225" t="s">
        <v>53</v>
      </c>
      <c r="B64" s="493">
        <f t="shared" ref="B64:M64" si="9">+B63-B58</f>
        <v>0</v>
      </c>
      <c r="C64" s="114">
        <f t="shared" si="9"/>
        <v>0</v>
      </c>
      <c r="D64" s="114">
        <f t="shared" si="9"/>
        <v>0</v>
      </c>
      <c r="E64" s="112">
        <f t="shared" si="9"/>
        <v>0</v>
      </c>
      <c r="F64" s="112">
        <f t="shared" si="9"/>
        <v>0</v>
      </c>
      <c r="G64" s="112">
        <f t="shared" si="9"/>
        <v>0</v>
      </c>
      <c r="H64" s="112">
        <f t="shared" si="9"/>
        <v>-10136606.51374303</v>
      </c>
      <c r="I64" s="112">
        <f t="shared" si="9"/>
        <v>-10141327.767899016</v>
      </c>
      <c r="J64" s="112">
        <f t="shared" si="9"/>
        <v>-9358601.7415905092</v>
      </c>
      <c r="K64" s="112">
        <f t="shared" si="9"/>
        <v>-8816668.4823664725</v>
      </c>
      <c r="L64" s="112">
        <f t="shared" si="9"/>
        <v>-7672046.7099064216</v>
      </c>
      <c r="M64" s="112">
        <f t="shared" si="9"/>
        <v>-7762718.8652583119</v>
      </c>
      <c r="N64" s="108"/>
      <c r="O64" s="108"/>
      <c r="P64" s="108"/>
      <c r="Q64" s="108"/>
      <c r="R64" s="108"/>
      <c r="S64" s="108"/>
      <c r="T64" s="108"/>
      <c r="U64" s="108"/>
      <c r="V64" s="108"/>
    </row>
    <row r="65" spans="1:22" ht="15">
      <c r="A65" s="108"/>
      <c r="B65" s="129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</row>
    <row r="66" spans="1:22">
      <c r="B66" s="131"/>
      <c r="C66" s="131"/>
      <c r="D66" s="131"/>
      <c r="E66" s="131"/>
      <c r="F66" s="131"/>
      <c r="I66" s="5"/>
    </row>
    <row r="67" spans="1:22">
      <c r="A67" s="45" t="s">
        <v>465</v>
      </c>
      <c r="B67" s="5">
        <v>0</v>
      </c>
      <c r="C67" s="5">
        <f ca="1">leap_day!D9</f>
        <v>279177.91615145659</v>
      </c>
      <c r="D67" s="5">
        <v>0</v>
      </c>
      <c r="E67" s="5">
        <v>0</v>
      </c>
      <c r="F67" s="5">
        <v>0</v>
      </c>
      <c r="G67" s="5">
        <v>0</v>
      </c>
      <c r="H67" s="5"/>
      <c r="I67" s="5"/>
      <c r="J67" s="5"/>
      <c r="K67" s="5"/>
      <c r="L67" s="5"/>
      <c r="M67" s="5"/>
    </row>
    <row r="68" spans="1:22">
      <c r="A68" s="45"/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22">
      <c r="A69" s="45" t="s">
        <v>466</v>
      </c>
      <c r="B69" s="5">
        <f t="shared" ref="B69:G69" si="10">B24-B67</f>
        <v>-50460.177456603386</v>
      </c>
      <c r="C69" s="5">
        <f t="shared" si="10"/>
        <v>-25205.161437452829</v>
      </c>
      <c r="D69" s="5">
        <f t="shared" si="10"/>
        <v>196833.01164077315</v>
      </c>
      <c r="E69" s="5">
        <f t="shared" si="10"/>
        <v>28110.860597369261</v>
      </c>
      <c r="F69" s="5">
        <f t="shared" si="10"/>
        <v>342970.49063049629</v>
      </c>
      <c r="G69" s="5">
        <f t="shared" si="10"/>
        <v>-657.08046061918139</v>
      </c>
    </row>
    <row r="70" spans="1:22">
      <c r="A70" s="45"/>
      <c r="B70" s="131">
        <f t="shared" ref="B70:G70" si="11">B69/B6</f>
        <v>-6.7932098589029493E-3</v>
      </c>
      <c r="C70" s="131">
        <f t="shared" si="11"/>
        <v>-3.7795996740265037E-3</v>
      </c>
      <c r="D70" s="131">
        <f t="shared" si="11"/>
        <v>2.6306147066914622E-2</v>
      </c>
      <c r="E70" s="131">
        <f t="shared" si="11"/>
        <v>3.1129196027535324E-3</v>
      </c>
      <c r="F70" s="131">
        <f t="shared" si="11"/>
        <v>3.8784187321742915E-2</v>
      </c>
      <c r="G70" s="131">
        <f t="shared" si="11"/>
        <v>-6.5011240625804294E-5</v>
      </c>
      <c r="H70" s="5"/>
      <c r="I70" s="5"/>
      <c r="J70" s="5"/>
      <c r="K70" s="5"/>
    </row>
    <row r="71" spans="1:22">
      <c r="A71" s="4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22">
      <c r="A72" s="45" t="s">
        <v>467</v>
      </c>
      <c r="B72" s="233">
        <f t="shared" ref="B72:G72" si="12">B56-B67</f>
        <v>-96271.380555965006</v>
      </c>
      <c r="C72" s="233">
        <f t="shared" si="12"/>
        <v>-34330.529793091177</v>
      </c>
      <c r="D72" s="233">
        <f t="shared" si="12"/>
        <v>78699.404572919011</v>
      </c>
      <c r="E72" s="233">
        <f t="shared" si="12"/>
        <v>64075.795845827088</v>
      </c>
      <c r="F72" s="233">
        <f t="shared" si="12"/>
        <v>280921.63491965085</v>
      </c>
      <c r="G72" s="233">
        <f t="shared" si="12"/>
        <v>-9985.8645494431257</v>
      </c>
      <c r="H72" s="183"/>
      <c r="I72" s="183"/>
      <c r="J72" s="183"/>
      <c r="K72" s="183"/>
    </row>
    <row r="73" spans="1:22">
      <c r="B73" s="131">
        <f t="shared" ref="B73:G73" si="13">B72/B38</f>
        <v>-1.2634590327842053E-2</v>
      </c>
      <c r="C73" s="131">
        <f t="shared" si="13"/>
        <v>-5.0310184287064566E-3</v>
      </c>
      <c r="D73" s="131">
        <f t="shared" si="13"/>
        <v>1.0233986370718927E-2</v>
      </c>
      <c r="E73" s="131">
        <f t="shared" si="13"/>
        <v>8.21944870883283E-3</v>
      </c>
      <c r="F73" s="131">
        <f t="shared" si="13"/>
        <v>3.1568419719751641E-2</v>
      </c>
      <c r="G73" s="131">
        <f t="shared" si="13"/>
        <v>-1.0629478900597308E-3</v>
      </c>
    </row>
    <row r="74" spans="1:22">
      <c r="B74" s="183"/>
      <c r="C74" s="183"/>
      <c r="D74" s="183"/>
      <c r="E74" s="183"/>
      <c r="F74" s="183"/>
      <c r="G74" s="183"/>
      <c r="H74" s="183"/>
      <c r="I74" s="183"/>
    </row>
    <row r="76" spans="1:22">
      <c r="B76" s="183"/>
      <c r="C76" s="183"/>
      <c r="D76" s="183"/>
      <c r="E76" s="183"/>
      <c r="F76" s="173"/>
      <c r="G76" s="183"/>
      <c r="H76" s="183"/>
      <c r="I76" s="183"/>
      <c r="J76" s="183"/>
      <c r="K76" s="221"/>
    </row>
    <row r="78" spans="1:22">
      <c r="B78" s="5"/>
      <c r="C78" s="5"/>
      <c r="D78" s="5"/>
    </row>
    <row r="158" spans="1:1">
      <c r="A158" s="209" t="s">
        <v>120</v>
      </c>
    </row>
  </sheetData>
  <phoneticPr fontId="2" type="noConversion"/>
  <printOptions horizontalCentered="1" headings="1" gridLines="1"/>
  <pageMargins left="0.25" right="0.25" top="1" bottom="1" header="0.5" footer="0.5"/>
  <pageSetup scale="62" orientation="portrait" r:id="rId1"/>
  <headerFooter alignWithMargins="0">
    <oddHeader>&amp;C&amp;A  &amp;D &amp;T</oddHeader>
    <oddFooter>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S66"/>
  <sheetViews>
    <sheetView workbookViewId="0"/>
  </sheetViews>
  <sheetFormatPr defaultRowHeight="13.2"/>
  <cols>
    <col min="1" max="1" width="33.5546875" customWidth="1"/>
    <col min="2" max="2" width="12.6640625" customWidth="1"/>
    <col min="4" max="4" width="13.5546875" customWidth="1"/>
    <col min="5" max="5" width="11.5546875" bestFit="1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</cols>
  <sheetData>
    <row r="1" spans="1:16" ht="55.5" customHeight="1">
      <c r="A1" s="780" t="s">
        <v>469</v>
      </c>
    </row>
    <row r="2" spans="1:16" ht="13.8">
      <c r="A2" s="436" t="s">
        <v>142</v>
      </c>
    </row>
    <row r="3" spans="1:16">
      <c r="J3" s="232"/>
    </row>
    <row r="4" spans="1:16">
      <c r="A4" s="1"/>
      <c r="B4" s="230" t="s">
        <v>25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6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</row>
    <row r="6" spans="1:16">
      <c r="A6" s="46" t="s">
        <v>141</v>
      </c>
      <c r="B6" s="47">
        <f ca="1">+'Summary Plan Retail Delivered'!C6</f>
        <v>6668738.3879999993</v>
      </c>
      <c r="I6" s="232" t="s">
        <v>147</v>
      </c>
    </row>
    <row r="7" spans="1:16">
      <c r="A7" s="1"/>
      <c r="B7" s="232"/>
      <c r="O7" s="233">
        <f>+[3]Retail!$N$7</f>
        <v>6668738.3879999993</v>
      </c>
      <c r="P7" t="s">
        <v>133</v>
      </c>
    </row>
    <row r="8" spans="1:16">
      <c r="A8" s="1" t="s">
        <v>12</v>
      </c>
      <c r="B8" s="31">
        <f ca="1">+'Summary Plan Retail Delivered'!C8</f>
        <v>39786.497454806158</v>
      </c>
      <c r="C8" s="50">
        <f>O9</f>
        <v>40.490751512443353</v>
      </c>
      <c r="D8" s="234"/>
      <c r="I8" s="249" t="s">
        <v>281</v>
      </c>
      <c r="O8" s="437">
        <f ca="1">Feb_Prices!E16</f>
        <v>270022.22897</v>
      </c>
      <c r="P8" t="s">
        <v>134</v>
      </c>
    </row>
    <row r="9" spans="1:16">
      <c r="A9" s="1"/>
      <c r="B9" s="3"/>
      <c r="C9" s="50"/>
      <c r="D9" s="234"/>
      <c r="O9" s="50">
        <f>O8/O7*1000</f>
        <v>40.490751512443353</v>
      </c>
    </row>
    <row r="10" spans="1:16">
      <c r="A10" s="1" t="s">
        <v>106</v>
      </c>
      <c r="B10" s="31">
        <f ca="1">+'Summary Plan Retail Delivered'!C10</f>
        <v>-9677.2102034003201</v>
      </c>
      <c r="C10" s="50">
        <f>C8</f>
        <v>40.490751512443353</v>
      </c>
      <c r="D10" s="431">
        <f>+C10*B10/1000</f>
        <v>-391.83751367956376</v>
      </c>
      <c r="E10" s="432">
        <f>D10</f>
        <v>-391.83751367956376</v>
      </c>
      <c r="F10" s="432">
        <f ca="1">+'P6 Summary Plan Forecast_Jan'!F10+E10</f>
        <v>-1120.6152608593502</v>
      </c>
      <c r="G10" s="432">
        <f ca="1">+E10+'P6 Summary Plan Forecast_Jan'!G10</f>
        <v>-1120.6152608593502</v>
      </c>
      <c r="H10" s="238"/>
      <c r="I10" s="235"/>
      <c r="K10" s="236"/>
      <c r="P10" s="81"/>
    </row>
    <row r="11" spans="1:16">
      <c r="A11" s="1"/>
      <c r="B11" s="3"/>
      <c r="C11" s="50"/>
      <c r="D11" s="431"/>
      <c r="E11" s="432"/>
      <c r="F11" s="432"/>
      <c r="G11" s="432"/>
      <c r="H11" s="238"/>
      <c r="I11" s="235"/>
      <c r="K11" s="236"/>
      <c r="O11" s="5"/>
    </row>
    <row r="12" spans="1:16">
      <c r="A12" s="1" t="s">
        <v>13</v>
      </c>
      <c r="B12" s="31">
        <f ca="1">+'Summary Plan Retail Delivered'!C12</f>
        <v>25453.694516643191</v>
      </c>
      <c r="C12" s="50">
        <f>C10</f>
        <v>40.490751512443353</v>
      </c>
      <c r="D12" s="431">
        <f>+C12*B12/1000</f>
        <v>1030.6392197470414</v>
      </c>
      <c r="E12" s="432">
        <f>D12</f>
        <v>1030.6392197470414</v>
      </c>
      <c r="F12" s="432">
        <f ca="1">+'P6 Summary Plan Forecast_Jan'!F12+E12</f>
        <v>2103.0288774887877</v>
      </c>
      <c r="G12" s="432">
        <f ca="1">+E12+'P6 Summary Plan Forecast_Jan'!G12</f>
        <v>2103.0288774887877</v>
      </c>
      <c r="H12" s="238"/>
      <c r="I12" s="235"/>
      <c r="K12" s="236"/>
      <c r="O12" s="5"/>
    </row>
    <row r="13" spans="1:16">
      <c r="A13" s="1"/>
      <c r="B13" s="3"/>
      <c r="C13" s="50"/>
      <c r="D13" s="431"/>
      <c r="E13" s="432"/>
      <c r="F13" s="432"/>
      <c r="G13" s="432"/>
      <c r="H13" s="238"/>
      <c r="I13" s="235"/>
      <c r="K13" s="236"/>
      <c r="O13" s="81"/>
    </row>
    <row r="14" spans="1:16">
      <c r="A14" s="1" t="s">
        <v>35</v>
      </c>
      <c r="B14" s="31">
        <f ca="1">+'Summary Plan Retail Delivered'!C14</f>
        <v>98724.405845929548</v>
      </c>
      <c r="C14" s="50">
        <f>C12</f>
        <v>40.490751512443353</v>
      </c>
      <c r="D14" s="431">
        <f>+C14*B14/1000</f>
        <v>3997.425385321143</v>
      </c>
      <c r="E14" s="432">
        <f>D14</f>
        <v>3997.425385321143</v>
      </c>
      <c r="F14" s="432">
        <f ca="1">+'P6 Summary Plan Forecast_Jan'!F14+E14</f>
        <v>10955.864580899895</v>
      </c>
      <c r="G14" s="432">
        <f ca="1">+E14+'P6 Summary Plan Forecast_Jan'!G14</f>
        <v>10955.864580899895</v>
      </c>
      <c r="H14" s="238"/>
      <c r="I14" s="235"/>
      <c r="K14" s="236"/>
    </row>
    <row r="15" spans="1:16">
      <c r="A15" s="1"/>
      <c r="B15" s="3"/>
      <c r="C15" s="50"/>
      <c r="D15" s="431"/>
      <c r="E15" s="432"/>
      <c r="F15" s="432"/>
      <c r="G15" s="432"/>
      <c r="H15" s="238"/>
      <c r="I15" s="235"/>
      <c r="K15" s="236"/>
    </row>
    <row r="16" spans="1:16">
      <c r="A16" s="1" t="s">
        <v>36</v>
      </c>
      <c r="B16" s="31">
        <f ca="1">+'Summary Plan Retail Delivered'!C16</f>
        <v>-46805.957984550463</v>
      </c>
      <c r="C16" s="50">
        <f>C14</f>
        <v>40.490751512443353</v>
      </c>
      <c r="D16" s="431">
        <f>+C16*B16/1000</f>
        <v>-1895.2084140542968</v>
      </c>
      <c r="E16" s="432">
        <f>D16</f>
        <v>-1895.2084140542968</v>
      </c>
      <c r="F16" s="432">
        <f ca="1">+'P6 Summary Plan Forecast_Jan'!F16+E16</f>
        <v>-9502.68432307488</v>
      </c>
      <c r="G16" s="432">
        <f ca="1">+E16+'P6 Summary Plan Forecast_Jan'!G16</f>
        <v>-9502.68432307488</v>
      </c>
      <c r="H16" s="238"/>
      <c r="I16" s="235"/>
      <c r="K16" s="236"/>
    </row>
    <row r="17" spans="1:19">
      <c r="A17" s="1"/>
      <c r="B17" s="3"/>
      <c r="C17" s="50"/>
      <c r="D17" s="431"/>
      <c r="E17" s="432"/>
      <c r="F17" s="432"/>
      <c r="G17" s="432"/>
      <c r="H17" s="238"/>
      <c r="I17" s="235"/>
      <c r="K17" s="236"/>
    </row>
    <row r="18" spans="1:19">
      <c r="A18" s="1" t="s">
        <v>135</v>
      </c>
      <c r="B18" s="31">
        <f ca="1">+'Summary Plan Retail Delivered'!C18</f>
        <v>-9720.4508421688133</v>
      </c>
      <c r="C18" s="50">
        <f>C16</f>
        <v>40.490751512443353</v>
      </c>
      <c r="D18" s="431">
        <f>+C18*B18/1000</f>
        <v>-393.58835963917812</v>
      </c>
      <c r="E18" s="432">
        <f>D18</f>
        <v>-393.58835963917812</v>
      </c>
      <c r="F18" s="432">
        <f ca="1">+'P6 Summary Plan Forecast_Jan'!F18+E18</f>
        <v>-730.86934543193559</v>
      </c>
      <c r="G18" s="432">
        <f ca="1">+E18+'P6 Summary Plan Forecast_Jan'!G18</f>
        <v>-730.86934543193559</v>
      </c>
      <c r="H18" s="238"/>
      <c r="I18" s="281"/>
      <c r="J18" s="160"/>
      <c r="K18" s="282"/>
      <c r="L18" s="160"/>
      <c r="M18" s="160"/>
      <c r="N18" s="160"/>
      <c r="P18" s="160"/>
      <c r="Q18" s="160"/>
      <c r="R18" s="160"/>
      <c r="S18" s="160"/>
    </row>
    <row r="19" spans="1:19">
      <c r="A19" s="1"/>
      <c r="B19" s="3"/>
      <c r="C19" s="50"/>
      <c r="D19" s="431"/>
      <c r="E19" s="432"/>
      <c r="F19" s="432"/>
      <c r="G19" s="432"/>
      <c r="H19" s="238"/>
      <c r="I19" s="284"/>
      <c r="J19" s="160"/>
      <c r="K19" s="282"/>
      <c r="L19" s="160"/>
      <c r="M19" s="160"/>
      <c r="N19" s="160"/>
      <c r="O19" s="160"/>
      <c r="P19" s="160"/>
      <c r="Q19" s="160"/>
      <c r="R19" s="160"/>
      <c r="S19" s="160"/>
    </row>
    <row r="20" spans="1:19">
      <c r="A20" s="1" t="s">
        <v>57</v>
      </c>
      <c r="B20" s="31">
        <f ca="1">+'Summary Plan Retail Delivered'!C20</f>
        <v>50535.631608950862</v>
      </c>
      <c r="C20" s="50">
        <f>C18</f>
        <v>40.490751512443353</v>
      </c>
      <c r="D20" s="431">
        <f>+C20*B20/1000</f>
        <v>2046.2257020024074</v>
      </c>
      <c r="E20" s="432">
        <f>D20</f>
        <v>2046.2257020024074</v>
      </c>
      <c r="F20" s="432">
        <f ca="1">+'P6 Summary Plan Forecast_Jan'!F20+E20</f>
        <v>3847.8154337323185</v>
      </c>
      <c r="G20" s="432">
        <f ca="1">+E20+'P6 Summary Plan Forecast_Jan'!G20</f>
        <v>3847.8154337323185</v>
      </c>
      <c r="H20" s="238"/>
      <c r="I20" s="284"/>
      <c r="J20" s="160"/>
      <c r="K20" s="282"/>
      <c r="L20" s="160"/>
      <c r="M20" s="160"/>
      <c r="N20" s="160"/>
      <c r="O20" s="285"/>
      <c r="P20" s="160"/>
      <c r="Q20" s="160"/>
      <c r="R20" s="160"/>
      <c r="S20" s="160"/>
    </row>
    <row r="21" spans="1:19">
      <c r="A21" s="1"/>
      <c r="B21" s="3"/>
      <c r="C21" s="50"/>
      <c r="D21" s="431"/>
      <c r="E21" s="432"/>
      <c r="F21" s="432"/>
      <c r="G21" s="432"/>
      <c r="H21" s="238"/>
      <c r="I21" s="284"/>
      <c r="J21" s="160"/>
      <c r="K21" s="282"/>
      <c r="L21" s="160"/>
      <c r="M21" s="160"/>
      <c r="N21" s="160"/>
      <c r="O21" s="160"/>
      <c r="P21" s="160"/>
      <c r="Q21" s="160"/>
      <c r="R21" s="160"/>
      <c r="S21" s="160"/>
    </row>
    <row r="22" spans="1:19" ht="12" customHeight="1">
      <c r="A22" s="1" t="s">
        <v>83</v>
      </c>
      <c r="B22" s="3">
        <f ca="1">'Summary Plan Retail Delivered'!C22</f>
        <v>50770.371412645698</v>
      </c>
      <c r="C22" s="50">
        <f>C20</f>
        <v>40.490751512443353</v>
      </c>
      <c r="D22" s="431">
        <f>+C22*B22/1000</f>
        <v>2055.7304930638948</v>
      </c>
      <c r="E22" s="432">
        <f>D22</f>
        <v>2055.7304930638948</v>
      </c>
      <c r="F22" s="432">
        <f ca="1">+'P6 Summary Plan Forecast_Jan'!F22+E22</f>
        <v>-1678.6358289763812</v>
      </c>
      <c r="G22" s="432">
        <f ca="1">+E22+'P6 Summary Plan Forecast_Jan'!G22</f>
        <v>-1678.6358289763812</v>
      </c>
      <c r="H22" s="238"/>
      <c r="I22" s="284"/>
      <c r="J22" s="160"/>
      <c r="K22" s="160"/>
      <c r="L22" s="160"/>
      <c r="M22" s="160"/>
      <c r="N22" s="160"/>
      <c r="O22" s="286"/>
      <c r="P22" s="160"/>
      <c r="Q22" s="160"/>
      <c r="R22" s="160"/>
      <c r="S22" s="160"/>
    </row>
    <row r="23" spans="1:19" ht="12" customHeight="1">
      <c r="A23" s="1"/>
      <c r="B23" s="3"/>
      <c r="C23" s="50"/>
      <c r="D23" s="431"/>
      <c r="E23" s="433"/>
      <c r="F23" s="432"/>
      <c r="G23" s="432"/>
      <c r="H23" s="238"/>
      <c r="I23" s="284"/>
      <c r="J23" s="160"/>
      <c r="K23" s="160"/>
      <c r="L23" s="160"/>
      <c r="M23" s="160"/>
      <c r="N23" s="160"/>
      <c r="O23" s="160"/>
      <c r="P23" s="160"/>
      <c r="Q23" s="160"/>
      <c r="R23" s="160"/>
      <c r="S23" s="160"/>
    </row>
    <row r="24" spans="1:19">
      <c r="A24" s="1" t="s">
        <v>14</v>
      </c>
      <c r="B24" s="31">
        <f ca="1">+'Summary Plan Retail Delivered'!C24</f>
        <v>253972.75471400376</v>
      </c>
      <c r="C24" s="50">
        <f>+C20</f>
        <v>40.490751512443353</v>
      </c>
      <c r="D24" s="431">
        <f>+C24*B24/1000</f>
        <v>10283.547702055452</v>
      </c>
      <c r="E24" s="432">
        <f>D24</f>
        <v>10283.547702055452</v>
      </c>
      <c r="F24" s="432">
        <f ca="1">+'P6 Summary Plan Forecast_Jan'!F24+E24</f>
        <v>8230.9968591398865</v>
      </c>
      <c r="G24" s="432">
        <f ca="1">+E24+'P6 Summary Plan Forecast_Jan'!G24</f>
        <v>8230.9968591398865</v>
      </c>
      <c r="H24" s="238"/>
      <c r="I24" s="284"/>
      <c r="J24" s="160"/>
      <c r="K24" s="160"/>
      <c r="L24" s="160"/>
      <c r="M24" s="160"/>
      <c r="N24" s="160"/>
      <c r="O24" s="287"/>
      <c r="P24" s="160"/>
      <c r="Q24" s="160"/>
      <c r="R24" s="160"/>
      <c r="S24" s="160"/>
    </row>
    <row r="25" spans="1:19">
      <c r="A25" s="1"/>
      <c r="B25" s="3"/>
      <c r="C25" s="183"/>
      <c r="D25" s="433"/>
      <c r="E25" s="433"/>
      <c r="F25" s="432"/>
      <c r="G25" s="432"/>
      <c r="H25" s="238"/>
      <c r="I25" s="284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>
      <c r="A26" s="46" t="s">
        <v>144</v>
      </c>
      <c r="B26" s="47">
        <f>SUM(B6:B24)</f>
        <v>7121778.1245228592</v>
      </c>
      <c r="C26" s="50">
        <f>+C24</f>
        <v>40.490751512443353</v>
      </c>
      <c r="D26" s="431">
        <f>SUM(D10:D25)</f>
        <v>16732.934214816902</v>
      </c>
      <c r="E26" s="432">
        <f>SUM(E10:E25)</f>
        <v>16732.934214816902</v>
      </c>
      <c r="F26" s="439">
        <f>SUM(F10:F25)</f>
        <v>12104.900992918341</v>
      </c>
      <c r="G26" s="439">
        <f>SUM(G10:G25)</f>
        <v>12104.900992918341</v>
      </c>
      <c r="H26" s="234"/>
      <c r="I26" s="284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>
      <c r="A27" s="1"/>
      <c r="B27" s="3"/>
      <c r="F27" s="233"/>
    </row>
    <row r="28" spans="1:19">
      <c r="A28" s="239" t="s">
        <v>136</v>
      </c>
      <c r="B28" s="3">
        <f>B26-B6</f>
        <v>453039.73652285989</v>
      </c>
      <c r="E28" s="238"/>
      <c r="F28" s="238"/>
      <c r="G28" s="238"/>
    </row>
    <row r="29" spans="1:19">
      <c r="A29" s="1" t="s">
        <v>15</v>
      </c>
      <c r="B29" s="240">
        <f>B28/B6</f>
        <v>6.7934849166984584E-2</v>
      </c>
    </row>
    <row r="31" spans="1:19">
      <c r="B31" s="5"/>
    </row>
    <row r="33" spans="1:14">
      <c r="B33" s="5"/>
      <c r="C33" s="5"/>
      <c r="D33" s="5"/>
      <c r="E33" s="5"/>
      <c r="F33" s="5"/>
    </row>
    <row r="34" spans="1:14" ht="13.8">
      <c r="A34" s="436" t="s">
        <v>143</v>
      </c>
    </row>
    <row r="36" spans="1:14">
      <c r="A36" s="1"/>
      <c r="B36" s="241"/>
    </row>
    <row r="37" spans="1:14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</row>
    <row r="38" spans="1:14">
      <c r="A38" s="46" t="s">
        <v>145</v>
      </c>
      <c r="B38" s="47">
        <f ca="1">+'Summary Plan Retail Delivered'!C38</f>
        <v>6823773.4127954738</v>
      </c>
    </row>
    <row r="39" spans="1:14">
      <c r="A39" s="1"/>
      <c r="B39" s="3"/>
    </row>
    <row r="40" spans="1:14">
      <c r="A40" s="1" t="s">
        <v>12</v>
      </c>
      <c r="B40" s="31">
        <f ca="1">+'Summary Plan Retail Delivered'!C40</f>
        <v>36.176360223915061</v>
      </c>
      <c r="C40" s="237">
        <f>N53</f>
        <v>42.213103424545615</v>
      </c>
      <c r="D40" s="234"/>
    </row>
    <row r="41" spans="1:14">
      <c r="A41" s="1"/>
      <c r="B41" s="3"/>
      <c r="D41" s="234"/>
      <c r="J41" s="232" t="s">
        <v>147</v>
      </c>
    </row>
    <row r="42" spans="1:14">
      <c r="A42" s="1" t="s">
        <v>106</v>
      </c>
      <c r="B42" s="31">
        <f ca="1">+'Summary Plan Retail Delivered'!C42</f>
        <v>-128.05377619135837</v>
      </c>
      <c r="C42" s="50">
        <f>C40</f>
        <v>42.213103424545615</v>
      </c>
      <c r="D42" s="434">
        <f>+C42*B42/1000</f>
        <v>-5.4055472982694273</v>
      </c>
      <c r="E42" s="432">
        <f>D42</f>
        <v>-5.4055472982694273</v>
      </c>
      <c r="F42" s="432">
        <f ca="1">+'P6 Summary Plan Forecast_Jan'!F42+E42</f>
        <v>6.0480674971844604</v>
      </c>
      <c r="G42" s="432">
        <f ca="1">+E42+'P6 Summary Plan Forecast_Jan'!G42</f>
        <v>6.0480674971844604</v>
      </c>
      <c r="H42" s="51"/>
      <c r="I42" s="234"/>
    </row>
    <row r="43" spans="1:14">
      <c r="A43" s="1"/>
      <c r="B43" s="3"/>
      <c r="C43" s="50"/>
      <c r="D43" s="431"/>
      <c r="E43" s="432"/>
      <c r="F43" s="432"/>
      <c r="G43" s="432"/>
      <c r="H43" s="51"/>
      <c r="I43" s="232"/>
    </row>
    <row r="44" spans="1:14">
      <c r="A44" s="1" t="s">
        <v>13</v>
      </c>
      <c r="B44" s="31">
        <f ca="1">+'Summary Plan Retail Delivered'!C44</f>
        <v>-4616.4394236784747</v>
      </c>
      <c r="C44" s="50">
        <f>C42</f>
        <v>42.213103424545615</v>
      </c>
      <c r="D44" s="434">
        <f>+C44*B44/1000</f>
        <v>-194.8742348448892</v>
      </c>
      <c r="E44" s="432">
        <f>D44</f>
        <v>-194.8742348448892</v>
      </c>
      <c r="F44" s="432">
        <f ca="1">+'P6 Summary Plan Forecast_Jan'!F44+E44</f>
        <v>-381.31807947897346</v>
      </c>
      <c r="G44" s="432">
        <f ca="1">+E44+'P6 Summary Plan Forecast_Jan'!G44</f>
        <v>-381.31807947897346</v>
      </c>
      <c r="H44" s="51"/>
    </row>
    <row r="45" spans="1:14">
      <c r="A45" s="1"/>
      <c r="B45" s="3"/>
      <c r="C45" s="50"/>
      <c r="D45" s="431"/>
      <c r="E45" s="432"/>
      <c r="F45" s="432"/>
      <c r="G45" s="432"/>
      <c r="H45" s="51"/>
    </row>
    <row r="46" spans="1:14">
      <c r="A46" s="1" t="s">
        <v>35</v>
      </c>
      <c r="B46" s="31">
        <f ca="1">+'Summary Plan Retail Delivered'!C46</f>
        <v>225394.52055967678</v>
      </c>
      <c r="C46" s="50">
        <f>C44</f>
        <v>42.213103424545615</v>
      </c>
      <c r="D46" s="434">
        <f>+C46*B46/1000</f>
        <v>9514.6022077115085</v>
      </c>
      <c r="E46" s="432">
        <f>D46</f>
        <v>9514.6022077115085</v>
      </c>
      <c r="F46" s="432">
        <f ca="1">+'P6 Summary Plan Forecast_Jan'!F46+E46</f>
        <v>10510.176353649427</v>
      </c>
      <c r="G46" s="432">
        <f ca="1">+E46+'P6 Summary Plan Forecast_Jan'!G46</f>
        <v>10510.176353649427</v>
      </c>
    </row>
    <row r="47" spans="1:14">
      <c r="A47" s="1"/>
      <c r="B47" s="3"/>
      <c r="C47" s="50"/>
      <c r="D47" s="431"/>
      <c r="E47" s="432"/>
      <c r="F47" s="432"/>
      <c r="G47" s="432"/>
      <c r="N47" s="233"/>
    </row>
    <row r="48" spans="1:14">
      <c r="A48" s="1" t="s">
        <v>36</v>
      </c>
      <c r="B48" s="31">
        <f ca="1">+'Summary Plan Retail Delivered'!C48</f>
        <v>-183718.33390148415</v>
      </c>
      <c r="C48" s="50">
        <f>C46</f>
        <v>42.213103424545615</v>
      </c>
      <c r="D48" s="434">
        <f>+C48*B48/1000</f>
        <v>-7755.3210299685552</v>
      </c>
      <c r="E48" s="432">
        <f>D48</f>
        <v>-7755.3210299685552</v>
      </c>
      <c r="F48" s="432">
        <f ca="1">+'P6 Summary Plan Forecast_Jan'!F48+E48</f>
        <v>-15808.880978786725</v>
      </c>
      <c r="G48" s="432">
        <f ca="1">+E48+'P6 Summary Plan Forecast_Jan'!G48</f>
        <v>-15808.880978786725</v>
      </c>
      <c r="H48" s="51"/>
      <c r="I48" s="235"/>
      <c r="N48" s="233"/>
    </row>
    <row r="49" spans="1:15">
      <c r="A49" s="1"/>
      <c r="B49" s="3"/>
      <c r="C49" s="50"/>
      <c r="D49" s="431"/>
      <c r="E49" s="432"/>
      <c r="F49" s="432"/>
      <c r="G49" s="432"/>
      <c r="H49" s="51"/>
      <c r="I49" s="235"/>
      <c r="N49" s="51">
        <f ca="1">'Summary Plan Retail Delivered'!C38</f>
        <v>6823773.4127954738</v>
      </c>
      <c r="O49" t="s">
        <v>137</v>
      </c>
    </row>
    <row r="50" spans="1:15">
      <c r="A50" t="s">
        <v>138</v>
      </c>
      <c r="B50" s="31">
        <f ca="1">+'Summary Plan Retail Delivered'!C50</f>
        <v>0</v>
      </c>
      <c r="C50" s="50">
        <f>C48</f>
        <v>42.213103424545615</v>
      </c>
      <c r="D50" s="434">
        <f>+C50*B50/1000</f>
        <v>0</v>
      </c>
      <c r="E50" s="432">
        <f>D50</f>
        <v>0</v>
      </c>
      <c r="F50" s="432">
        <f ca="1">+'P6 Summary Plan Forecast_Jan'!F50+E50</f>
        <v>0</v>
      </c>
      <c r="G50" s="432">
        <f ca="1">+E50+'P6 Summary Plan Forecast_Jan'!G50</f>
        <v>0</v>
      </c>
      <c r="H50" s="51"/>
      <c r="I50" s="235"/>
    </row>
    <row r="51" spans="1:15">
      <c r="A51" s="1"/>
      <c r="B51" s="3"/>
      <c r="C51" s="50"/>
      <c r="D51" s="431"/>
      <c r="E51" s="432"/>
      <c r="F51" s="432"/>
      <c r="G51" s="432"/>
      <c r="H51" s="51"/>
      <c r="I51" s="235"/>
    </row>
    <row r="52" spans="1:15">
      <c r="A52" s="1" t="s">
        <v>57</v>
      </c>
      <c r="B52" s="31">
        <f ca="1">+'Summary Plan Retail Delivered'!C52</f>
        <v>16189.455550472794</v>
      </c>
      <c r="C52" s="50">
        <f>C48</f>
        <v>42.213103424545615</v>
      </c>
      <c r="D52" s="434">
        <f>+C52*B52/1000</f>
        <v>683.40716153919209</v>
      </c>
      <c r="E52" s="432">
        <f>D52</f>
        <v>683.40716153919209</v>
      </c>
      <c r="F52" s="432">
        <f ca="1">+'P6 Summary Plan Forecast_Jan'!F52+E52</f>
        <v>979.37903397998514</v>
      </c>
      <c r="G52" s="432">
        <f ca="1">+E52+'P6 Summary Plan Forecast_Jan'!G52</f>
        <v>979.37903397998514</v>
      </c>
      <c r="H52" s="183"/>
      <c r="I52" s="249" t="s">
        <v>281</v>
      </c>
      <c r="N52" s="438">
        <f ca="1">Feb_Prices!D16</f>
        <v>288052.65281999996</v>
      </c>
      <c r="O52" t="s">
        <v>139</v>
      </c>
    </row>
    <row r="53" spans="1:15">
      <c r="A53" s="1"/>
      <c r="B53" s="3"/>
      <c r="C53" s="50"/>
      <c r="D53" s="431"/>
      <c r="E53" s="432"/>
      <c r="F53" s="432"/>
      <c r="G53" s="432"/>
      <c r="H53" s="51"/>
      <c r="I53" s="235"/>
      <c r="N53" s="237">
        <f>N52/N49*1000</f>
        <v>42.213103424545615</v>
      </c>
    </row>
    <row r="54" spans="1:15">
      <c r="A54" s="1" t="s">
        <v>83</v>
      </c>
      <c r="B54" s="31">
        <v>0</v>
      </c>
      <c r="C54" s="50">
        <f>C52</f>
        <v>42.213103424545615</v>
      </c>
      <c r="D54" s="434">
        <f>+C54*B54/1000</f>
        <v>0</v>
      </c>
      <c r="E54" s="432">
        <f>D54</f>
        <v>0</v>
      </c>
      <c r="F54" s="432">
        <f ca="1">+'P6 Summary Plan Forecast_Jan'!F54+E54</f>
        <v>0</v>
      </c>
      <c r="G54" s="432">
        <f ca="1">+E54+'P6 Summary Plan Forecast_Jan'!G54</f>
        <v>0</v>
      </c>
      <c r="H54" s="51"/>
      <c r="I54" s="235"/>
    </row>
    <row r="55" spans="1:15">
      <c r="A55" s="1"/>
      <c r="B55" s="3"/>
      <c r="C55" s="50"/>
      <c r="D55" s="431"/>
      <c r="E55" s="432"/>
      <c r="F55" s="432"/>
      <c r="G55" s="432"/>
      <c r="H55" s="51"/>
      <c r="I55" s="235"/>
    </row>
    <row r="56" spans="1:15">
      <c r="A56" s="1" t="s">
        <v>14</v>
      </c>
      <c r="B56" s="31">
        <f ca="1">+'Summary Plan Retail Delivered'!C56</f>
        <v>244847.38635836542</v>
      </c>
      <c r="C56" s="50">
        <f>+C52</f>
        <v>42.213103424545615</v>
      </c>
      <c r="D56" s="434">
        <f>+C56*B56/1000</f>
        <v>10335.768043575357</v>
      </c>
      <c r="E56" s="432">
        <f>D56</f>
        <v>10335.768043575357</v>
      </c>
      <c r="F56" s="432">
        <f ca="1">+'P6 Summary Plan Forecast_Jan'!F56+E56</f>
        <v>6280.3922475379768</v>
      </c>
      <c r="G56" s="432">
        <f ca="1">+E56+'P6 Summary Plan Forecast_Jan'!G56</f>
        <v>6280.3922475379768</v>
      </c>
      <c r="H56" s="51"/>
      <c r="I56" s="232"/>
    </row>
    <row r="57" spans="1:15">
      <c r="A57" s="1"/>
      <c r="B57" s="3"/>
      <c r="C57" s="50"/>
      <c r="D57" s="433"/>
      <c r="E57" s="432"/>
      <c r="F57" s="432"/>
      <c r="G57" s="432"/>
      <c r="H57" s="51"/>
      <c r="I57" s="234"/>
    </row>
    <row r="58" spans="1:15">
      <c r="A58" s="46" t="s">
        <v>144</v>
      </c>
      <c r="B58" s="47">
        <f>SUM(B38:B56)</f>
        <v>7121778.1245228592</v>
      </c>
      <c r="C58" s="50">
        <f>C56</f>
        <v>42.213103424545615</v>
      </c>
      <c r="D58" s="432">
        <f>SUM(D42:D57)</f>
        <v>12578.176600714343</v>
      </c>
      <c r="E58" s="432">
        <f>SUM(E42:E56)</f>
        <v>12578.176600714343</v>
      </c>
      <c r="F58" s="439">
        <f>SUM(F42:F56)</f>
        <v>1585.7966443988753</v>
      </c>
      <c r="G58" s="439">
        <f>SUM(G42:G56)</f>
        <v>1585.7966443988753</v>
      </c>
      <c r="H58" s="51"/>
      <c r="I58" s="234"/>
    </row>
    <row r="59" spans="1:15">
      <c r="A59" s="1"/>
      <c r="B59" s="3"/>
      <c r="C59" s="50"/>
      <c r="D59" s="5"/>
      <c r="E59" s="160"/>
      <c r="F59" s="242"/>
      <c r="G59" s="242"/>
      <c r="H59" s="160"/>
    </row>
    <row r="60" spans="1:15">
      <c r="A60" s="239" t="s">
        <v>140</v>
      </c>
      <c r="B60" s="3">
        <f>B58-B38</f>
        <v>298004.71172738541</v>
      </c>
      <c r="C60" s="50"/>
      <c r="D60" s="243"/>
      <c r="E60" s="242"/>
      <c r="F60" s="242"/>
      <c r="G60" s="242"/>
      <c r="H60" s="160"/>
    </row>
    <row r="61" spans="1:15">
      <c r="A61" s="1" t="s">
        <v>16</v>
      </c>
      <c r="B61" s="240">
        <f>(B58/B38)-1</f>
        <v>4.367154266414941E-2</v>
      </c>
      <c r="E61" s="160"/>
      <c r="F61" s="242"/>
      <c r="G61" s="242"/>
      <c r="H61" s="160"/>
    </row>
    <row r="62" spans="1:15">
      <c r="B62" s="3"/>
      <c r="E62" s="160"/>
      <c r="F62" s="242"/>
      <c r="G62" s="242"/>
      <c r="H62" s="160"/>
    </row>
    <row r="63" spans="1:15">
      <c r="B63" s="3"/>
      <c r="E63" s="160"/>
      <c r="F63" s="160"/>
      <c r="G63" s="160"/>
      <c r="H63" s="160"/>
    </row>
    <row r="64" spans="1:15">
      <c r="B64" s="3"/>
    </row>
    <row r="65" spans="2:2">
      <c r="B65" s="430"/>
    </row>
    <row r="66" spans="2:2">
      <c r="B66" s="5"/>
    </row>
  </sheetData>
  <phoneticPr fontId="2" type="noConversion"/>
  <printOptions horizontalCentered="1" headings="1" gridLines="1"/>
  <pageMargins left="0.25" right="0.25" top="1" bottom="1" header="0.5" footer="0.5"/>
  <pageSetup scale="84" orientation="portrait" r:id="rId1"/>
  <headerFooter alignWithMargins="0">
    <oddHeader>&amp;C&amp;A</oddHeader>
    <oddFooter>&amp;F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"/>
  <dimension ref="A1:AB109"/>
  <sheetViews>
    <sheetView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C1" sqref="C1"/>
    </sheetView>
  </sheetViews>
  <sheetFormatPr defaultRowHeight="13.2"/>
  <cols>
    <col min="1" max="1" width="37.109375" customWidth="1"/>
    <col min="2" max="2" width="9.33203125" style="27" customWidth="1"/>
    <col min="3" max="3" width="32" customWidth="1"/>
    <col min="4" max="4" width="20.109375" customWidth="1"/>
    <col min="5" max="5" width="12" customWidth="1"/>
    <col min="6" max="6" width="13" customWidth="1"/>
    <col min="7" max="7" width="14.5546875" customWidth="1"/>
    <col min="8" max="9" width="12.109375" customWidth="1"/>
    <col min="10" max="10" width="11.5546875" customWidth="1"/>
    <col min="11" max="11" width="11.109375" customWidth="1"/>
    <col min="12" max="12" width="12" customWidth="1"/>
    <col min="13" max="13" width="12.33203125" customWidth="1"/>
    <col min="14" max="15" width="13" bestFit="1" customWidth="1"/>
    <col min="16" max="16" width="13" customWidth="1"/>
    <col min="17" max="17" width="18.33203125" customWidth="1"/>
    <col min="18" max="18" width="10.88671875" bestFit="1" customWidth="1"/>
    <col min="19" max="19" width="11.109375" bestFit="1" customWidth="1"/>
  </cols>
  <sheetData>
    <row r="1" spans="1:28" ht="44.25" customHeight="1">
      <c r="C1" s="780" t="s">
        <v>487</v>
      </c>
    </row>
    <row r="2" spans="1:28" s="1" customFormat="1" ht="11.4">
      <c r="B2" s="19"/>
      <c r="D2" s="88">
        <f>+[16]Monthly_NEL_Model!$R$80</f>
        <v>1.7486081521744063</v>
      </c>
      <c r="E2" s="88">
        <f>+[16]Monthly_NEL_Model!$R$81</f>
        <v>1.5839891216606159</v>
      </c>
      <c r="F2" s="88">
        <f>+[16]Monthly_NEL_Model!$R$82</f>
        <v>1.8035427427193369</v>
      </c>
      <c r="G2" s="88">
        <f>+[16]Monthly_NEL_Model!$R$83</f>
        <v>2.050533157460932</v>
      </c>
      <c r="H2" s="88">
        <f>+[16]Monthly_NEL_Model!$R$84</f>
        <v>2.2105400479335811</v>
      </c>
      <c r="I2" s="88">
        <f>+[16]Monthly_NEL_Model!$R$85</f>
        <v>2.2949043188557519</v>
      </c>
      <c r="J2" s="88">
        <f>+[16]Monthly_NEL_Model!$R$86</f>
        <v>2.4875228239606062</v>
      </c>
      <c r="K2" s="88">
        <f>+[16]Monthly_NEL_Model!$R$87</f>
        <v>2.3936464239452699</v>
      </c>
      <c r="L2" s="88">
        <f>+[16]Monthly_NEL_Model!$R$88</f>
        <v>2.2200234835157846</v>
      </c>
      <c r="M2" s="88">
        <f>+[16]Monthly_NEL_Model!$R$89</f>
        <v>2.0798410262002176</v>
      </c>
      <c r="N2" s="88">
        <f>+[16]Monthly_NEL_Model!$R$90</f>
        <v>1.7325759017642637</v>
      </c>
      <c r="O2" s="88">
        <f>+[16]Monthly_NEL_Model!$R$91</f>
        <v>1.7790731480105964</v>
      </c>
    </row>
    <row r="3" spans="1:28" s="1" customFormat="1" ht="17.399999999999999">
      <c r="A3" s="90" t="s">
        <v>111</v>
      </c>
      <c r="B3" s="19"/>
      <c r="C3" s="90" t="str">
        <f>+A3</f>
        <v xml:space="preserve">2011 ACTUALS </v>
      </c>
      <c r="D3" s="189">
        <f>+D2-D30</f>
        <v>0</v>
      </c>
      <c r="E3" s="189">
        <f t="shared" ref="E3:O3" si="0">+E2-E30</f>
        <v>0</v>
      </c>
      <c r="F3" s="189">
        <f t="shared" si="0"/>
        <v>0</v>
      </c>
      <c r="G3" s="189">
        <f t="shared" si="0"/>
        <v>0</v>
      </c>
      <c r="H3" s="189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-5.0596522609847927E-2</v>
      </c>
      <c r="L3" s="189">
        <f t="shared" si="0"/>
        <v>-6.0431841522957441E-2</v>
      </c>
      <c r="M3" s="189">
        <f t="shared" si="0"/>
        <v>0.10372180527997288</v>
      </c>
      <c r="N3" s="189">
        <f t="shared" si="0"/>
        <v>-1.2792573037563315E-3</v>
      </c>
      <c r="O3" s="189">
        <f t="shared" si="0"/>
        <v>-2.535745320018945E-2</v>
      </c>
    </row>
    <row r="4" spans="1:28" s="48" customFormat="1" ht="12">
      <c r="B4" s="142"/>
      <c r="C4" s="48" t="s">
        <v>17</v>
      </c>
      <c r="D4" s="48" t="s">
        <v>0</v>
      </c>
      <c r="E4" s="48" t="s">
        <v>1</v>
      </c>
      <c r="F4" s="48" t="s">
        <v>2</v>
      </c>
      <c r="G4" s="48" t="s">
        <v>3</v>
      </c>
      <c r="H4" s="48" t="s">
        <v>4</v>
      </c>
      <c r="I4" s="48" t="s">
        <v>5</v>
      </c>
      <c r="J4" s="48" t="s">
        <v>6</v>
      </c>
      <c r="K4" s="48" t="s">
        <v>7</v>
      </c>
      <c r="L4" s="48" t="s">
        <v>8</v>
      </c>
      <c r="M4" s="48" t="s">
        <v>9</v>
      </c>
      <c r="N4" s="55" t="s">
        <v>10</v>
      </c>
      <c r="O4" s="55" t="s">
        <v>11</v>
      </c>
      <c r="P4" s="55" t="s">
        <v>23</v>
      </c>
    </row>
    <row r="5" spans="1:28" s="1" customFormat="1" ht="18" thickBot="1">
      <c r="A5" s="6" t="s">
        <v>18</v>
      </c>
      <c r="B5" s="25" t="s">
        <v>19</v>
      </c>
      <c r="C5" s="7"/>
      <c r="D5" s="90" t="s">
        <v>117</v>
      </c>
      <c r="E5" s="7"/>
      <c r="F5" s="7"/>
      <c r="G5" s="7"/>
      <c r="H5" s="7"/>
      <c r="I5" s="7"/>
      <c r="J5" s="7"/>
      <c r="K5" s="90"/>
      <c r="L5" s="99"/>
      <c r="M5" s="7"/>
      <c r="N5" s="8"/>
      <c r="O5" s="8"/>
      <c r="P5" s="8"/>
      <c r="Q5" s="7"/>
      <c r="R5" s="7"/>
      <c r="S5" s="7"/>
      <c r="T5" s="7"/>
    </row>
    <row r="6" spans="1:28" s="1" customFormat="1">
      <c r="A6" t="str">
        <f ca="1">+'Variance Plan'!A6</f>
        <v>CONST</v>
      </c>
      <c r="B6">
        <f ca="1">+'Variance Plan'!B6</f>
        <v>1.548202048113029</v>
      </c>
      <c r="C6" s="9"/>
      <c r="D6" s="9"/>
      <c r="E6" s="105"/>
      <c r="F6" s="9"/>
      <c r="G6" s="9"/>
      <c r="H6" s="9"/>
      <c r="I6" s="9"/>
      <c r="J6" s="9"/>
      <c r="K6" s="9"/>
      <c r="L6" s="9"/>
      <c r="M6" s="9"/>
      <c r="N6" s="8"/>
      <c r="O6" s="8"/>
      <c r="P6" s="8"/>
      <c r="Q6" s="7"/>
      <c r="R6" s="7"/>
      <c r="S6" s="10"/>
      <c r="T6" s="10"/>
      <c r="U6" s="11"/>
      <c r="V6" s="12"/>
      <c r="W6" s="12"/>
      <c r="X6" s="13"/>
      <c r="Y6" s="2"/>
      <c r="Z6" s="2"/>
      <c r="AA6" s="14"/>
      <c r="AB6" s="2"/>
    </row>
    <row r="7" spans="1:28" s="1" customFormat="1">
      <c r="A7" t="str">
        <f ca="1">+'Variance Plan'!A7</f>
        <v>Weather.Cal_HDD_based_on_45_degrees</v>
      </c>
      <c r="B7">
        <f ca="1">+'Variance Plan'!B7</f>
        <v>1.7438085153939766E-2</v>
      </c>
      <c r="C7" t="str">
        <f>+A7</f>
        <v>Weather.Cal_HDD_based_on_45_degrees</v>
      </c>
      <c r="D7" s="66">
        <f>+[17]Weather!$AF$374</f>
        <v>0</v>
      </c>
      <c r="E7" s="66">
        <f>+[17]Weather!$AF$375</f>
        <v>0</v>
      </c>
      <c r="F7" s="66">
        <f>+[17]Weather!$AF$376</f>
        <v>0</v>
      </c>
      <c r="G7" s="66">
        <f>+[17]Weather!$AF$377</f>
        <v>0</v>
      </c>
      <c r="H7" s="66">
        <f>+[17]Weather!$AF$378</f>
        <v>0</v>
      </c>
      <c r="I7" s="66">
        <f>+[17]Weather!$AF$379</f>
        <v>0</v>
      </c>
      <c r="J7" s="66">
        <f>+[17]Weather!$AF$380</f>
        <v>0</v>
      </c>
      <c r="K7" s="66">
        <f>+[17]Weather!$AF$381</f>
        <v>0</v>
      </c>
      <c r="L7" s="66">
        <f>+[17]Weather!$AF$382</f>
        <v>0</v>
      </c>
      <c r="M7" s="66">
        <f>+[17]Weather!$AF$383</f>
        <v>0</v>
      </c>
      <c r="N7" s="66">
        <f>+[17]Weather!$AF$384</f>
        <v>0</v>
      </c>
      <c r="O7" s="66">
        <f>+[17]Weather!$AF$385</f>
        <v>0.17544300865084281</v>
      </c>
      <c r="P7" s="3">
        <f t="shared" ref="P7:P14" si="1">SUM(D7:O7)</f>
        <v>0.17544300865084281</v>
      </c>
      <c r="Q7" s="15"/>
      <c r="R7" s="16"/>
      <c r="S7" s="12"/>
      <c r="T7" s="10"/>
      <c r="U7" s="11"/>
      <c r="V7" s="12"/>
      <c r="W7" s="12"/>
      <c r="X7" s="13"/>
      <c r="Y7" s="2"/>
      <c r="Z7" s="2"/>
      <c r="AA7" s="14"/>
      <c r="AB7" s="2"/>
    </row>
    <row r="8" spans="1:28" s="1" customFormat="1">
      <c r="A8" t="str">
        <f ca="1">+'Variance Plan'!A8</f>
        <v>Weather.CDH_Calendar</v>
      </c>
      <c r="B8">
        <f ca="1">+'Variance Plan'!B8</f>
        <v>2.9354163517797079E-3</v>
      </c>
      <c r="C8" t="str">
        <f t="shared" ref="C8:C22" si="2">+A8</f>
        <v>Weather.CDH_Calendar</v>
      </c>
      <c r="D8" s="66">
        <f>+[17]Weather!$C$374</f>
        <v>13.491678757813682</v>
      </c>
      <c r="E8" s="66">
        <f>+[17]Weather!$C$375</f>
        <v>42.232191903339995</v>
      </c>
      <c r="F8" s="66">
        <f>+[17]Weather!$C$376</f>
        <v>79.005671513658825</v>
      </c>
      <c r="G8" s="66">
        <f>+[17]Weather!$C$377</f>
        <v>190.37241736512024</v>
      </c>
      <c r="H8" s="66">
        <f>+[17]Weather!$C$378</f>
        <v>242.30649337743392</v>
      </c>
      <c r="I8" s="66">
        <f>+[17]Weather!$C$379</f>
        <v>304.55790465228421</v>
      </c>
      <c r="J8" s="66">
        <f>+[17]Weather!$C$380</f>
        <v>355.81307292026935</v>
      </c>
      <c r="K8" s="88">
        <f>+'[18]Daily Actuals vs Daily Normals'!$B$276</f>
        <v>342.38255905344039</v>
      </c>
      <c r="L8" s="66">
        <f>+'[18]Daily Actuals vs Daily Normals'!$B$310</f>
        <v>298.65346555739433</v>
      </c>
      <c r="M8" s="66">
        <f>+'[18]Daily Actuals vs Daily Normals'!$B$345</f>
        <v>161.51919520840667</v>
      </c>
      <c r="N8" s="66">
        <f>+'[18]Daily Actuals vs Daily Normals'!$B$379</f>
        <v>81.388173550047853</v>
      </c>
      <c r="O8" s="66">
        <f>+'[18]Daily Actuals vs Daily Normals'!$B$414</f>
        <v>47.92163181325175</v>
      </c>
      <c r="P8" s="3">
        <f t="shared" si="1"/>
        <v>2159.6444556724614</v>
      </c>
      <c r="Q8" s="16"/>
      <c r="R8" s="16"/>
      <c r="S8" s="12"/>
      <c r="T8" s="10"/>
      <c r="U8" s="11"/>
      <c r="V8" s="12"/>
      <c r="W8" s="12"/>
      <c r="X8" s="13"/>
      <c r="Y8" s="2"/>
      <c r="Z8" s="2"/>
      <c r="AA8" s="14"/>
      <c r="AB8" s="2"/>
    </row>
    <row r="9" spans="1:28" s="1" customFormat="1">
      <c r="A9" t="str">
        <f ca="1">+'Variance Plan'!A9</f>
        <v>Weather.Cal_Winter_HDD</v>
      </c>
      <c r="B9">
        <f ca="1">+'Variance Plan'!B9</f>
        <v>1.2133267139738657E-3</v>
      </c>
      <c r="C9" t="str">
        <f t="shared" si="2"/>
        <v>Weather.Cal_Winter_HDD</v>
      </c>
      <c r="D9" s="66">
        <f>+[17]Weather!$AG$374</f>
        <v>112.81894074934806</v>
      </c>
      <c r="E9" s="66">
        <f>+[17]Weather!$AG$375</f>
        <v>34.557126023009936</v>
      </c>
      <c r="F9" s="66">
        <f>+[17]Weather!$AG$376</f>
        <v>11.431204681480956</v>
      </c>
      <c r="G9" s="66">
        <f>+[17]Weather!$AG$377</f>
        <v>0</v>
      </c>
      <c r="H9" s="66">
        <f>+[17]Weather!$AG$378</f>
        <v>0</v>
      </c>
      <c r="I9" s="66">
        <f>+[17]Weather!$AG$379</f>
        <v>0</v>
      </c>
      <c r="J9" s="66">
        <f>+[17]Weather!$AG$380</f>
        <v>0</v>
      </c>
      <c r="K9" s="66">
        <f>+[17]Weather!$AG$381</f>
        <v>0</v>
      </c>
      <c r="L9" s="66">
        <f>+[17]Weather!$AG$382</f>
        <v>0</v>
      </c>
      <c r="M9" s="66">
        <f>+[17]Weather!$AG$383</f>
        <v>0</v>
      </c>
      <c r="N9" s="66">
        <f>+[17]Weather!$AG$384</f>
        <v>0</v>
      </c>
      <c r="O9" s="66">
        <f>+[17]Weather!$AG$385</f>
        <v>69.312099079974359</v>
      </c>
      <c r="P9" s="3"/>
      <c r="Q9" s="16"/>
      <c r="R9" s="16"/>
      <c r="S9" s="12"/>
      <c r="T9" s="10"/>
      <c r="U9" s="11"/>
      <c r="V9" s="12"/>
      <c r="W9" s="12"/>
      <c r="X9" s="13"/>
      <c r="Y9" s="2"/>
      <c r="Z9" s="2"/>
      <c r="AA9" s="14"/>
      <c r="AB9" s="2"/>
    </row>
    <row r="10" spans="1:28" s="1" customFormat="1">
      <c r="A10" t="str">
        <f ca="1">+'Variance Plan'!A10</f>
        <v>Misc.Inactive_Ratio</v>
      </c>
      <c r="B10">
        <f ca="1">+'Variance Plan'!B10</f>
        <v>-2.6984927541592394</v>
      </c>
      <c r="C10" t="str">
        <f t="shared" si="2"/>
        <v>Misc.Inactive_Ratio</v>
      </c>
      <c r="D10" s="88">
        <f>+[16]Monthly_NEL_Model!$F$80</f>
        <v>6.4234532803562477E-2</v>
      </c>
      <c r="E10" s="88">
        <f>+[16]Monthly_NEL_Model!$F$81</f>
        <v>6.3211150223080687E-2</v>
      </c>
      <c r="F10" s="88">
        <f>+[16]Monthly_NEL_Model!$F$82</f>
        <v>6.1983374734470395E-2</v>
      </c>
      <c r="G10" s="88">
        <f>+[16]Monthly_NEL_Model!$F$83</f>
        <v>6.1960497150268974E-2</v>
      </c>
      <c r="H10" s="88">
        <f>+[16]Monthly_NEL_Model!$F$84</f>
        <v>6.2117745110730975E-2</v>
      </c>
      <c r="I10" s="88">
        <f>+[16]Monthly_NEL_Model!$F$85</f>
        <v>6.2701650218119645E-2</v>
      </c>
      <c r="J10" s="88">
        <f>+[16]Monthly_NEL_Model!$F$86</f>
        <v>6.2664090958345048E-2</v>
      </c>
      <c r="K10" s="88">
        <f>+[16]Monthly_NEL_Model!$F$87</f>
        <v>6.2942751965719107E-2</v>
      </c>
      <c r="L10" s="88">
        <f>+[16]Monthly_NEL_Model!$F$88</f>
        <v>6.2846894921922677E-2</v>
      </c>
      <c r="M10" s="88">
        <f>+[16]Monthly_NEL_Model!$F$89</f>
        <v>6.2819963849595872E-2</v>
      </c>
      <c r="N10" s="88">
        <f>+[16]Monthly_NEL_Model!$F$90</f>
        <v>6.235935390842022E-2</v>
      </c>
      <c r="O10" s="88">
        <f>+[16]Monthly_NEL_Model!$F$91</f>
        <v>6.1426570270796239E-2</v>
      </c>
      <c r="P10" s="220">
        <f>AVERAGE(D10:O10)</f>
        <v>6.2605714676252686E-2</v>
      </c>
      <c r="Q10" s="16"/>
      <c r="R10" s="16"/>
      <c r="S10" s="12"/>
      <c r="T10" s="10"/>
      <c r="U10" s="11"/>
      <c r="V10" s="12"/>
      <c r="W10" s="12"/>
      <c r="X10" s="13"/>
      <c r="Y10" s="2"/>
      <c r="Z10" s="2"/>
      <c r="AA10" s="14"/>
      <c r="AB10" s="2"/>
    </row>
    <row r="11" spans="1:28" s="1" customFormat="1">
      <c r="A11" t="str">
        <f ca="1">+'Variance Plan'!A11</f>
        <v>Misc.NEPACT_WeatSens_UPC_Normal_CDH</v>
      </c>
      <c r="B11">
        <f ca="1">+'Variance Plan'!B11</f>
        <v>-1.7962555069603001</v>
      </c>
      <c r="C11" t="str">
        <f t="shared" si="2"/>
        <v>Misc.NEPACT_WeatSens_UPC_Normal_CDH</v>
      </c>
      <c r="D11" s="88">
        <f>+[16]Monthly_NEL_Model!$G$80</f>
        <v>6.4971706086031913E-3</v>
      </c>
      <c r="E11" s="88">
        <f>+[16]Monthly_NEL_Model!$G$81</f>
        <v>7.5972923228527353E-3</v>
      </c>
      <c r="F11" s="88">
        <f>+[16]Monthly_NEL_Model!$G$82</f>
        <v>1.490619284802158E-2</v>
      </c>
      <c r="G11" s="88">
        <f>+[16]Monthly_NEL_Model!$G$83</f>
        <v>2.815360034086466E-2</v>
      </c>
      <c r="H11" s="88">
        <f>+[16]Monthly_NEL_Model!$G$84</f>
        <v>4.8144009999462604E-2</v>
      </c>
      <c r="I11" s="88">
        <f>+[16]Monthly_NEL_Model!$G$85</f>
        <v>6.9787643746764286E-2</v>
      </c>
      <c r="J11" s="88">
        <f>+[16]Monthly_NEL_Model!$G$86</f>
        <v>7.8473120394767212E-2</v>
      </c>
      <c r="K11" s="88">
        <f>+[16]Monthly_NEL_Model!$G$87</f>
        <v>8.1895387184667018E-2</v>
      </c>
      <c r="L11" s="88">
        <f>+[16]Monthly_NEL_Model!$G$88</f>
        <v>7.3967931143169297E-2</v>
      </c>
      <c r="M11" s="88">
        <f>+[16]Monthly_NEL_Model!$G$89</f>
        <v>4.966152314663836E-2</v>
      </c>
      <c r="N11" s="88">
        <f>+[16]Monthly_NEL_Model!$G$90</f>
        <v>2.2865900173547084E-2</v>
      </c>
      <c r="O11" s="88">
        <f>+[16]Monthly_NEL_Model!$G$91</f>
        <v>1.0126328812957964E-2</v>
      </c>
      <c r="P11" s="167">
        <f t="shared" si="1"/>
        <v>0.492076100722316</v>
      </c>
      <c r="Q11" s="16"/>
      <c r="R11" s="16"/>
      <c r="S11" s="12"/>
      <c r="T11" s="10"/>
      <c r="U11" s="11"/>
      <c r="V11" s="12"/>
      <c r="W11" s="12"/>
      <c r="X11" s="13"/>
      <c r="Y11" s="2"/>
      <c r="Z11" s="2"/>
      <c r="AA11" s="14"/>
      <c r="AB11" s="2"/>
    </row>
    <row r="12" spans="1:28" s="1" customFormat="1">
      <c r="A12" t="str">
        <f ca="1">+'Variance Plan'!A12</f>
        <v>Monthly_Inputs.Real_PerCapita_Inc_Wgtby_EmpPop_Ratio</v>
      </c>
      <c r="B12">
        <f ca="1">+'Variance Plan'!B12</f>
        <v>2.2062176858550154E-2</v>
      </c>
      <c r="C12" t="str">
        <f t="shared" si="2"/>
        <v>Monthly_Inputs.Real_PerCapita_Inc_Wgtby_EmpPop_Ratio</v>
      </c>
      <c r="D12" s="88">
        <f>+[16]Monthly_NEL_Model!$H$80</f>
        <v>13.442428621859005</v>
      </c>
      <c r="E12" s="88">
        <f>+[16]Monthly_NEL_Model!$H$81</f>
        <v>13.475753253133771</v>
      </c>
      <c r="F12" s="88">
        <f>+[16]Monthly_NEL_Model!$H$82</f>
        <v>13.51502837322225</v>
      </c>
      <c r="G12" s="88">
        <f>+[16]Monthly_NEL_Model!$H$83</f>
        <v>13.556226871222989</v>
      </c>
      <c r="H12" s="88">
        <f>+[16]Monthly_NEL_Model!$H$84</f>
        <v>13.589863606492832</v>
      </c>
      <c r="I12" s="88">
        <f>+[16]Monthly_NEL_Model!$H$85</f>
        <v>13.621074315156038</v>
      </c>
      <c r="J12" s="88">
        <f>+[16]Monthly_NEL_Model!$H$86</f>
        <v>13.650600676852841</v>
      </c>
      <c r="K12" s="88">
        <f>+[16]Monthly_NEL_Model!$H$87</f>
        <v>13.688013583925891</v>
      </c>
      <c r="L12" s="88">
        <f>+[16]Monthly_NEL_Model!$H$88</f>
        <v>13.722915290930871</v>
      </c>
      <c r="M12" s="88">
        <f>+[16]Monthly_NEL_Model!$H$89</f>
        <v>13.778489688929675</v>
      </c>
      <c r="N12" s="88">
        <f>+[16]Monthly_NEL_Model!$H$90</f>
        <v>13.785153019015381</v>
      </c>
      <c r="O12" s="88">
        <f>+[16]Monthly_NEL_Model!$H$91</f>
        <v>13.785125972574644</v>
      </c>
      <c r="P12" s="3">
        <f t="shared" si="1"/>
        <v>163.61067327331619</v>
      </c>
      <c r="Q12" s="15"/>
      <c r="R12" s="16"/>
      <c r="S12" s="12"/>
      <c r="T12" s="10"/>
      <c r="U12" s="11"/>
      <c r="V12" s="12"/>
      <c r="W12" s="12"/>
      <c r="X12" s="13"/>
      <c r="Y12" s="2"/>
      <c r="Z12" s="2"/>
      <c r="AA12" s="14"/>
      <c r="AB12" s="2"/>
    </row>
    <row r="13" spans="1:28" s="1" customFormat="1">
      <c r="A13" t="str">
        <f ca="1">+'Variance Plan'!A13</f>
        <v>Binary.March_2003</v>
      </c>
      <c r="B13">
        <f ca="1">+'Variance Plan'!B13</f>
        <v>9.8040700862934496E-2</v>
      </c>
      <c r="C13" t="str">
        <f t="shared" si="2"/>
        <v>Binary.March_2003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3">
        <f t="shared" si="1"/>
        <v>0</v>
      </c>
      <c r="Q13" s="15"/>
      <c r="R13" s="16"/>
      <c r="S13" s="12"/>
      <c r="T13" s="10"/>
      <c r="U13" s="11"/>
      <c r="V13" s="12"/>
      <c r="W13" s="12"/>
      <c r="X13" s="13"/>
      <c r="Y13" s="2"/>
      <c r="Z13" s="2"/>
      <c r="AA13" s="14"/>
      <c r="AB13" s="2"/>
    </row>
    <row r="14" spans="1:28" s="1" customFormat="1">
      <c r="A14" t="str">
        <f ca="1">+'Variance Plan'!A14</f>
        <v>Binary.February</v>
      </c>
      <c r="B14">
        <f ca="1">+'Variance Plan'!B14</f>
        <v>-0.14680895291551435</v>
      </c>
      <c r="C14" t="str">
        <f t="shared" si="2"/>
        <v>Binary.February</v>
      </c>
      <c r="D14" s="66">
        <v>0</v>
      </c>
      <c r="E14" s="203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f>+[19]Monthly_NEL_Model!$J$76</f>
        <v>0</v>
      </c>
      <c r="M14" s="66">
        <v>0</v>
      </c>
      <c r="N14" s="66">
        <v>0</v>
      </c>
      <c r="O14" s="66">
        <v>0</v>
      </c>
      <c r="P14" s="3">
        <f t="shared" si="1"/>
        <v>1</v>
      </c>
      <c r="Q14" s="15"/>
      <c r="R14" s="16"/>
      <c r="S14" s="12"/>
      <c r="T14" s="10"/>
      <c r="U14" s="11"/>
      <c r="V14" s="12"/>
      <c r="W14" s="12"/>
      <c r="X14" s="13"/>
      <c r="Y14" s="2"/>
      <c r="Z14" s="2"/>
      <c r="AA14" s="14"/>
      <c r="AB14" s="2"/>
    </row>
    <row r="15" spans="1:28" s="1" customFormat="1">
      <c r="A15" t="str">
        <f ca="1">+'Variance Plan'!A15</f>
        <v>Binary.April</v>
      </c>
      <c r="B15">
        <f ca="1">+'Variance Plan'!B15</f>
        <v>-3.6304981975131996E-2</v>
      </c>
      <c r="C15" t="str">
        <f t="shared" si="2"/>
        <v>Binary.April</v>
      </c>
      <c r="D15" s="66">
        <v>0</v>
      </c>
      <c r="E15" s="66">
        <v>0</v>
      </c>
      <c r="F15" s="66">
        <f>+[19]Monthly_NEL_Model!$K$70</f>
        <v>0</v>
      </c>
      <c r="G15" s="203">
        <v>1</v>
      </c>
      <c r="H15" s="66">
        <v>0</v>
      </c>
      <c r="I15" s="66">
        <v>0</v>
      </c>
      <c r="J15" s="66">
        <v>0</v>
      </c>
      <c r="K15" s="66">
        <v>0</v>
      </c>
      <c r="L15" s="66">
        <f>+[19]Monthly_NEL_Model!$K$76</f>
        <v>0</v>
      </c>
      <c r="M15" s="66">
        <v>0</v>
      </c>
      <c r="N15" s="66">
        <v>0</v>
      </c>
      <c r="O15" s="66">
        <v>0</v>
      </c>
      <c r="P15" s="3"/>
      <c r="Q15" s="15"/>
      <c r="R15" s="16"/>
      <c r="S15" s="12"/>
      <c r="T15" s="10"/>
      <c r="U15" s="11"/>
      <c r="V15" s="12"/>
      <c r="W15" s="12"/>
      <c r="X15" s="13"/>
      <c r="Y15" s="2"/>
      <c r="Z15" s="2"/>
      <c r="AA15" s="14"/>
      <c r="AB15" s="2"/>
    </row>
    <row r="16" spans="1:28" s="1" customFormat="1">
      <c r="A16" t="str">
        <f ca="1">+'Variance Plan'!A16</f>
        <v>Binary.June</v>
      </c>
      <c r="B16">
        <f ca="1">+'Variance Plan'!B16</f>
        <v>-5.4592407450387181E-2</v>
      </c>
      <c r="C16" t="str">
        <f t="shared" si="2"/>
        <v>Binary.June</v>
      </c>
      <c r="D16" s="66">
        <v>0</v>
      </c>
      <c r="E16" s="66">
        <v>0</v>
      </c>
      <c r="F16" s="66">
        <f>+[19]Monthly_NEL_Model!$L$70</f>
        <v>0</v>
      </c>
      <c r="G16" s="66">
        <f>+[19]Monthly_NEL_Model!$L$71</f>
        <v>0</v>
      </c>
      <c r="H16" s="66">
        <f>+[19]Monthly_NEL_Model!$L$72</f>
        <v>0</v>
      </c>
      <c r="I16" s="203">
        <f>+[19]Monthly_NEL_Model!$K$83</f>
        <v>1</v>
      </c>
      <c r="J16" s="66">
        <v>0</v>
      </c>
      <c r="K16" s="66">
        <v>0</v>
      </c>
      <c r="L16" s="66">
        <f>+[19]Monthly_NEL_Model!$L$76</f>
        <v>0</v>
      </c>
      <c r="M16" s="66">
        <v>0</v>
      </c>
      <c r="N16" s="66">
        <v>0</v>
      </c>
      <c r="O16" s="66">
        <v>0</v>
      </c>
      <c r="P16" s="3"/>
      <c r="Q16" s="15"/>
      <c r="R16" s="16"/>
      <c r="S16" s="12"/>
      <c r="T16" s="10"/>
      <c r="U16" s="11"/>
      <c r="V16" s="12"/>
      <c r="W16" s="12"/>
      <c r="X16" s="13"/>
      <c r="Y16" s="2"/>
      <c r="Z16" s="2"/>
      <c r="AA16" s="14"/>
      <c r="AB16" s="2"/>
    </row>
    <row r="17" spans="1:28" s="1" customFormat="1">
      <c r="A17" t="str">
        <f ca="1">+'Variance Plan'!A17</f>
        <v>Binary.September</v>
      </c>
      <c r="B17">
        <f ca="1">+'Variance Plan'!B17</f>
        <v>-5.1858489753623678E-2</v>
      </c>
      <c r="C17" t="str">
        <f t="shared" si="2"/>
        <v>Binary.September</v>
      </c>
      <c r="D17" s="66">
        <v>0</v>
      </c>
      <c r="E17" s="66">
        <v>0</v>
      </c>
      <c r="F17" s="66">
        <f>+[19]Monthly_NEL_Model!$M$70</f>
        <v>0</v>
      </c>
      <c r="G17" s="66">
        <f>+[19]Monthly_NEL_Model!$M$71</f>
        <v>0</v>
      </c>
      <c r="H17" s="66">
        <f>+[19]Monthly_NEL_Model!$M$72</f>
        <v>0</v>
      </c>
      <c r="I17" s="66">
        <f>+[19]Monthly_NEL_Model!$M$73</f>
        <v>0</v>
      </c>
      <c r="J17" s="66">
        <v>0</v>
      </c>
      <c r="K17" s="66">
        <v>0</v>
      </c>
      <c r="L17" s="203">
        <v>1</v>
      </c>
      <c r="M17" s="66">
        <v>0</v>
      </c>
      <c r="N17" s="66">
        <v>0</v>
      </c>
      <c r="O17" s="66">
        <v>0</v>
      </c>
      <c r="P17" s="3"/>
      <c r="Q17" s="15"/>
      <c r="R17" s="16"/>
      <c r="S17" s="12"/>
      <c r="T17" s="10"/>
      <c r="U17" s="11"/>
      <c r="V17" s="12"/>
      <c r="W17" s="12"/>
      <c r="X17" s="13"/>
      <c r="Y17" s="2"/>
      <c r="Z17" s="2"/>
      <c r="AA17" s="14"/>
      <c r="AB17" s="2"/>
    </row>
    <row r="18" spans="1:28" s="1" customFormat="1">
      <c r="A18" t="str">
        <f ca="1">+'Variance Plan'!A18</f>
        <v>Binary.May_2004</v>
      </c>
      <c r="B18">
        <f ca="1">+'Variance Plan'!B18</f>
        <v>0.11149920037514183</v>
      </c>
      <c r="C18" t="str">
        <f t="shared" si="2"/>
        <v>Binary.May_2004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3"/>
      <c r="Q18" s="15"/>
      <c r="R18" s="16"/>
      <c r="S18" s="12"/>
      <c r="T18" s="10"/>
      <c r="U18" s="11"/>
      <c r="V18" s="12"/>
      <c r="W18" s="12"/>
      <c r="X18" s="13"/>
      <c r="Y18" s="2"/>
      <c r="Z18" s="2"/>
      <c r="AA18" s="14"/>
      <c r="AB18" s="2"/>
    </row>
    <row r="19" spans="1:28" s="1" customFormat="1">
      <c r="A19" t="str">
        <f ca="1">+'Variance Plan'!A19</f>
        <v>Binary.November</v>
      </c>
      <c r="B19">
        <f ca="1">+'Variance Plan'!B19</f>
        <v>-5.6538730487937831E-2</v>
      </c>
      <c r="C19" t="str">
        <f t="shared" si="2"/>
        <v>Binary.November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203">
        <v>1</v>
      </c>
      <c r="O19" s="66">
        <v>0</v>
      </c>
      <c r="P19" s="3"/>
      <c r="Q19" s="15"/>
      <c r="R19" s="16"/>
      <c r="S19" s="12"/>
      <c r="T19" s="10"/>
      <c r="U19" s="11"/>
      <c r="V19" s="12"/>
      <c r="W19" s="12"/>
      <c r="X19" s="13"/>
      <c r="Y19" s="2"/>
      <c r="Z19" s="2"/>
      <c r="AA19" s="14"/>
      <c r="AB19" s="2"/>
    </row>
    <row r="20" spans="1:28" s="1" customFormat="1">
      <c r="A20" t="str">
        <f ca="1">+'Variance Plan'!A20</f>
        <v>Binary.November_2005</v>
      </c>
      <c r="B20">
        <f ca="1">+'Variance Plan'!B20</f>
        <v>0.10606078306781035</v>
      </c>
      <c r="C20" t="str">
        <f t="shared" si="2"/>
        <v>Binary.November_2005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3"/>
      <c r="Q20" s="15"/>
      <c r="R20" s="16"/>
      <c r="S20" s="12"/>
      <c r="T20" s="10"/>
      <c r="U20" s="11"/>
      <c r="V20" s="12"/>
      <c r="W20" s="12"/>
      <c r="X20" s="13"/>
      <c r="Y20" s="2"/>
      <c r="Z20" s="2"/>
      <c r="AA20" s="14"/>
      <c r="AB20" s="2"/>
    </row>
    <row r="21" spans="1:28" s="1" customFormat="1">
      <c r="A21" t="str">
        <f ca="1">+'Variance Plan'!A21</f>
        <v>Economics.CPI_Energy</v>
      </c>
      <c r="B21">
        <f ca="1">+'Variance Plan'!B21</f>
        <v>-3.7732034739855242E-4</v>
      </c>
      <c r="C21" t="str">
        <f t="shared" si="2"/>
        <v>Economics.CPI_Energy</v>
      </c>
      <c r="D21" s="255">
        <f>+[16]Monthly_NEL_Model!$I$80</f>
        <v>233.37247813251901</v>
      </c>
      <c r="E21" s="255">
        <f>+[16]Monthly_NEL_Model!$I$81</f>
        <v>238.28407479766901</v>
      </c>
      <c r="F21" s="255">
        <f>+[16]Monthly_NEL_Model!$I$82</f>
        <v>241.81944706881202</v>
      </c>
      <c r="G21" s="255">
        <f>+[16]Monthly_NEL_Model!$I$83</f>
        <v>248.06309017672601</v>
      </c>
      <c r="H21" s="255">
        <f>+[16]Monthly_NEL_Model!$I$84</f>
        <v>248.784039350743</v>
      </c>
      <c r="I21" s="255">
        <f>+[16]Monthly_NEL_Model!$I$85</f>
        <v>248.33217047253103</v>
      </c>
      <c r="J21" s="255">
        <f>+[16]Monthly_NEL_Model!$I$86</f>
        <v>249.175224123021</v>
      </c>
      <c r="K21" s="255">
        <f>+[16]Monthly_NEL_Model!$I$87</f>
        <v>247.28817026821002</v>
      </c>
      <c r="L21" s="255">
        <f>+[16]Monthly_NEL_Model!$I$88</f>
        <v>245.489405608769</v>
      </c>
      <c r="M21" s="255">
        <f>+[16]Monthly_NEL_Model!$I$89</f>
        <v>242.21651333119101</v>
      </c>
      <c r="N21" s="255">
        <f>+[16]Monthly_NEL_Model!$I$90</f>
        <v>242.42863142826798</v>
      </c>
      <c r="O21" s="255">
        <f>+[16]Monthly_NEL_Model!$I$91</f>
        <v>243.22145524054099</v>
      </c>
      <c r="P21" s="3"/>
      <c r="Q21" s="15"/>
      <c r="R21" s="16"/>
      <c r="S21" s="12"/>
      <c r="T21" s="10"/>
      <c r="U21" s="11"/>
      <c r="V21" s="12"/>
      <c r="W21" s="12"/>
      <c r="X21" s="13"/>
      <c r="Y21" s="2"/>
      <c r="Z21" s="2"/>
      <c r="AA21" s="14"/>
      <c r="AB21" s="2"/>
    </row>
    <row r="22" spans="1:28" s="1" customFormat="1">
      <c r="A22" t="str">
        <f ca="1">+'Variance Plan'!A22</f>
        <v>AR(1)</v>
      </c>
      <c r="B22">
        <f ca="1">+'Variance Plan'!B22</f>
        <v>0.32325220069960209</v>
      </c>
      <c r="C22" t="str">
        <f t="shared" si="2"/>
        <v>AR(1)</v>
      </c>
      <c r="D22" s="224">
        <f>+[16]Monthly_NEL_Model!$P$80</f>
        <v>4.1012165022791302E-4</v>
      </c>
      <c r="E22" s="224">
        <f>+[16]Monthly_NEL_Model!$P$81</f>
        <v>-6.4756370419956103E-3</v>
      </c>
      <c r="F22" s="224">
        <f>+[16]Monthly_NEL_Model!$P$82</f>
        <v>-3.3341613034128001E-3</v>
      </c>
      <c r="G22" s="224">
        <f>+[16]Monthly_NEL_Model!$P$83</f>
        <v>-7.8958266865387702E-3</v>
      </c>
      <c r="H22" s="224">
        <f>+[16]Monthly_NEL_Model!$P$84</f>
        <v>-7.7990902224644998E-4</v>
      </c>
      <c r="I22" s="224">
        <f>+[16]Monthly_NEL_Model!$P$85</f>
        <v>-4.9629567131343998E-3</v>
      </c>
      <c r="J22" s="224">
        <f>+[16]Monthly_NEL_Model!$P$86</f>
        <v>-2.2254507539996001E-3</v>
      </c>
      <c r="K22" s="224">
        <f>+[16]Monthly_NEL_Model!$P$87</f>
        <v>-7.1938185377851105E-4</v>
      </c>
      <c r="L22" s="224">
        <f>+[16]Monthly_NEL_Model!$P$88</f>
        <v>-2.3254176737674801E-4</v>
      </c>
      <c r="M22" s="224">
        <f>+[16]Monthly_NEL_Model!$P$89</f>
        <v>-7.51696380598688E-5</v>
      </c>
      <c r="N22" s="224">
        <f>+[16]Monthly_NEL_Model!$P$90</f>
        <v>-2.42987509284642E-5</v>
      </c>
      <c r="O22" s="224">
        <f>+[16]Monthly_NEL_Model!$P$91</f>
        <v>-7.8546247113120398E-6</v>
      </c>
      <c r="P22" s="3"/>
      <c r="Q22" s="15"/>
      <c r="R22" s="16"/>
      <c r="S22" s="12"/>
      <c r="T22" s="10"/>
      <c r="U22" s="11"/>
      <c r="V22" s="12"/>
      <c r="W22" s="12"/>
      <c r="X22" s="13"/>
      <c r="Y22" s="2"/>
      <c r="Z22" s="2"/>
      <c r="AA22" s="14"/>
      <c r="AB22" s="2"/>
    </row>
    <row r="23" spans="1:28" s="65" customFormat="1">
      <c r="B23" s="71"/>
      <c r="C23" s="169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58"/>
      <c r="S23" s="59"/>
      <c r="T23" s="60"/>
      <c r="U23" s="61"/>
      <c r="V23" s="59"/>
      <c r="W23" s="59"/>
      <c r="X23" s="62"/>
      <c r="Y23" s="63"/>
      <c r="Z23" s="63"/>
      <c r="AA23" s="64"/>
      <c r="AB23" s="63"/>
    </row>
    <row r="24" spans="1:28" s="1" customFormat="1">
      <c r="B24" s="70"/>
      <c r="C24" s="48" t="s">
        <v>12</v>
      </c>
      <c r="D24" s="3">
        <f>+[16]Monthly_NEL_Model!$O$80</f>
        <v>4533028</v>
      </c>
      <c r="E24" s="3">
        <f>+[16]Monthly_NEL_Model!$O$81</f>
        <v>4539388</v>
      </c>
      <c r="F24" s="3">
        <f>+[16]Monthly_NEL_Model!$O$82</f>
        <v>4546573</v>
      </c>
      <c r="G24" s="3">
        <f>+[16]Monthly_NEL_Model!$O$83</f>
        <v>4550253</v>
      </c>
      <c r="H24" s="3">
        <f>+[16]Monthly_NEL_Model!$O$84</f>
        <v>4549810</v>
      </c>
      <c r="I24" s="3">
        <f>+'[20]System - Monthly'!$I$562</f>
        <v>4549338</v>
      </c>
      <c r="J24" s="3">
        <f>+'[20]System - Monthly'!$I$563</f>
        <v>4549687</v>
      </c>
      <c r="K24" s="3">
        <f>+'[20]System - Monthly'!$I$564</f>
        <v>4550328</v>
      </c>
      <c r="L24" s="3">
        <f>+'[20]System - Monthly'!$I$565</f>
        <v>4545995</v>
      </c>
      <c r="M24" s="3">
        <f>+'[20]System - Monthly'!$I$566</f>
        <v>4546841</v>
      </c>
      <c r="N24" s="3">
        <f>+'[20]System - Monthly'!$I$567</f>
        <v>4549257</v>
      </c>
      <c r="O24" s="3">
        <f>+'[20]System - Monthly'!$I$568</f>
        <v>4554107</v>
      </c>
      <c r="P24" s="3">
        <f>AVERAGE(D24:O24)</f>
        <v>4547050.416666667</v>
      </c>
      <c r="Q24" s="2"/>
      <c r="R24" s="2"/>
      <c r="S24" s="12"/>
      <c r="T24" s="10"/>
      <c r="U24" s="11"/>
      <c r="V24" s="12"/>
      <c r="W24" s="12"/>
      <c r="X24" s="13"/>
      <c r="Y24" s="2"/>
      <c r="Z24" s="2"/>
      <c r="AA24" s="14"/>
      <c r="AB24" s="2"/>
    </row>
    <row r="25" spans="1:28" s="1" customFormat="1">
      <c r="B25" s="70"/>
      <c r="C25" s="1" t="s">
        <v>42</v>
      </c>
      <c r="D25" s="3">
        <f>+[16]Monthly_NEL_Model!$S$80</f>
        <v>88944.758000000002</v>
      </c>
      <c r="E25" s="3">
        <f>+[16]Monthly_NEL_Model!$S$81</f>
        <v>80799.967000000004</v>
      </c>
      <c r="F25" s="3">
        <f>+[16]Monthly_NEL_Model!$S$82</f>
        <v>92072.525999999998</v>
      </c>
      <c r="G25" s="3">
        <f>+[16]Monthly_NEL_Model!$S$83</f>
        <v>104888.65700000001</v>
      </c>
      <c r="H25" s="3">
        <f>+[16]Monthly_NEL_Model!$S$84</f>
        <v>107074.308</v>
      </c>
      <c r="I25" s="3">
        <f>+[16]Monthly_NEL_Model!$S$85</f>
        <v>108087.621</v>
      </c>
      <c r="J25" s="3">
        <f>+[16]Monthly_NEL_Model!$S$86</f>
        <v>119871.97762792725</v>
      </c>
      <c r="K25" s="3">
        <f>+[16]Monthly_NEL_Model!$S$87</f>
        <v>121339.57696819764</v>
      </c>
      <c r="L25" s="3">
        <f>+[16]Monthly_NEL_Model!$S$88</f>
        <v>110650.11595762985</v>
      </c>
      <c r="M25" s="3">
        <f>+[16]Monthly_NEL_Model!$S$89</f>
        <v>106885.59196889715</v>
      </c>
      <c r="N25" s="3">
        <f>+[16]Monthly_NEL_Model!$S$90</f>
        <v>79069.628735406295</v>
      </c>
      <c r="O25" s="3">
        <f>+[16]Monthly_NEL_Model!$S$91</f>
        <v>78209.588431839613</v>
      </c>
      <c r="P25" s="3"/>
      <c r="Q25" s="2"/>
      <c r="R25" s="2"/>
      <c r="S25" s="12"/>
      <c r="T25" s="10"/>
      <c r="U25" s="11"/>
      <c r="V25" s="12"/>
      <c r="W25" s="12"/>
      <c r="X25" s="13"/>
      <c r="Y25" s="2"/>
      <c r="Z25" s="2"/>
      <c r="AA25" s="14"/>
      <c r="AB25" s="2"/>
    </row>
    <row r="26" spans="1:28" s="1" customFormat="1">
      <c r="B26" s="70"/>
      <c r="C26" s="1" t="s">
        <v>43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/>
      <c r="Q26" s="2"/>
      <c r="R26" s="2"/>
      <c r="S26" s="12"/>
      <c r="T26" s="10"/>
      <c r="U26" s="11"/>
      <c r="V26" s="12"/>
      <c r="W26" s="12"/>
      <c r="X26" s="13"/>
      <c r="Y26" s="2"/>
      <c r="Z26" s="2"/>
      <c r="AA26" s="14"/>
      <c r="AB26" s="2"/>
    </row>
    <row r="27" spans="1:28" s="1" customFormat="1">
      <c r="B27" s="70"/>
      <c r="C27" s="1" t="s">
        <v>44</v>
      </c>
      <c r="D27" s="3">
        <f>+[16]Monthly_NEL_Model!$U$80</f>
        <v>539.22184876899769</v>
      </c>
      <c r="E27" s="3">
        <f>+[16]Monthly_NEL_Model!$U$81</f>
        <v>487.03908921070757</v>
      </c>
      <c r="F27" s="3">
        <f>+[16]Monthly_NEL_Model!$U$82</f>
        <v>539.22184876899769</v>
      </c>
      <c r="G27" s="3">
        <f>+[16]Monthly_NEL_Model!$U$83</f>
        <v>521.82759558290093</v>
      </c>
      <c r="H27" s="3">
        <f>+[16]Monthly_NEL_Model!$U$84</f>
        <v>521.82759558290093</v>
      </c>
      <c r="I27" s="3">
        <f>+[16]Monthly_NEL_Model!$U$85</f>
        <v>521.82759558290093</v>
      </c>
      <c r="J27" s="3">
        <f>+[16]Monthly_NEL_Model!$U$86</f>
        <v>539.22184876899769</v>
      </c>
      <c r="K27" s="3">
        <f>+[16]Monthly_NEL_Model!$U$87</f>
        <v>539.22184876899769</v>
      </c>
      <c r="L27" s="3">
        <f>+[16]Monthly_NEL_Model!$U$88</f>
        <v>521.82759558290093</v>
      </c>
      <c r="M27" s="3">
        <f>+[16]Monthly_NEL_Model!$U$89</f>
        <v>539.22184876899769</v>
      </c>
      <c r="N27" s="3">
        <f>+[16]Monthly_NEL_Model!$U$90</f>
        <v>521.82759558290093</v>
      </c>
      <c r="O27" s="3">
        <f>+[16]Monthly_NEL_Model!$U$91</f>
        <v>539.22184876899769</v>
      </c>
      <c r="P27" s="3"/>
      <c r="Q27" s="2"/>
      <c r="R27" s="2"/>
      <c r="S27" s="12"/>
      <c r="T27" s="10"/>
      <c r="U27" s="11"/>
      <c r="V27" s="12"/>
      <c r="W27" s="12"/>
      <c r="X27" s="13"/>
      <c r="Y27" s="2"/>
      <c r="Z27" s="2"/>
      <c r="AA27" s="14"/>
      <c r="AB27" s="2"/>
    </row>
    <row r="28" spans="1:28" s="1" customFormat="1">
      <c r="B28" s="70"/>
      <c r="C28" t="s">
        <v>100</v>
      </c>
      <c r="D28" s="3">
        <f>+[16]Monthly_NEL_Model!$W$80</f>
        <v>0</v>
      </c>
      <c r="E28" s="3">
        <f>+[16]Monthly_NEL_Model!$W$81</f>
        <v>0</v>
      </c>
      <c r="F28" s="3">
        <f>+[16]Monthly_NEL_Model!$W$82</f>
        <v>0</v>
      </c>
      <c r="G28" s="3">
        <f>+[16]Monthly_NEL_Model!$W$83</f>
        <v>0</v>
      </c>
      <c r="H28" s="3">
        <f>+[16]Monthly_NEL_Model!$W$84</f>
        <v>0</v>
      </c>
      <c r="I28" s="3">
        <f>+[16]Monthly_NEL_Model!$W$85</f>
        <v>0</v>
      </c>
      <c r="J28" s="3">
        <f>+[16]Monthly_NEL_Model!$W$86</f>
        <v>0</v>
      </c>
      <c r="K28" s="3">
        <f>+[16]Monthly_NEL_Model!$W$87</f>
        <v>0</v>
      </c>
      <c r="L28" s="3">
        <f>+[16]Monthly_NEL_Model!$W$88</f>
        <v>0</v>
      </c>
      <c r="M28" s="3">
        <f>+[16]Monthly_NEL_Model!$W$89</f>
        <v>5565.893777827142</v>
      </c>
      <c r="N28" s="3">
        <f>+[16]Monthly_NEL_Model!$W$90</f>
        <v>4909.4987156406669</v>
      </c>
      <c r="O28" s="3">
        <f>+[16]Monthly_NEL_Model!$W$91</f>
        <v>4796.7600525973194</v>
      </c>
      <c r="P28" s="3"/>
      <c r="Q28" s="2"/>
      <c r="R28" s="2"/>
      <c r="S28" s="12"/>
      <c r="T28" s="10"/>
      <c r="U28" s="11"/>
      <c r="V28" s="12"/>
      <c r="W28" s="12"/>
      <c r="X28" s="13"/>
      <c r="Y28" s="2"/>
      <c r="Z28" s="2"/>
      <c r="AA28" s="14"/>
      <c r="AB28" s="2"/>
    </row>
    <row r="29" spans="1:28" s="1" customFormat="1">
      <c r="B29" s="70"/>
      <c r="C29" t="s">
        <v>101</v>
      </c>
      <c r="D29" s="3">
        <f>+[16]Monthly_NEL_Model!$X$80</f>
        <v>0</v>
      </c>
      <c r="E29" s="3">
        <f>+[16]Monthly_NEL_Model!$X$81</f>
        <v>0</v>
      </c>
      <c r="F29" s="3">
        <f>+[16]Monthly_NEL_Model!$X$82</f>
        <v>0</v>
      </c>
      <c r="G29" s="3">
        <f>+[16]Monthly_NEL_Model!$X$83</f>
        <v>0</v>
      </c>
      <c r="H29" s="3">
        <f>+[16]Monthly_NEL_Model!$X$84</f>
        <v>0</v>
      </c>
      <c r="I29" s="3">
        <f>+[16]Monthly_NEL_Model!$X$85</f>
        <v>0</v>
      </c>
      <c r="J29" s="3">
        <f>+[16]Monthly_NEL_Model!$X$86</f>
        <v>0</v>
      </c>
      <c r="K29" s="3">
        <f>+[16]Monthly_NEL_Model!$X$87</f>
        <v>21096.246801674744</v>
      </c>
      <c r="L29" s="3">
        <f>+[16]Monthly_NEL_Model!$X$88</f>
        <v>18586.418943446115</v>
      </c>
      <c r="M29" s="3">
        <f>+[16]Monthly_NEL_Model!$X$89</f>
        <v>17906.304514117059</v>
      </c>
      <c r="N29" s="3">
        <f>+[16]Monthly_NEL_Model!$X$90</f>
        <v>13920.480206779765</v>
      </c>
      <c r="O29" s="3">
        <f>+[16]Monthly_NEL_Model!$X$91</f>
        <v>15040.017747062549</v>
      </c>
      <c r="P29" s="3"/>
      <c r="Q29" s="2"/>
      <c r="R29" s="2"/>
      <c r="S29" s="12"/>
      <c r="T29" s="10"/>
      <c r="U29" s="11"/>
      <c r="V29" s="12"/>
      <c r="W29" s="12"/>
      <c r="X29" s="13"/>
      <c r="Y29" s="2"/>
      <c r="Z29" s="2"/>
      <c r="AA29" s="14"/>
      <c r="AB29" s="2"/>
    </row>
    <row r="30" spans="1:28" s="1" customFormat="1" ht="15.75" customHeight="1">
      <c r="B30" s="70"/>
      <c r="C30" s="1" t="s">
        <v>45</v>
      </c>
      <c r="D30" s="68">
        <f>(($B$6+($B$7*D7)+($B$8*D8)+($B$9*D9)+($B$10*D10)+($B$11*D11)+($B$12*D12)+($B$13*D13)+D14*$B$14+D15*$B$15+D16*$B$16+D17*$B$17+D19*$B$19+D21*$B$21))+D22</f>
        <v>1.7486081521744063</v>
      </c>
      <c r="E30" s="68">
        <f t="shared" ref="E30:O30" si="3">(($B$6+($B$7*E7)+($B$8*E8)+($B$9*E9)+($B$10*E10)+($B$11*E11)+($B$12*E12)+($B$13*E13)+E14*$B$14+E15*$B$15+E16*$B$16+E17*$B$17+E19*$B$19+E21*$B$21))+E22</f>
        <v>1.5839891216606159</v>
      </c>
      <c r="F30" s="68">
        <f>(($B$6+($B$7*F7)+($B$8*F8)+($B$9*F9)+($B$10*F10)+($B$11*F11)+($B$12*F12)+($B$13*F13)+F14*$B$14+F15*$B$15+F16*$B$16+F17*$B$17+F19*$B$19+F21*$B$21))+F22</f>
        <v>1.8035427427193369</v>
      </c>
      <c r="G30" s="68">
        <f t="shared" si="3"/>
        <v>2.050533157460932</v>
      </c>
      <c r="H30" s="68">
        <f t="shared" si="3"/>
        <v>2.2105400479335811</v>
      </c>
      <c r="I30" s="68">
        <f t="shared" si="3"/>
        <v>2.2949043188557519</v>
      </c>
      <c r="J30" s="68">
        <f t="shared" si="3"/>
        <v>2.4875228239606062</v>
      </c>
      <c r="K30" s="68">
        <f t="shared" si="3"/>
        <v>2.4442429465551179</v>
      </c>
      <c r="L30" s="68">
        <f t="shared" si="3"/>
        <v>2.280455325038742</v>
      </c>
      <c r="M30" s="68">
        <f t="shared" si="3"/>
        <v>1.9761192209202447</v>
      </c>
      <c r="N30" s="68">
        <f t="shared" si="3"/>
        <v>1.73385515906802</v>
      </c>
      <c r="O30" s="68">
        <f t="shared" si="3"/>
        <v>1.8044306012107858</v>
      </c>
      <c r="P30" s="204">
        <f>AVERAGE(D30:O30)</f>
        <v>2.0348953014631785</v>
      </c>
      <c r="Q30" s="38"/>
      <c r="R30" s="2"/>
      <c r="S30" s="12"/>
      <c r="T30" s="10"/>
      <c r="U30" s="11"/>
      <c r="V30" s="12"/>
      <c r="W30" s="12"/>
      <c r="X30" s="13"/>
      <c r="Y30" s="2"/>
      <c r="Z30" s="2"/>
      <c r="AA30" s="14"/>
      <c r="AB30" s="2"/>
    </row>
    <row r="31" spans="1:28" s="1" customFormat="1" ht="15.75" customHeight="1">
      <c r="A31"/>
      <c r="B31" s="70"/>
      <c r="C31" s="75" t="s">
        <v>46</v>
      </c>
      <c r="D31" s="92">
        <f>(D30*D24)+SUM(D25:D29)</f>
        <v>8015973.6946836133</v>
      </c>
      <c r="E31" s="92">
        <f t="shared" ref="E31:O31" si="4">(E30*E24)+SUM(E25:E29)</f>
        <v>7271628.2170859501</v>
      </c>
      <c r="F31" s="92">
        <f t="shared" si="4"/>
        <v>8292550.4862424526</v>
      </c>
      <c r="G31" s="92">
        <f t="shared" si="4"/>
        <v>9435855.1359316614</v>
      </c>
      <c r="H31" s="92">
        <f t="shared" si="4"/>
        <v>10165133.35108427</v>
      </c>
      <c r="I31" s="92">
        <f t="shared" si="4"/>
        <v>10548904.872730171</v>
      </c>
      <c r="J31" s="92">
        <f t="shared" si="4"/>
        <v>11437861.453853555</v>
      </c>
      <c r="K31" s="92">
        <f t="shared" si="4"/>
        <v>11265082.164130898</v>
      </c>
      <c r="L31" s="92">
        <f t="shared" si="4"/>
        <v>10496696.867846156</v>
      </c>
      <c r="M31" s="92">
        <f t="shared" si="4"/>
        <v>9115996.9066778384</v>
      </c>
      <c r="N31" s="92">
        <f t="shared" si="4"/>
        <v>7986174.1546297129</v>
      </c>
      <c r="O31" s="92">
        <f t="shared" si="4"/>
        <v>8316155.6200685166</v>
      </c>
      <c r="P31" s="47">
        <f>SUM(D31:O31)</f>
        <v>112348012.9249648</v>
      </c>
      <c r="Q31" s="2"/>
      <c r="S31" s="12"/>
      <c r="T31" s="10"/>
      <c r="U31" s="11"/>
      <c r="V31" s="12"/>
      <c r="W31" s="12"/>
      <c r="X31" s="13"/>
      <c r="Y31" s="2"/>
      <c r="Z31" s="2"/>
      <c r="AA31" s="14"/>
      <c r="AB31" s="2"/>
    </row>
    <row r="32" spans="1:28" s="1" customFormat="1" ht="15.75" customHeight="1">
      <c r="A32"/>
      <c r="B32" s="26"/>
      <c r="C32" s="46" t="s">
        <v>110</v>
      </c>
      <c r="D32" s="54">
        <v>7922768</v>
      </c>
      <c r="E32" s="54">
        <v>7253717</v>
      </c>
      <c r="F32" s="54">
        <v>8196116.5</v>
      </c>
      <c r="G32" s="54">
        <v>9460285</v>
      </c>
      <c r="H32" s="54">
        <v>10098308</v>
      </c>
      <c r="I32" s="54">
        <v>10539641</v>
      </c>
      <c r="J32" s="54">
        <f>+[21]Year_Month!$C$548</f>
        <v>11848478</v>
      </c>
      <c r="K32" s="54">
        <f>+[21]Year_Month!$C$549</f>
        <v>11325605</v>
      </c>
      <c r="L32" s="54">
        <f>+[21]Year_Month!$C$550</f>
        <v>10530592</v>
      </c>
      <c r="M32" s="54">
        <f>+[21]Year_Month!$C$551</f>
        <v>9050810</v>
      </c>
      <c r="N32" s="54">
        <f>+[21]Year_Month!$C$552</f>
        <v>8021393</v>
      </c>
      <c r="O32" s="54">
        <f>+[21]Year_Month!$C$553</f>
        <v>7931422</v>
      </c>
      <c r="P32" s="3">
        <f>SUM(D32:O32)</f>
        <v>112179135.5</v>
      </c>
      <c r="Q32" s="2"/>
      <c r="R32" s="2"/>
      <c r="S32" s="12"/>
      <c r="T32" s="10"/>
      <c r="U32" s="11"/>
      <c r="V32" s="12"/>
      <c r="W32" s="12"/>
      <c r="X32" s="13"/>
      <c r="Y32" s="2"/>
      <c r="Z32" s="2"/>
      <c r="AA32" s="14"/>
      <c r="AB32" s="2"/>
    </row>
    <row r="33" spans="1:28" s="1" customFormat="1" ht="15.75" customHeight="1">
      <c r="A33"/>
      <c r="B33" s="26"/>
      <c r="C33" s="1" t="s">
        <v>103</v>
      </c>
      <c r="D33" s="3">
        <f>+[16]Monthly_NEL_Model!$Z$80</f>
        <v>8015973.6946836133</v>
      </c>
      <c r="E33" s="3">
        <f>+[16]Monthly_NEL_Model!$Z$81</f>
        <v>7271628.2170859501</v>
      </c>
      <c r="F33" s="3">
        <f>+[16]Monthly_NEL_Model!$Z$82</f>
        <v>8292550.4862424526</v>
      </c>
      <c r="G33" s="3">
        <f>+[16]Monthly_NEL_Model!$Z$83</f>
        <v>9435855.1359316614</v>
      </c>
      <c r="H33" s="3">
        <f>+[16]Monthly_NEL_Model!$Z$84</f>
        <v>10165133.35108427</v>
      </c>
      <c r="I33" s="3">
        <f>+[16]Monthly_NEL_Model!$Z$85</f>
        <v>10548902.577825854</v>
      </c>
      <c r="J33" s="3">
        <f>+[16]Monthly_NEL_Model!$Z$86</f>
        <v>11437858.966330731</v>
      </c>
      <c r="K33" s="3">
        <f>+[16]Monthly_NEL_Model!$Z$87</f>
        <v>11034851.390596673</v>
      </c>
      <c r="L33" s="3">
        <f>+[16]Monthly_NEL_Model!$Z$88</f>
        <v>10233833.56678444</v>
      </c>
      <c r="M33" s="3">
        <f>+[16]Monthly_NEL_Model!$Z$89</f>
        <v>9596433.069095755</v>
      </c>
      <c r="N33" s="3">
        <f>+[16]Monthly_NEL_Model!$Z$90</f>
        <v>7985879.2895311844</v>
      </c>
      <c r="O33" s="3">
        <f>+[16]Monthly_NEL_Model!$Z$91</f>
        <v>8201492.9053532779</v>
      </c>
      <c r="P33" s="3">
        <f>SUM(D33:O33)</f>
        <v>112220392.65054587</v>
      </c>
      <c r="Q33" s="2"/>
      <c r="R33" s="2"/>
      <c r="S33" s="12"/>
      <c r="T33" s="10"/>
      <c r="U33" s="11"/>
      <c r="V33" s="12"/>
      <c r="W33" s="12"/>
      <c r="X33" s="13"/>
      <c r="Y33" s="2"/>
      <c r="Z33" s="2"/>
      <c r="AA33" s="14"/>
      <c r="AB33" s="2"/>
    </row>
    <row r="34" spans="1:28" s="1" customFormat="1" ht="15.75" customHeight="1">
      <c r="A34"/>
      <c r="B34" s="26"/>
      <c r="C34" s="1" t="s">
        <v>104</v>
      </c>
      <c r="D34" s="18">
        <f>+D33-D31</f>
        <v>0</v>
      </c>
      <c r="E34" s="18">
        <f t="shared" ref="E34:O34" si="5">+E33-E31</f>
        <v>0</v>
      </c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 t="shared" si="5"/>
        <v>-2.2949043177068233</v>
      </c>
      <c r="J34" s="18">
        <f t="shared" si="5"/>
        <v>-2.4875228237360716</v>
      </c>
      <c r="K34" s="18">
        <f t="shared" si="5"/>
        <v>-230230.7735342253</v>
      </c>
      <c r="L34" s="18">
        <f t="shared" si="5"/>
        <v>-262863.30106171593</v>
      </c>
      <c r="M34" s="18">
        <f t="shared" si="5"/>
        <v>480436.16241791658</v>
      </c>
      <c r="N34" s="18">
        <f t="shared" si="5"/>
        <v>-294.86509852856398</v>
      </c>
      <c r="O34" s="18">
        <f t="shared" si="5"/>
        <v>-114662.71471523866</v>
      </c>
      <c r="P34" s="3"/>
      <c r="Q34" s="2"/>
      <c r="S34" s="12"/>
      <c r="T34" s="10"/>
      <c r="U34" s="11"/>
      <c r="V34" s="12"/>
      <c r="W34" s="12"/>
      <c r="X34" s="13"/>
      <c r="Y34" s="2"/>
      <c r="Z34" s="2"/>
      <c r="AA34" s="14"/>
      <c r="AB34" s="2"/>
    </row>
    <row r="35" spans="1:28" s="1" customFormat="1" ht="17.399999999999999">
      <c r="A35" s="90" t="s">
        <v>65</v>
      </c>
      <c r="B35" s="19"/>
      <c r="C35" s="104"/>
    </row>
    <row r="36" spans="1:28" s="48" customFormat="1" ht="12">
      <c r="B36" s="142"/>
      <c r="C36" s="48" t="s">
        <v>17</v>
      </c>
      <c r="D36" s="48" t="s">
        <v>0</v>
      </c>
      <c r="E36" s="48" t="s">
        <v>1</v>
      </c>
      <c r="F36" s="48" t="s">
        <v>2</v>
      </c>
      <c r="G36" s="48" t="s">
        <v>3</v>
      </c>
      <c r="H36" s="48" t="s">
        <v>4</v>
      </c>
      <c r="I36" s="48" t="s">
        <v>5</v>
      </c>
      <c r="J36" s="48" t="s">
        <v>6</v>
      </c>
      <c r="K36" s="48" t="s">
        <v>7</v>
      </c>
      <c r="L36" s="48" t="s">
        <v>8</v>
      </c>
      <c r="M36" s="48" t="s">
        <v>9</v>
      </c>
      <c r="N36" s="55" t="s">
        <v>10</v>
      </c>
      <c r="O36" s="55" t="s">
        <v>11</v>
      </c>
      <c r="P36" s="55" t="s">
        <v>23</v>
      </c>
    </row>
    <row r="37" spans="1:28" s="1" customFormat="1" ht="13.8" thickBot="1">
      <c r="A37" s="6" t="s">
        <v>18</v>
      </c>
      <c r="B37" s="25" t="s">
        <v>19</v>
      </c>
      <c r="C37" s="7"/>
      <c r="D37" s="18"/>
      <c r="E37" s="7"/>
      <c r="F37" s="7"/>
      <c r="G37" s="7"/>
      <c r="H37" s="7"/>
      <c r="I37" s="175">
        <f>SUM(G39:I39)</f>
        <v>0</v>
      </c>
      <c r="J37" s="175">
        <f>SUM(G7:I7)</f>
        <v>0</v>
      </c>
      <c r="K37" s="7" t="e">
        <f>I37/J37-1</f>
        <v>#DIV/0!</v>
      </c>
      <c r="L37" s="7"/>
      <c r="M37" s="7"/>
      <c r="N37" s="8"/>
      <c r="O37" s="8"/>
      <c r="P37" s="8"/>
      <c r="Q37" s="7"/>
      <c r="R37" s="7"/>
      <c r="S37" s="7"/>
      <c r="T37" s="7"/>
    </row>
    <row r="38" spans="1:28" s="1" customFormat="1">
      <c r="A38" t="str">
        <f>+A6</f>
        <v>CONST</v>
      </c>
      <c r="B38" s="210">
        <f>+B6</f>
        <v>1.548202048113029</v>
      </c>
      <c r="C38" s="9"/>
      <c r="D38" s="52" t="s">
        <v>63</v>
      </c>
      <c r="E38" s="9"/>
      <c r="F38" s="9"/>
      <c r="G38" s="9"/>
      <c r="H38" s="52" t="s">
        <v>109</v>
      </c>
      <c r="I38" s="9"/>
      <c r="J38" s="9"/>
      <c r="K38" s="9"/>
      <c r="L38" s="9"/>
      <c r="M38" s="9"/>
      <c r="N38" s="8"/>
      <c r="O38" s="8"/>
      <c r="P38" s="8"/>
      <c r="Q38" s="7"/>
      <c r="R38" s="7"/>
      <c r="S38" s="10"/>
      <c r="T38" s="10"/>
      <c r="U38" s="11"/>
      <c r="V38" s="12"/>
      <c r="W38" s="12"/>
      <c r="X38" s="13"/>
      <c r="Y38" s="2"/>
      <c r="Z38" s="2"/>
      <c r="AA38" s="14"/>
      <c r="AB38" s="2"/>
    </row>
    <row r="39" spans="1:28" s="1" customFormat="1">
      <c r="A39" t="str">
        <f t="shared" ref="A39:B48" si="6">+A7</f>
        <v>Weather.Cal_HDD_based_on_45_degrees</v>
      </c>
      <c r="B39" s="210">
        <f t="shared" si="6"/>
        <v>1.7438085153939766E-2</v>
      </c>
      <c r="C39" t="str">
        <f>+A39</f>
        <v>Weather.Cal_HDD_based_on_45_degrees</v>
      </c>
      <c r="D39" s="66">
        <f ca="1">+'Variance Plan'!D38</f>
        <v>0</v>
      </c>
      <c r="E39" s="66">
        <f ca="1">+'Variance Plan'!E38</f>
        <v>0</v>
      </c>
      <c r="F39" s="66">
        <f ca="1">+'Variance Plan'!F38</f>
        <v>0</v>
      </c>
      <c r="G39" s="66">
        <f ca="1">+'Variance Plan'!G38</f>
        <v>0</v>
      </c>
      <c r="H39" s="66">
        <f ca="1">+'Variance Plan'!H38</f>
        <v>0</v>
      </c>
      <c r="I39" s="66">
        <f ca="1">+'Variance Plan'!I38</f>
        <v>0</v>
      </c>
      <c r="J39" s="66">
        <f ca="1">+'Variance Plan'!J38</f>
        <v>0</v>
      </c>
      <c r="K39" s="66">
        <f ca="1">+'Variance Plan'!K38</f>
        <v>0</v>
      </c>
      <c r="L39" s="66">
        <f ca="1">+'Variance Plan'!L38</f>
        <v>0</v>
      </c>
      <c r="M39" s="66">
        <f ca="1">+'Variance Plan'!M38</f>
        <v>0</v>
      </c>
      <c r="N39" s="66">
        <f ca="1">+'Variance Plan'!N38</f>
        <v>0</v>
      </c>
      <c r="O39" s="66">
        <f ca="1">+'Variance Plan'!O38</f>
        <v>0</v>
      </c>
      <c r="P39" s="3">
        <f t="shared" ref="P39:P45" si="7">SUM(D39:O39)</f>
        <v>0</v>
      </c>
      <c r="Q39" s="15"/>
      <c r="R39" s="16"/>
      <c r="S39" s="12"/>
      <c r="T39" s="10"/>
      <c r="U39" s="11"/>
      <c r="V39" s="12"/>
      <c r="W39" s="12"/>
      <c r="X39" s="13"/>
      <c r="Y39" s="2"/>
      <c r="Z39" s="2"/>
      <c r="AA39" s="14"/>
      <c r="AB39" s="2"/>
    </row>
    <row r="40" spans="1:28" s="1" customFormat="1">
      <c r="A40" t="str">
        <f t="shared" si="6"/>
        <v>Weather.CDH_Calendar</v>
      </c>
      <c r="B40" s="210">
        <f t="shared" si="6"/>
        <v>2.9354163517797079E-3</v>
      </c>
      <c r="C40" t="str">
        <f t="shared" ref="C40:C54" si="8">+A40</f>
        <v>Weather.CDH_Calendar</v>
      </c>
      <c r="D40" s="66">
        <f ca="1">+'Variance Plan'!D39</f>
        <v>27.111349482191514</v>
      </c>
      <c r="E40" s="66">
        <f ca="1">+'Variance Plan'!E39</f>
        <v>50.063863942660532</v>
      </c>
      <c r="F40" s="66">
        <f ca="1">+'Variance Plan'!F39</f>
        <v>89.238204374581343</v>
      </c>
      <c r="G40" s="66">
        <f ca="1">+'Variance Plan'!G39</f>
        <v>106.45317747474797</v>
      </c>
      <c r="H40" s="66">
        <f ca="1">+'Variance Plan'!H39</f>
        <v>202.05259632338476</v>
      </c>
      <c r="I40" s="66">
        <f ca="1">+'Variance Plan'!I39</f>
        <v>276.45568441315464</v>
      </c>
      <c r="J40" s="66">
        <f ca="1">+'Variance Plan'!J39</f>
        <v>0</v>
      </c>
      <c r="K40" s="66">
        <f ca="1">+'Variance Plan'!K39</f>
        <v>0</v>
      </c>
      <c r="L40" s="66">
        <f ca="1">+'Variance Plan'!L39</f>
        <v>0</v>
      </c>
      <c r="M40" s="66">
        <f ca="1">+'Variance Plan'!M39</f>
        <v>0</v>
      </c>
      <c r="N40" s="66">
        <f ca="1">+'Variance Plan'!N39</f>
        <v>0</v>
      </c>
      <c r="O40" s="66">
        <f ca="1">+'Variance Plan'!O39</f>
        <v>0</v>
      </c>
      <c r="P40" s="3">
        <f t="shared" si="7"/>
        <v>751.37487601072075</v>
      </c>
      <c r="Q40" s="16"/>
      <c r="R40" s="16"/>
      <c r="S40" s="12"/>
      <c r="T40" s="10"/>
      <c r="U40" s="11"/>
      <c r="V40" s="12"/>
      <c r="W40" s="12"/>
      <c r="X40" s="13"/>
      <c r="Y40" s="2"/>
      <c r="Z40" s="2"/>
      <c r="AA40" s="14"/>
      <c r="AB40" s="2"/>
    </row>
    <row r="41" spans="1:28" s="1" customFormat="1">
      <c r="A41" t="str">
        <f t="shared" si="6"/>
        <v>Weather.Cal_Winter_HDD</v>
      </c>
      <c r="B41" s="210">
        <f t="shared" si="6"/>
        <v>1.2133267139738657E-3</v>
      </c>
      <c r="C41" t="str">
        <f t="shared" si="8"/>
        <v>Weather.Cal_Winter_HDD</v>
      </c>
      <c r="D41" s="66">
        <f ca="1">+'Variance Plan'!D40</f>
        <v>76.79532457691009</v>
      </c>
      <c r="E41" s="66">
        <f ca="1">+'Variance Plan'!E40</f>
        <v>25.574091849515369</v>
      </c>
      <c r="F41" s="66">
        <f ca="1">+'Variance Plan'!F40</f>
        <v>3.0671707478003256</v>
      </c>
      <c r="G41" s="66">
        <f ca="1">+'Variance Plan'!G40</f>
        <v>0</v>
      </c>
      <c r="H41" s="66">
        <f ca="1">+'Variance Plan'!H40</f>
        <v>0</v>
      </c>
      <c r="I41" s="66">
        <f ca="1">+'Variance Plan'!I40</f>
        <v>0</v>
      </c>
      <c r="J41" s="66">
        <f ca="1">+'Variance Plan'!J40</f>
        <v>0</v>
      </c>
      <c r="K41" s="66">
        <f ca="1">+'Variance Plan'!K40</f>
        <v>0</v>
      </c>
      <c r="L41" s="66">
        <f ca="1">+'Variance Plan'!L40</f>
        <v>0</v>
      </c>
      <c r="M41" s="66">
        <f ca="1">+'Variance Plan'!M40</f>
        <v>0</v>
      </c>
      <c r="N41" s="66">
        <f ca="1">+'Variance Plan'!N40</f>
        <v>0</v>
      </c>
      <c r="O41" s="66">
        <f ca="1">+'Variance Plan'!O40</f>
        <v>0</v>
      </c>
      <c r="P41" s="3"/>
      <c r="Q41" s="16"/>
      <c r="R41" s="16"/>
      <c r="S41" s="12"/>
      <c r="T41" s="10"/>
      <c r="U41" s="11"/>
      <c r="V41" s="12"/>
      <c r="W41" s="12"/>
      <c r="X41" s="13"/>
      <c r="Y41" s="2"/>
      <c r="Z41" s="2"/>
      <c r="AA41" s="14"/>
      <c r="AB41" s="2"/>
    </row>
    <row r="42" spans="1:28" s="1" customFormat="1" ht="13.8" thickBot="1">
      <c r="A42" t="str">
        <f t="shared" si="6"/>
        <v>Misc.Inactive_Ratio</v>
      </c>
      <c r="B42" s="210">
        <f t="shared" si="6"/>
        <v>-2.6984927541592394</v>
      </c>
      <c r="C42" t="str">
        <f t="shared" si="8"/>
        <v>Misc.Inactive_Ratio</v>
      </c>
      <c r="D42" s="66">
        <f ca="1">+'Variance Plan'!D41</f>
        <v>6.0398704828821835E-2</v>
      </c>
      <c r="E42" s="66">
        <f ca="1">+'Variance Plan'!E41</f>
        <v>5.8850250355530917E-2</v>
      </c>
      <c r="F42" s="66">
        <f ca="1">+'Variance Plan'!F41</f>
        <v>5.7305205807697102E-2</v>
      </c>
      <c r="G42" s="66">
        <f ca="1">+'Variance Plan'!G41</f>
        <v>5.7617612088866205E-2</v>
      </c>
      <c r="H42" s="66">
        <f ca="1">+'Variance Plan'!H41</f>
        <v>5.8207448908625357E-2</v>
      </c>
      <c r="I42" s="66">
        <f ca="1">+'Variance Plan'!I41</f>
        <v>5.8402127751184772E-2</v>
      </c>
      <c r="J42" s="66">
        <f ca="1">+'Variance Plan'!J41</f>
        <v>5.921227466540388E-2</v>
      </c>
      <c r="K42" s="66">
        <f ca="1">+'Variance Plan'!K41</f>
        <v>5.873560872223052E-2</v>
      </c>
      <c r="L42" s="66">
        <f ca="1">+'Variance Plan'!L41</f>
        <v>5.8900245405709956E-2</v>
      </c>
      <c r="M42" s="66">
        <f ca="1">+'Variance Plan'!M41</f>
        <v>5.8693335755661213E-2</v>
      </c>
      <c r="N42" s="66">
        <f ca="1">+'Variance Plan'!N41</f>
        <v>5.8119570541718298E-2</v>
      </c>
      <c r="O42" s="66">
        <f ca="1">+'Variance Plan'!O41</f>
        <v>5.7096391163648071E-2</v>
      </c>
      <c r="P42" s="3">
        <f t="shared" si="7"/>
        <v>0.70153877599509806</v>
      </c>
      <c r="Q42" s="16"/>
      <c r="R42" s="16"/>
      <c r="S42" s="12"/>
      <c r="T42" s="10"/>
      <c r="U42" s="11"/>
      <c r="V42" s="12"/>
      <c r="W42" s="12"/>
      <c r="X42" s="13"/>
      <c r="Y42" s="2"/>
      <c r="Z42" s="2"/>
      <c r="AA42" s="14"/>
      <c r="AB42" s="2"/>
    </row>
    <row r="43" spans="1:28" s="1" customFormat="1" ht="13.8" thickBot="1">
      <c r="A43" t="str">
        <f t="shared" si="6"/>
        <v>Misc.NEPACT_WeatSens_UPC_Normal_CDH</v>
      </c>
      <c r="B43" s="210">
        <f t="shared" si="6"/>
        <v>-1.7962555069603001</v>
      </c>
      <c r="C43" t="str">
        <f t="shared" si="8"/>
        <v>Misc.NEPACT_WeatSens_UPC_Normal_CDH</v>
      </c>
      <c r="D43" s="67">
        <f ca="1">+'Variance Plan'!D42</f>
        <v>7.5759887140128945E-3</v>
      </c>
      <c r="E43" s="67">
        <f ca="1">+'Variance Plan'!E42</f>
        <v>8.857429918464001E-3</v>
      </c>
      <c r="F43" s="168">
        <f ca="1">+'Variance Plan'!F42</f>
        <v>1.7373797471482395E-2</v>
      </c>
      <c r="G43" s="67">
        <f ca="1">+'Variance Plan'!G42</f>
        <v>3.2804350308028127E-2</v>
      </c>
      <c r="H43" s="67">
        <f ca="1">+'Variance Plan'!H42</f>
        <v>5.6062977964079039E-2</v>
      </c>
      <c r="I43" s="67">
        <f ca="1">+'Variance Plan'!I42</f>
        <v>8.1222327894753796E-2</v>
      </c>
      <c r="J43" s="179">
        <f ca="1">+'Variance Plan'!J42</f>
        <v>9.1285356611641624E-2</v>
      </c>
      <c r="K43" s="67">
        <f ca="1">+'Variance Plan'!K42</f>
        <v>9.5219193913647207E-2</v>
      </c>
      <c r="L43" s="67">
        <f ca="1">+'Variance Plan'!L42</f>
        <v>8.5950884516376461E-2</v>
      </c>
      <c r="M43" s="67">
        <f ca="1">+'Variance Plan'!M42</f>
        <v>5.7677097931127339E-2</v>
      </c>
      <c r="N43" s="67">
        <f ca="1">+'Variance Plan'!N42</f>
        <v>2.6541860057687678E-2</v>
      </c>
      <c r="O43" s="67">
        <f ca="1">+'Variance Plan'!O42</f>
        <v>1.1748247351188248E-2</v>
      </c>
      <c r="P43" s="3">
        <f t="shared" si="7"/>
        <v>0.57231951265248882</v>
      </c>
      <c r="Q43" s="16"/>
      <c r="R43" s="16"/>
      <c r="S43" s="12"/>
      <c r="T43" s="10"/>
      <c r="U43" s="11"/>
      <c r="V43" s="12"/>
      <c r="W43" s="12"/>
      <c r="X43" s="13"/>
      <c r="Y43" s="2"/>
      <c r="Z43" s="2"/>
      <c r="AA43" s="14"/>
      <c r="AB43" s="2"/>
    </row>
    <row r="44" spans="1:28" s="1" customFormat="1">
      <c r="A44" t="str">
        <f t="shared" si="6"/>
        <v>Monthly_Inputs.Real_PerCapita_Inc_Wgtby_EmpPop_Ratio</v>
      </c>
      <c r="B44" s="210">
        <f t="shared" si="6"/>
        <v>2.2062176858550154E-2</v>
      </c>
      <c r="C44" t="str">
        <f t="shared" si="8"/>
        <v>Monthly_Inputs.Real_PerCapita_Inc_Wgtby_EmpPop_Ratio</v>
      </c>
      <c r="D44" s="67">
        <f ca="1">+'Variance Plan'!D43</f>
        <v>13.721701483864827</v>
      </c>
      <c r="E44" s="67">
        <f ca="1">+'Variance Plan'!E43</f>
        <v>13.744412714002214</v>
      </c>
      <c r="F44" s="67">
        <f ca="1">+'Variance Plan'!F43</f>
        <v>13.780315713741849</v>
      </c>
      <c r="G44" s="67">
        <f ca="1">+'Variance Plan'!G43</f>
        <v>13.883533805045843</v>
      </c>
      <c r="H44" s="67">
        <f ca="1">+'Variance Plan'!H43</f>
        <v>13.90101689855949</v>
      </c>
      <c r="I44" s="67">
        <f ca="1">+'Variance Plan'!I43</f>
        <v>13.91370873169457</v>
      </c>
      <c r="J44" s="67">
        <f ca="1">+'Variance Plan'!J43</f>
        <v>13.941467306014344</v>
      </c>
      <c r="K44" s="67">
        <f ca="1">+'Variance Plan'!K43</f>
        <v>13.970543086740014</v>
      </c>
      <c r="L44" s="67">
        <f ca="1">+'Variance Plan'!L43</f>
        <v>13.999989725968378</v>
      </c>
      <c r="M44" s="67">
        <f ca="1">+'Variance Plan'!M43</f>
        <v>14.037195789240466</v>
      </c>
      <c r="N44" s="67">
        <f ca="1">+'Variance Plan'!N43</f>
        <v>14.054894708758107</v>
      </c>
      <c r="O44" s="67">
        <f ca="1">+'Variance Plan'!O43</f>
        <v>14.070517074333614</v>
      </c>
      <c r="P44" s="3">
        <f t="shared" si="7"/>
        <v>167.0192970379637</v>
      </c>
      <c r="Q44" s="15"/>
      <c r="R44" s="16"/>
      <c r="S44" s="12"/>
      <c r="T44" s="10"/>
      <c r="U44" s="11"/>
      <c r="V44" s="12"/>
      <c r="W44" s="12"/>
      <c r="X44" s="13"/>
      <c r="Y44" s="2"/>
      <c r="Z44" s="2"/>
      <c r="AA44" s="14"/>
      <c r="AB44" s="2"/>
    </row>
    <row r="45" spans="1:28" s="1" customFormat="1">
      <c r="A45" t="str">
        <f t="shared" si="6"/>
        <v>Binary.March_2003</v>
      </c>
      <c r="B45" s="210">
        <f t="shared" si="6"/>
        <v>9.8040700862934496E-2</v>
      </c>
      <c r="C45" t="str">
        <f t="shared" si="8"/>
        <v>Binary.March_2003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55">
        <v>1</v>
      </c>
      <c r="P45" s="3">
        <f t="shared" si="7"/>
        <v>1</v>
      </c>
      <c r="Q45" s="15"/>
      <c r="R45" s="16"/>
      <c r="S45" s="12"/>
      <c r="T45" s="10"/>
      <c r="U45" s="11"/>
      <c r="V45" s="12"/>
      <c r="W45" s="12"/>
      <c r="X45" s="13"/>
      <c r="Y45" s="2"/>
      <c r="Z45" s="2"/>
      <c r="AA45" s="14"/>
      <c r="AB45" s="2"/>
    </row>
    <row r="46" spans="1:28" s="1" customFormat="1">
      <c r="A46" t="str">
        <f t="shared" si="6"/>
        <v>Binary.February</v>
      </c>
      <c r="B46" s="210">
        <f t="shared" si="6"/>
        <v>-0.14680895291551435</v>
      </c>
      <c r="C46" t="str">
        <f t="shared" si="8"/>
        <v>Binary.February</v>
      </c>
      <c r="D46" s="4">
        <v>0</v>
      </c>
      <c r="E46" s="55">
        <v>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3"/>
      <c r="Q46" s="15"/>
      <c r="R46" s="16"/>
      <c r="S46" s="12"/>
      <c r="T46" s="10"/>
      <c r="U46" s="11"/>
      <c r="V46" s="12"/>
      <c r="W46" s="12"/>
      <c r="X46" s="13"/>
      <c r="Y46" s="2"/>
      <c r="Z46" s="2"/>
      <c r="AA46" s="14"/>
      <c r="AB46" s="2"/>
    </row>
    <row r="47" spans="1:28" s="1" customFormat="1">
      <c r="A47" t="str">
        <f t="shared" si="6"/>
        <v>Binary.April</v>
      </c>
      <c r="B47" s="210">
        <f t="shared" si="6"/>
        <v>-3.6304981975131996E-2</v>
      </c>
      <c r="C47" t="str">
        <f t="shared" si="8"/>
        <v>Binary.April</v>
      </c>
      <c r="D47" s="88">
        <f ca="1">+'Variance Plan'!D46</f>
        <v>0</v>
      </c>
      <c r="E47" s="88">
        <f ca="1">+'Variance Plan'!E46</f>
        <v>0</v>
      </c>
      <c r="F47" s="88">
        <f ca="1">+'Variance Plan'!F46</f>
        <v>0</v>
      </c>
      <c r="G47" s="205">
        <f ca="1">+'Variance Plan'!G46</f>
        <v>1</v>
      </c>
      <c r="H47" s="88">
        <f ca="1">+'Variance Plan'!H46</f>
        <v>0</v>
      </c>
      <c r="I47" s="88">
        <f ca="1">+'Variance Plan'!I46</f>
        <v>0</v>
      </c>
      <c r="J47" s="88">
        <f ca="1">+'Variance Plan'!J46</f>
        <v>0</v>
      </c>
      <c r="K47" s="88">
        <f ca="1">+'Variance Plan'!K46</f>
        <v>0</v>
      </c>
      <c r="L47" s="88">
        <f ca="1">+'Variance Plan'!L46</f>
        <v>0</v>
      </c>
      <c r="M47" s="88">
        <f ca="1">+'Variance Plan'!M46</f>
        <v>0</v>
      </c>
      <c r="N47" s="88">
        <f ca="1">+'Variance Plan'!N46</f>
        <v>0</v>
      </c>
      <c r="O47" s="88">
        <f ca="1">+'Variance Plan'!O46</f>
        <v>0</v>
      </c>
      <c r="P47" s="3"/>
      <c r="Q47" s="15"/>
      <c r="R47" s="16"/>
      <c r="S47" s="12"/>
      <c r="T47" s="10"/>
      <c r="U47" s="11"/>
      <c r="V47" s="12"/>
      <c r="W47" s="12"/>
      <c r="X47" s="13"/>
      <c r="Y47" s="2"/>
      <c r="Z47" s="2"/>
      <c r="AA47" s="14"/>
      <c r="AB47" s="2"/>
    </row>
    <row r="48" spans="1:28" s="1" customFormat="1">
      <c r="A48" t="str">
        <f t="shared" si="6"/>
        <v>Binary.June</v>
      </c>
      <c r="B48" s="210">
        <f t="shared" si="6"/>
        <v>-5.4592407450387181E-2</v>
      </c>
      <c r="C48" t="str">
        <f t="shared" si="8"/>
        <v>Binary.June</v>
      </c>
      <c r="D48" s="88">
        <f ca="1">+'Variance Plan'!D47</f>
        <v>0</v>
      </c>
      <c r="E48" s="88">
        <f ca="1">+'Variance Plan'!E47</f>
        <v>0</v>
      </c>
      <c r="F48" s="88">
        <f ca="1">+'Variance Plan'!F47</f>
        <v>0</v>
      </c>
      <c r="G48" s="88">
        <f ca="1">+'Variance Plan'!G47</f>
        <v>0</v>
      </c>
      <c r="H48" s="88">
        <f ca="1">+'Variance Plan'!H47</f>
        <v>0</v>
      </c>
      <c r="I48" s="205">
        <f ca="1">+'Variance Plan'!I47</f>
        <v>1</v>
      </c>
      <c r="J48" s="88">
        <f ca="1">+'Variance Plan'!J47</f>
        <v>0</v>
      </c>
      <c r="K48" s="88">
        <f ca="1">+'Variance Plan'!K47</f>
        <v>0</v>
      </c>
      <c r="L48" s="88">
        <f ca="1">+'Variance Plan'!L47</f>
        <v>0</v>
      </c>
      <c r="M48" s="88">
        <f ca="1">+'Variance Plan'!M47</f>
        <v>0</v>
      </c>
      <c r="N48" s="88">
        <f ca="1">+'Variance Plan'!N47</f>
        <v>0</v>
      </c>
      <c r="O48" s="88">
        <f ca="1">+'Variance Plan'!O47</f>
        <v>0</v>
      </c>
      <c r="P48" s="3"/>
      <c r="Q48" s="15"/>
      <c r="R48" s="16"/>
      <c r="S48" s="12"/>
      <c r="T48" s="10"/>
      <c r="U48" s="11"/>
      <c r="V48" s="12"/>
      <c r="W48" s="12"/>
      <c r="X48" s="13"/>
      <c r="Y48" s="2"/>
      <c r="Z48" s="2"/>
      <c r="AA48" s="14"/>
      <c r="AB48" s="2"/>
    </row>
    <row r="49" spans="1:28" s="1" customFormat="1">
      <c r="A49" t="str">
        <f t="shared" ref="A49:B54" si="9">+A17</f>
        <v>Binary.September</v>
      </c>
      <c r="B49" s="210">
        <f t="shared" si="9"/>
        <v>-5.1858489753623678E-2</v>
      </c>
      <c r="C49" t="str">
        <f t="shared" si="8"/>
        <v>Binary.September</v>
      </c>
      <c r="D49" s="88">
        <f ca="1">+'Variance Plan'!D48</f>
        <v>0</v>
      </c>
      <c r="E49" s="88">
        <f ca="1">+'Variance Plan'!E48</f>
        <v>0</v>
      </c>
      <c r="F49" s="88">
        <f ca="1">+'Variance Plan'!F48</f>
        <v>0</v>
      </c>
      <c r="G49" s="88">
        <f ca="1">+'Variance Plan'!G48</f>
        <v>0</v>
      </c>
      <c r="H49" s="88">
        <f ca="1">+'Variance Plan'!H48</f>
        <v>0</v>
      </c>
      <c r="I49" s="88">
        <f ca="1">+'Variance Plan'!I48</f>
        <v>0</v>
      </c>
      <c r="J49" s="88">
        <f ca="1">+'Variance Plan'!J48</f>
        <v>0</v>
      </c>
      <c r="K49" s="88">
        <f ca="1">+'Variance Plan'!K48</f>
        <v>0</v>
      </c>
      <c r="L49" s="205">
        <f ca="1">+'Variance Plan'!L48</f>
        <v>1</v>
      </c>
      <c r="M49" s="88">
        <f ca="1">+'Variance Plan'!M48</f>
        <v>0</v>
      </c>
      <c r="N49" s="88">
        <f ca="1">+'Variance Plan'!N48</f>
        <v>0</v>
      </c>
      <c r="O49" s="88">
        <f ca="1">+'Variance Plan'!O48</f>
        <v>0</v>
      </c>
      <c r="P49" s="3"/>
      <c r="Q49" s="15"/>
      <c r="R49" s="16"/>
      <c r="S49" s="12"/>
      <c r="T49" s="10"/>
      <c r="U49" s="11"/>
      <c r="V49" s="12"/>
      <c r="W49" s="12"/>
      <c r="X49" s="13"/>
      <c r="Y49" s="2"/>
      <c r="Z49" s="2"/>
      <c r="AA49" s="14"/>
      <c r="AB49" s="2"/>
    </row>
    <row r="50" spans="1:28" s="1" customFormat="1">
      <c r="A50" t="str">
        <f t="shared" si="9"/>
        <v>Binary.May_2004</v>
      </c>
      <c r="B50" s="210">
        <f t="shared" si="9"/>
        <v>0.11149920037514183</v>
      </c>
      <c r="C50" t="str">
        <f t="shared" si="8"/>
        <v>Binary.May_2004</v>
      </c>
      <c r="D50" s="88">
        <f ca="1">+'Variance Plan'!D49</f>
        <v>0</v>
      </c>
      <c r="E50" s="88">
        <f ca="1">+'Variance Plan'!E49</f>
        <v>0</v>
      </c>
      <c r="F50" s="88">
        <f ca="1">+'Variance Plan'!F49</f>
        <v>0</v>
      </c>
      <c r="G50" s="88">
        <f ca="1">+'Variance Plan'!G49</f>
        <v>0</v>
      </c>
      <c r="H50" s="88">
        <f ca="1">+'Variance Plan'!H49</f>
        <v>0</v>
      </c>
      <c r="I50" s="88">
        <f ca="1">+'Variance Plan'!I49</f>
        <v>0</v>
      </c>
      <c r="J50" s="88">
        <f ca="1">+'Variance Plan'!J49</f>
        <v>0</v>
      </c>
      <c r="K50" s="88">
        <f ca="1">+'Variance Plan'!K49</f>
        <v>0</v>
      </c>
      <c r="L50" s="88">
        <f ca="1">+'Variance Plan'!L49</f>
        <v>0</v>
      </c>
      <c r="M50" s="88">
        <f ca="1">+'Variance Plan'!M49</f>
        <v>0</v>
      </c>
      <c r="N50" s="88">
        <f ca="1">+'Variance Plan'!N49</f>
        <v>0</v>
      </c>
      <c r="O50" s="88">
        <f ca="1">+'Variance Plan'!O49</f>
        <v>0</v>
      </c>
      <c r="P50" s="3"/>
      <c r="Q50" s="15"/>
      <c r="R50" s="16"/>
      <c r="S50" s="12"/>
      <c r="T50" s="10"/>
      <c r="U50" s="11"/>
      <c r="V50" s="12"/>
      <c r="W50" s="12"/>
      <c r="X50" s="13"/>
      <c r="Y50" s="2"/>
      <c r="Z50" s="2"/>
      <c r="AA50" s="14"/>
      <c r="AB50" s="2"/>
    </row>
    <row r="51" spans="1:28" s="1" customFormat="1">
      <c r="A51" t="str">
        <f t="shared" si="9"/>
        <v>Binary.November</v>
      </c>
      <c r="B51" s="210">
        <f t="shared" si="9"/>
        <v>-5.6538730487937831E-2</v>
      </c>
      <c r="C51" t="str">
        <f t="shared" si="8"/>
        <v>Binary.November</v>
      </c>
      <c r="D51" s="88">
        <f ca="1">+'Variance Plan'!D50</f>
        <v>0</v>
      </c>
      <c r="E51" s="88">
        <f ca="1">+'Variance Plan'!E50</f>
        <v>0</v>
      </c>
      <c r="F51" s="88">
        <f ca="1">+'Variance Plan'!F50</f>
        <v>0</v>
      </c>
      <c r="G51" s="88">
        <f ca="1">+'Variance Plan'!G50</f>
        <v>0</v>
      </c>
      <c r="H51" s="88">
        <f ca="1">+'Variance Plan'!H50</f>
        <v>0</v>
      </c>
      <c r="I51" s="88">
        <f ca="1">+'Variance Plan'!I50</f>
        <v>0</v>
      </c>
      <c r="J51" s="88">
        <f ca="1">+'Variance Plan'!J50</f>
        <v>0</v>
      </c>
      <c r="K51" s="88">
        <f ca="1">+'Variance Plan'!K50</f>
        <v>0</v>
      </c>
      <c r="L51" s="88">
        <f ca="1">+'Variance Plan'!L50</f>
        <v>0</v>
      </c>
      <c r="M51" s="88">
        <f ca="1">+'Variance Plan'!M50</f>
        <v>0</v>
      </c>
      <c r="N51" s="205">
        <f ca="1">+'Variance Plan'!N50</f>
        <v>1</v>
      </c>
      <c r="O51" s="88">
        <f ca="1">+'Variance Plan'!O50</f>
        <v>0</v>
      </c>
      <c r="P51" s="3"/>
      <c r="Q51" s="15"/>
      <c r="R51" s="16"/>
      <c r="S51" s="12"/>
      <c r="T51" s="10"/>
      <c r="U51" s="11"/>
      <c r="V51" s="12"/>
      <c r="W51" s="12"/>
      <c r="X51" s="13"/>
      <c r="Y51" s="2"/>
      <c r="Z51" s="2"/>
      <c r="AA51" s="14"/>
      <c r="AB51" s="2"/>
    </row>
    <row r="52" spans="1:28" s="1" customFormat="1">
      <c r="A52" t="str">
        <f t="shared" si="9"/>
        <v>Binary.November_2005</v>
      </c>
      <c r="B52" s="210">
        <f t="shared" si="9"/>
        <v>0.10606078306781035</v>
      </c>
      <c r="C52" t="str">
        <f t="shared" si="8"/>
        <v>Binary.November_2005</v>
      </c>
      <c r="D52" s="88">
        <f ca="1">+'Variance Plan'!D51</f>
        <v>0</v>
      </c>
      <c r="E52" s="88">
        <f ca="1">+'Variance Plan'!E51</f>
        <v>0</v>
      </c>
      <c r="F52" s="88">
        <f ca="1">+'Variance Plan'!F51</f>
        <v>0</v>
      </c>
      <c r="G52" s="88">
        <f ca="1">+'Variance Plan'!G51</f>
        <v>0</v>
      </c>
      <c r="H52" s="88">
        <f ca="1">+'Variance Plan'!H51</f>
        <v>0</v>
      </c>
      <c r="I52" s="88">
        <f ca="1">+'Variance Plan'!I51</f>
        <v>0</v>
      </c>
      <c r="J52" s="88">
        <f ca="1">+'Variance Plan'!J51</f>
        <v>0</v>
      </c>
      <c r="K52" s="88">
        <f ca="1">+'Variance Plan'!K51</f>
        <v>0</v>
      </c>
      <c r="L52" s="88">
        <f ca="1">+'Variance Plan'!L51</f>
        <v>0</v>
      </c>
      <c r="M52" s="88">
        <f ca="1">+'Variance Plan'!M51</f>
        <v>0</v>
      </c>
      <c r="N52" s="88">
        <f ca="1">+'Variance Plan'!N51</f>
        <v>0</v>
      </c>
      <c r="O52" s="88">
        <f ca="1">+'Variance Plan'!O51</f>
        <v>0</v>
      </c>
      <c r="P52" s="3"/>
      <c r="Q52" s="15"/>
      <c r="R52" s="16"/>
      <c r="S52" s="12"/>
      <c r="T52" s="10"/>
      <c r="U52" s="11"/>
      <c r="V52" s="12"/>
      <c r="W52" s="12"/>
      <c r="X52" s="13"/>
      <c r="Y52" s="2"/>
      <c r="Z52" s="2"/>
      <c r="AA52" s="14"/>
      <c r="AB52" s="2"/>
    </row>
    <row r="53" spans="1:28" s="1" customFormat="1">
      <c r="A53" t="str">
        <f t="shared" si="9"/>
        <v>Economics.CPI_Energy</v>
      </c>
      <c r="B53" s="210">
        <f t="shared" si="9"/>
        <v>-3.7732034739855242E-4</v>
      </c>
      <c r="C53" t="str">
        <f t="shared" si="8"/>
        <v>Economics.CPI_Energy</v>
      </c>
      <c r="D53" s="88">
        <f ca="1">+'Variance Plan'!D52</f>
        <v>244.46957451646017</v>
      </c>
      <c r="E53" s="88">
        <f ca="1">+'Variance Plan'!E52</f>
        <v>244.25634739101301</v>
      </c>
      <c r="F53" s="88">
        <f ca="1">+'Variance Plan'!F52</f>
        <v>244.42175969048748</v>
      </c>
      <c r="G53" s="88">
        <f ca="1">+'Variance Plan'!G52</f>
        <v>242.96652943152617</v>
      </c>
      <c r="H53" s="88">
        <f ca="1">+'Variance Plan'!H52</f>
        <v>245.12302218385372</v>
      </c>
      <c r="I53" s="88">
        <f ca="1">+'Variance Plan'!I52</f>
        <v>247.11975356300508</v>
      </c>
      <c r="J53" s="88">
        <f ca="1">+'Variance Plan'!J52</f>
        <v>247.40364716353599</v>
      </c>
      <c r="K53" s="88">
        <f ca="1">+'Variance Plan'!K52</f>
        <v>248.94396377162499</v>
      </c>
      <c r="L53" s="88">
        <f ca="1">+'Variance Plan'!L52</f>
        <v>249.92548906483898</v>
      </c>
      <c r="M53" s="88">
        <f ca="1">+'Variance Plan'!M52</f>
        <v>251.27380377479201</v>
      </c>
      <c r="N53" s="88">
        <f ca="1">+'Variance Plan'!N52</f>
        <v>252.01545908330897</v>
      </c>
      <c r="O53" s="88">
        <f ca="1">+'Variance Plan'!O52</f>
        <v>252.758737141898</v>
      </c>
      <c r="P53" s="3"/>
      <c r="Q53" s="15"/>
      <c r="R53" s="16"/>
      <c r="S53" s="12"/>
      <c r="T53" s="10"/>
      <c r="U53" s="11"/>
      <c r="V53" s="12"/>
      <c r="W53" s="12"/>
      <c r="X53" s="13"/>
      <c r="Y53" s="2"/>
      <c r="Z53" s="2"/>
      <c r="AA53" s="14"/>
      <c r="AB53" s="2"/>
    </row>
    <row r="54" spans="1:28" s="1" customFormat="1">
      <c r="A54" t="str">
        <f t="shared" si="9"/>
        <v>AR(1)</v>
      </c>
      <c r="B54" s="210">
        <f t="shared" si="9"/>
        <v>0.32325220069960209</v>
      </c>
      <c r="C54" t="str">
        <f t="shared" si="8"/>
        <v>AR(1)</v>
      </c>
      <c r="D54" s="224">
        <f ca="1">+'Variance Plan'!D53</f>
        <v>-2.5390247235801398E-6</v>
      </c>
      <c r="E54" s="88">
        <f ca="1">+'Variance Plan'!E53</f>
        <v>-8.2074532947728997E-7</v>
      </c>
      <c r="F54" s="88">
        <f ca="1">+'Variance Plan'!F53</f>
        <v>-2.6530773378219402E-7</v>
      </c>
      <c r="G54" s="88">
        <f ca="1">+'Variance Plan'!G53</f>
        <v>-8.5761308943332906E-8</v>
      </c>
      <c r="H54" s="88">
        <f ca="1">+'Variance Plan'!H53</f>
        <v>-2.77225313816132E-8</v>
      </c>
      <c r="I54" s="88">
        <f ca="1">+'Variance Plan'!I53</f>
        <v>-8.9613689802092705E-9</v>
      </c>
      <c r="J54" s="88">
        <f ca="1">+'Variance Plan'!J53</f>
        <v>-2.8967828136217101E-9</v>
      </c>
      <c r="K54" s="88">
        <f ca="1">+'Variance Plan'!K53</f>
        <v>-9.3639096476749707E-10</v>
      </c>
      <c r="L54" s="88">
        <f ca="1">+'Variance Plan'!L53</f>
        <v>-3.0269031725538298E-10</v>
      </c>
      <c r="M54" s="88">
        <f ca="1">+'Variance Plan'!M53</f>
        <v>-9.7845287427844596E-11</v>
      </c>
      <c r="N54" s="88">
        <f ca="1">+'Variance Plan'!N53</f>
        <v>-3.1628699659336202E-11</v>
      </c>
      <c r="O54" s="88">
        <f ca="1">+'Variance Plan'!O53</f>
        <v>-1.02235997445632E-11</v>
      </c>
      <c r="P54" s="3"/>
      <c r="Q54" s="15"/>
      <c r="R54" s="16"/>
      <c r="S54" s="12"/>
      <c r="T54" s="10"/>
      <c r="U54" s="11"/>
      <c r="V54" s="12"/>
      <c r="W54" s="12"/>
      <c r="X54" s="13"/>
      <c r="Y54" s="2"/>
      <c r="Z54" s="2"/>
      <c r="AA54" s="14"/>
      <c r="AB54" s="2"/>
    </row>
    <row r="55" spans="1:28" s="65" customFormat="1">
      <c r="A55"/>
      <c r="B55" s="71"/>
      <c r="C55" s="169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  <c r="R55" s="58"/>
      <c r="S55" s="59"/>
      <c r="T55" s="60"/>
      <c r="U55" s="61"/>
      <c r="V55" s="59"/>
      <c r="W55" s="59"/>
      <c r="X55" s="62"/>
      <c r="Y55" s="63"/>
      <c r="Z55" s="63"/>
      <c r="AA55" s="64"/>
      <c r="AB55" s="63"/>
    </row>
    <row r="56" spans="1:28" s="1" customFormat="1">
      <c r="A56"/>
      <c r="B56" s="70"/>
      <c r="C56" s="87" t="s">
        <v>50</v>
      </c>
      <c r="D56" s="69">
        <f ca="1">+'Variance Plan'!D55</f>
        <v>4560015</v>
      </c>
      <c r="E56" s="69">
        <f ca="1">+'Variance Plan'!E55</f>
        <v>4565707</v>
      </c>
      <c r="F56" s="69">
        <f ca="1">+'Variance Plan'!F55</f>
        <v>4573930</v>
      </c>
      <c r="G56" s="69">
        <f ca="1">+'Variance Plan'!G55</f>
        <v>4577038</v>
      </c>
      <c r="H56" s="69">
        <f ca="1">+'Variance Plan'!H55</f>
        <v>4576751</v>
      </c>
      <c r="I56" s="69">
        <f ca="1">+'Variance Plan'!I55</f>
        <v>4575347</v>
      </c>
      <c r="J56" s="69">
        <f ca="1">+'Variance Plan'!J55</f>
        <v>0</v>
      </c>
      <c r="K56" s="69">
        <f ca="1">+'Variance Plan'!K55</f>
        <v>0</v>
      </c>
      <c r="L56" s="69">
        <f ca="1">+'Variance Plan'!L55</f>
        <v>0</v>
      </c>
      <c r="M56" s="69">
        <f ca="1">+'Variance Plan'!M55</f>
        <v>0</v>
      </c>
      <c r="N56" s="69">
        <f ca="1">+'Variance Plan'!N55</f>
        <v>0</v>
      </c>
      <c r="O56" s="69">
        <f ca="1">+'Variance Plan'!O55</f>
        <v>0</v>
      </c>
      <c r="P56" s="69">
        <f>AVERAGE(D56:O56)</f>
        <v>2285732.3333333335</v>
      </c>
      <c r="Q56" s="16"/>
      <c r="R56" s="16"/>
      <c r="S56" s="12"/>
      <c r="T56" s="10"/>
      <c r="U56" s="11"/>
      <c r="V56" s="12"/>
      <c r="W56" s="12"/>
      <c r="X56" s="13"/>
      <c r="Y56" s="2"/>
      <c r="Z56" s="2"/>
      <c r="AA56" s="14"/>
      <c r="AB56" s="2"/>
    </row>
    <row r="57" spans="1:28" s="1" customFormat="1">
      <c r="A57"/>
      <c r="B57" s="89">
        <v>1</v>
      </c>
      <c r="C57" s="1" t="s">
        <v>42</v>
      </c>
      <c r="D57" s="3">
        <f ca="1">+'Variance Plan'!D56</f>
        <v>92664.915421234982</v>
      </c>
      <c r="E57" s="3">
        <f ca="1">+'Variance Plan'!E56</f>
        <v>77914.320474069318</v>
      </c>
      <c r="F57" s="3">
        <f ca="1">+'Variance Plan'!F56</f>
        <v>91105.909870313975</v>
      </c>
      <c r="G57" s="3">
        <f ca="1">+'Variance Plan'!G56</f>
        <v>101633.10831089987</v>
      </c>
      <c r="H57" s="3">
        <f ca="1">+'Variance Plan'!H56</f>
        <v>109019.97384114325</v>
      </c>
      <c r="I57" s="3">
        <f ca="1">+'Variance Plan'!I56</f>
        <v>112560.4294476025</v>
      </c>
      <c r="J57" s="3">
        <f ca="1">+'Variance Plan'!J56</f>
        <v>120906.37303005606</v>
      </c>
      <c r="K57" s="3">
        <f ca="1">+'Variance Plan'!K56</f>
        <v>126724.21082284969</v>
      </c>
      <c r="L57" s="3">
        <f ca="1">+'Variance Plan'!L56</f>
        <v>115619.28014007198</v>
      </c>
      <c r="M57" s="3">
        <f ca="1">+'Variance Plan'!M56</f>
        <v>111650.96498780797</v>
      </c>
      <c r="N57" s="3">
        <f ca="1">+'Variance Plan'!N56</f>
        <v>82661.775003980249</v>
      </c>
      <c r="O57" s="3">
        <f ca="1">+'Variance Plan'!O56</f>
        <v>81715.57131305529</v>
      </c>
      <c r="P57" s="3"/>
      <c r="Q57" s="2"/>
      <c r="R57" s="2"/>
      <c r="S57" s="12"/>
      <c r="T57" s="10"/>
      <c r="U57" s="11"/>
      <c r="V57" s="12"/>
      <c r="W57" s="12"/>
      <c r="X57" s="13"/>
      <c r="Y57" s="2"/>
      <c r="Z57" s="2"/>
      <c r="AA57" s="14"/>
      <c r="AB57" s="2"/>
    </row>
    <row r="58" spans="1:28" s="1" customFormat="1">
      <c r="A58"/>
      <c r="B58" s="89">
        <v>1</v>
      </c>
      <c r="C58" s="1" t="s">
        <v>43</v>
      </c>
      <c r="D58" s="4">
        <f ca="1">+'Variance Plan'!D57</f>
        <v>0</v>
      </c>
      <c r="E58" s="4">
        <f ca="1">+'Variance Plan'!E57</f>
        <v>0</v>
      </c>
      <c r="F58" s="4">
        <f ca="1">+'Variance Plan'!F57</f>
        <v>0</v>
      </c>
      <c r="G58" s="4">
        <f ca="1">+'Variance Plan'!G57</f>
        <v>0</v>
      </c>
      <c r="H58" s="4">
        <f ca="1">+'Variance Plan'!H57</f>
        <v>0</v>
      </c>
      <c r="I58" s="4">
        <f ca="1">+'Variance Plan'!I57</f>
        <v>0</v>
      </c>
      <c r="J58" s="4">
        <f ca="1">+'Variance Plan'!J57</f>
        <v>0</v>
      </c>
      <c r="K58" s="4">
        <f ca="1">+'Variance Plan'!K57</f>
        <v>0</v>
      </c>
      <c r="L58" s="4">
        <f ca="1">+'Variance Plan'!L57</f>
        <v>0</v>
      </c>
      <c r="M58" s="4">
        <f ca="1">+'Variance Plan'!M57</f>
        <v>0</v>
      </c>
      <c r="N58" s="4">
        <f ca="1">+'Variance Plan'!N57</f>
        <v>0</v>
      </c>
      <c r="O58" s="4">
        <f ca="1">+'Variance Plan'!O57</f>
        <v>0</v>
      </c>
      <c r="P58" s="3"/>
      <c r="Q58" s="2"/>
      <c r="R58" s="2"/>
      <c r="S58" s="12"/>
      <c r="T58" s="10"/>
      <c r="U58" s="11"/>
      <c r="V58" s="12"/>
      <c r="W58" s="12"/>
      <c r="X58" s="13"/>
      <c r="Y58" s="2"/>
      <c r="Z58" s="2"/>
      <c r="AA58" s="14"/>
      <c r="AB58" s="2"/>
    </row>
    <row r="59" spans="1:28" s="1" customFormat="1" ht="15.75" customHeight="1">
      <c r="A59"/>
      <c r="B59" s="89">
        <v>1</v>
      </c>
      <c r="C59" s="1" t="s">
        <v>44</v>
      </c>
      <c r="D59" s="32">
        <f ca="1">+'Variance Plan'!D58</f>
        <v>1551.4270779131093</v>
      </c>
      <c r="E59" s="32">
        <f ca="1">+'Variance Plan'!E58</f>
        <v>1451.3350083703281</v>
      </c>
      <c r="F59" s="32">
        <f ca="1">+'Variance Plan'!F58</f>
        <v>1551.4270779131093</v>
      </c>
      <c r="G59" s="32">
        <f ca="1">+'Variance Plan'!G58</f>
        <v>1551.4270779131093</v>
      </c>
      <c r="H59" s="32">
        <f ca="1">+'Variance Plan'!H58</f>
        <v>1501.3810431417187</v>
      </c>
      <c r="I59" s="32">
        <f ca="1">+'Variance Plan'!I58</f>
        <v>1551.4270779131093</v>
      </c>
      <c r="J59" s="32">
        <f ca="1">+'Variance Plan'!J58</f>
        <v>1501.3810431417187</v>
      </c>
      <c r="K59" s="32">
        <f ca="1">+'Variance Plan'!K58</f>
        <v>1551.4270779131093</v>
      </c>
      <c r="L59" s="32">
        <f ca="1">+'Variance Plan'!L58</f>
        <v>1551.4270779131093</v>
      </c>
      <c r="M59" s="32">
        <f ca="1">+'Variance Plan'!M58</f>
        <v>1501.3810431417187</v>
      </c>
      <c r="N59" s="32">
        <f ca="1">+'Variance Plan'!N58</f>
        <v>1551.4270779131093</v>
      </c>
      <c r="O59" s="32">
        <f ca="1">+'Variance Plan'!O58</f>
        <v>1501.3810431417187</v>
      </c>
      <c r="P59" s="3"/>
      <c r="Q59" s="2"/>
      <c r="R59" s="2"/>
      <c r="S59" s="12"/>
      <c r="T59" s="10"/>
      <c r="U59" s="11"/>
      <c r="V59" s="12"/>
      <c r="W59" s="12"/>
      <c r="X59" s="13"/>
      <c r="Y59" s="2"/>
      <c r="Z59" s="2"/>
      <c r="AA59" s="14"/>
      <c r="AB59" s="2"/>
    </row>
    <row r="60" spans="1:28" s="1" customFormat="1" ht="15.75" customHeight="1">
      <c r="A60"/>
      <c r="B60" s="89"/>
      <c r="C60" t="s">
        <v>100</v>
      </c>
      <c r="D60" s="265">
        <f>D28</f>
        <v>0</v>
      </c>
      <c r="E60" s="265">
        <f t="shared" ref="E60:O60" si="10">E28</f>
        <v>0</v>
      </c>
      <c r="F60" s="265">
        <f t="shared" si="10"/>
        <v>0</v>
      </c>
      <c r="G60" s="265">
        <f t="shared" si="10"/>
        <v>0</v>
      </c>
      <c r="H60" s="265">
        <f t="shared" si="10"/>
        <v>0</v>
      </c>
      <c r="I60" s="265">
        <f t="shared" si="10"/>
        <v>0</v>
      </c>
      <c r="J60" s="265">
        <f t="shared" si="10"/>
        <v>0</v>
      </c>
      <c r="K60" s="265">
        <f t="shared" si="10"/>
        <v>0</v>
      </c>
      <c r="L60" s="265">
        <f t="shared" si="10"/>
        <v>0</v>
      </c>
      <c r="M60" s="265">
        <f t="shared" si="10"/>
        <v>5565.893777827142</v>
      </c>
      <c r="N60" s="265">
        <f t="shared" si="10"/>
        <v>4909.4987156406669</v>
      </c>
      <c r="O60" s="265">
        <f t="shared" si="10"/>
        <v>4796.7600525973194</v>
      </c>
      <c r="P60" s="3"/>
      <c r="Q60" s="2"/>
      <c r="R60" s="2"/>
      <c r="S60" s="12"/>
      <c r="T60" s="10"/>
      <c r="U60" s="11"/>
      <c r="V60" s="12"/>
      <c r="W60" s="12"/>
      <c r="X60" s="13"/>
      <c r="Y60" s="2"/>
      <c r="Z60" s="2"/>
      <c r="AA60" s="14"/>
      <c r="AB60" s="2"/>
    </row>
    <row r="61" spans="1:28" s="1" customFormat="1" ht="15.75" customHeight="1">
      <c r="A61"/>
      <c r="B61" s="89"/>
      <c r="C61" t="s">
        <v>101</v>
      </c>
      <c r="D61" s="265">
        <f>D29</f>
        <v>0</v>
      </c>
      <c r="E61" s="265">
        <f t="shared" ref="E61:O61" si="11">E29</f>
        <v>0</v>
      </c>
      <c r="F61" s="265">
        <f t="shared" si="11"/>
        <v>0</v>
      </c>
      <c r="G61" s="265">
        <f t="shared" si="11"/>
        <v>0</v>
      </c>
      <c r="H61" s="265">
        <f t="shared" si="11"/>
        <v>0</v>
      </c>
      <c r="I61" s="265">
        <f t="shared" si="11"/>
        <v>0</v>
      </c>
      <c r="J61" s="265">
        <f t="shared" si="11"/>
        <v>0</v>
      </c>
      <c r="K61" s="265">
        <f t="shared" si="11"/>
        <v>21096.246801674744</v>
      </c>
      <c r="L61" s="265">
        <f t="shared" si="11"/>
        <v>18586.418943446115</v>
      </c>
      <c r="M61" s="265">
        <f t="shared" si="11"/>
        <v>17906.304514117059</v>
      </c>
      <c r="N61" s="265">
        <f t="shared" si="11"/>
        <v>13920.480206779765</v>
      </c>
      <c r="O61" s="265">
        <f t="shared" si="11"/>
        <v>15040.017747062549</v>
      </c>
      <c r="P61" s="3"/>
      <c r="Q61" s="2"/>
      <c r="R61" s="2"/>
      <c r="S61" s="12"/>
      <c r="T61" s="10"/>
      <c r="U61" s="11"/>
      <c r="V61" s="12"/>
      <c r="W61" s="12"/>
      <c r="X61" s="13"/>
      <c r="Y61" s="2"/>
      <c r="Z61" s="2"/>
      <c r="AA61" s="14"/>
      <c r="AB61" s="2"/>
    </row>
    <row r="62" spans="1:28" s="1" customFormat="1" ht="15.75" customHeight="1">
      <c r="A62"/>
      <c r="B62" s="70"/>
      <c r="C62" s="1" t="s">
        <v>45</v>
      </c>
      <c r="D62" s="68">
        <f>(($B$6+($B$7*D39)+($B$8*D40)+($B$10*D42)+($B$11*D43)+($B$12*D44)+($B$13*D45)+(D46*$B$14)+(D47*$B$15)+(D48*$B$16)))</f>
        <v>1.7539218728497312</v>
      </c>
      <c r="E62" s="68">
        <f t="shared" ref="E62:O62" si="12">(($B$6+($B$7*E39)+($B$8*E40)+($B$10*E42)+($B$11*E43)+($B$12*E44)+($B$13*E45)+(E46*$B$14)+(E47*$B$15)+(E48*$B$16)))</f>
        <v>1.6768658627278836</v>
      </c>
      <c r="F62" s="68">
        <f t="shared" si="12"/>
        <v>1.9283316328482272</v>
      </c>
      <c r="G62" s="68">
        <f t="shared" si="12"/>
        <v>1.9162767385979469</v>
      </c>
      <c r="H62" s="68">
        <f t="shared" si="12"/>
        <v>2.1902214245873601</v>
      </c>
      <c r="I62" s="68">
        <f t="shared" si="12"/>
        <v>2.3085951076953246</v>
      </c>
      <c r="J62" s="68">
        <f t="shared" si="12"/>
        <v>1.5320254468256371</v>
      </c>
      <c r="K62" s="68">
        <f t="shared" si="12"/>
        <v>1.5268870245189015</v>
      </c>
      <c r="L62" s="68">
        <f t="shared" si="12"/>
        <v>1.543740662379069</v>
      </c>
      <c r="M62" s="68">
        <f t="shared" si="12"/>
        <v>1.5959067981749842</v>
      </c>
      <c r="N62" s="68">
        <f t="shared" si="12"/>
        <v>1.6537724186306861</v>
      </c>
      <c r="O62" s="68">
        <f t="shared" si="12"/>
        <v>1.7814919333157118</v>
      </c>
      <c r="P62" s="3">
        <f>SUM(D62:O62)</f>
        <v>21.408036923151464</v>
      </c>
      <c r="Q62" s="38"/>
      <c r="R62" s="2"/>
      <c r="S62" s="12"/>
      <c r="T62" s="10"/>
      <c r="U62" s="11"/>
      <c r="V62" s="12"/>
      <c r="W62" s="12"/>
      <c r="X62" s="13"/>
      <c r="Y62" s="2"/>
      <c r="Z62" s="2"/>
      <c r="AA62" s="14"/>
      <c r="AB62" s="2"/>
    </row>
    <row r="63" spans="1:28" s="1" customFormat="1" ht="15.75" customHeight="1" thickBot="1">
      <c r="A63"/>
      <c r="B63" s="70"/>
      <c r="C63" s="75" t="s">
        <v>46</v>
      </c>
      <c r="D63" s="92">
        <f>(D62*D56)+SUM(D57:D61)</f>
        <v>8092126.3915220154</v>
      </c>
      <c r="E63" s="92">
        <f t="shared" ref="E63:O63" si="13">(E62*E56)+SUM(E57:E61)</f>
        <v>7735443.8630001768</v>
      </c>
      <c r="F63" s="92">
        <f t="shared" si="13"/>
        <v>8912711.242381718</v>
      </c>
      <c r="G63" s="92">
        <f t="shared" si="13"/>
        <v>8874055.9864676818</v>
      </c>
      <c r="H63" s="92">
        <f t="shared" si="13"/>
        <v>10134619.45008591</v>
      </c>
      <c r="I63" s="92">
        <f>(I62*I56)+SUM(I57:I61)</f>
        <v>10676735.556733996</v>
      </c>
      <c r="J63" s="92">
        <f t="shared" si="13"/>
        <v>122407.75407319778</v>
      </c>
      <c r="K63" s="92">
        <f t="shared" si="13"/>
        <v>149371.88470243756</v>
      </c>
      <c r="L63" s="92">
        <f t="shared" si="13"/>
        <v>135757.1261614312</v>
      </c>
      <c r="M63" s="92">
        <f t="shared" si="13"/>
        <v>136624.5443228939</v>
      </c>
      <c r="N63" s="92">
        <f t="shared" si="13"/>
        <v>103043.18100431378</v>
      </c>
      <c r="O63" s="92">
        <f t="shared" si="13"/>
        <v>103053.73015585689</v>
      </c>
      <c r="P63" s="47">
        <f>SUM(D63:O63)</f>
        <v>55175950.710611627</v>
      </c>
      <c r="Q63" s="2"/>
      <c r="S63" s="12"/>
      <c r="T63" s="10"/>
      <c r="U63" s="11"/>
      <c r="V63" s="12"/>
      <c r="W63" s="12"/>
      <c r="X63" s="13"/>
      <c r="Y63" s="2"/>
      <c r="Z63" s="2"/>
      <c r="AA63" s="14"/>
      <c r="AB63" s="2"/>
    </row>
    <row r="64" spans="1:28" s="1" customFormat="1" ht="15.75" customHeight="1" thickBot="1">
      <c r="A64"/>
      <c r="B64" s="70"/>
      <c r="C64" s="177" t="s">
        <v>76</v>
      </c>
      <c r="D64" s="92"/>
      <c r="E64" s="92"/>
      <c r="F64" s="92"/>
      <c r="G64" s="92"/>
      <c r="H64" s="76"/>
      <c r="I64" s="76"/>
      <c r="J64" s="178">
        <f ca="1">+'Variance Plan'!J63</f>
        <v>0</v>
      </c>
      <c r="K64" s="76"/>
      <c r="L64" s="76"/>
      <c r="M64" s="76"/>
      <c r="N64" s="76"/>
      <c r="O64" s="76"/>
      <c r="P64" s="47"/>
      <c r="Q64" s="2"/>
      <c r="S64" s="12"/>
      <c r="T64" s="10"/>
      <c r="U64" s="11"/>
      <c r="V64" s="12"/>
      <c r="W64" s="12"/>
      <c r="X64" s="13"/>
      <c r="Y64" s="2"/>
      <c r="Z64" s="2"/>
      <c r="AA64" s="14"/>
      <c r="AB64" s="2"/>
    </row>
    <row r="65" spans="1:28" s="1" customFormat="1" ht="15.75" customHeight="1">
      <c r="A65"/>
      <c r="B65" s="70"/>
      <c r="C65" s="46" t="s">
        <v>118</v>
      </c>
      <c r="D65" s="54">
        <f ca="1">+'Variance Plan'!D62</f>
        <v>7966538</v>
      </c>
      <c r="E65" s="54">
        <f ca="1">+'Variance Plan'!E62</f>
        <v>7695954</v>
      </c>
      <c r="F65" s="54">
        <f ca="1">+'Variance Plan'!F62</f>
        <v>8636166</v>
      </c>
      <c r="G65" s="54">
        <f ca="1">+'Variance Plan'!G62</f>
        <v>8505617</v>
      </c>
      <c r="H65" s="54">
        <f ca="1">+'Variance Plan'!H62</f>
        <v>9888776</v>
      </c>
      <c r="I65" s="54">
        <f ca="1">+'Variance Plan'!I62</f>
        <v>10236690</v>
      </c>
      <c r="J65" s="54">
        <f ca="1">+'Variance Plan'!J62</f>
        <v>0</v>
      </c>
      <c r="K65" s="54">
        <f ca="1">+'Variance Plan'!K62</f>
        <v>0</v>
      </c>
      <c r="L65" s="54">
        <f ca="1">+'Variance Plan'!L62</f>
        <v>0</v>
      </c>
      <c r="M65" s="3">
        <f ca="1">+'Variance Plan'!M62</f>
        <v>0</v>
      </c>
      <c r="N65" s="3">
        <f ca="1">+'Variance Plan'!N62</f>
        <v>0</v>
      </c>
      <c r="O65" s="3">
        <f ca="1">+'Variance Plan'!O62</f>
        <v>0</v>
      </c>
      <c r="P65" s="3"/>
      <c r="Q65" s="2"/>
      <c r="R65" s="2"/>
      <c r="S65" s="12"/>
      <c r="T65" s="10"/>
      <c r="U65" s="11"/>
      <c r="V65" s="12"/>
      <c r="W65" s="12"/>
      <c r="X65" s="13"/>
      <c r="Y65" s="2"/>
      <c r="Z65" s="2"/>
      <c r="AA65" s="14"/>
      <c r="AB65" s="2"/>
    </row>
    <row r="66" spans="1:28" s="1" customFormat="1" ht="15.75" customHeight="1">
      <c r="A66"/>
      <c r="B66" s="26"/>
      <c r="C66" s="1" t="s">
        <v>21</v>
      </c>
      <c r="D66" s="18">
        <f>+D63</f>
        <v>8092126.3915220154</v>
      </c>
      <c r="E66" s="18">
        <f t="shared" ref="E66:O66" si="14">+E63</f>
        <v>7735443.8630001768</v>
      </c>
      <c r="F66" s="18">
        <f t="shared" si="14"/>
        <v>8912711.242381718</v>
      </c>
      <c r="G66" s="18">
        <f t="shared" si="14"/>
        <v>8874055.9864676818</v>
      </c>
      <c r="H66" s="18">
        <f t="shared" si="14"/>
        <v>10134619.45008591</v>
      </c>
      <c r="I66" s="18">
        <f t="shared" si="14"/>
        <v>10676735.556733996</v>
      </c>
      <c r="J66" s="18">
        <f t="shared" si="14"/>
        <v>122407.75407319778</v>
      </c>
      <c r="K66" s="18">
        <f>+K63</f>
        <v>149371.88470243756</v>
      </c>
      <c r="L66" s="18">
        <f t="shared" si="14"/>
        <v>135757.1261614312</v>
      </c>
      <c r="M66" s="18">
        <f t="shared" si="14"/>
        <v>136624.5443228939</v>
      </c>
      <c r="N66" s="18">
        <f t="shared" si="14"/>
        <v>103043.18100431378</v>
      </c>
      <c r="O66" s="18">
        <f t="shared" si="14"/>
        <v>103053.73015585689</v>
      </c>
      <c r="P66" s="3">
        <f>SUM(D66:O66)</f>
        <v>55175950.710611627</v>
      </c>
      <c r="Q66" s="30"/>
      <c r="R66" s="2"/>
      <c r="S66" s="12"/>
      <c r="T66" s="10"/>
      <c r="U66" s="11"/>
      <c r="V66" s="12"/>
      <c r="W66" s="12"/>
      <c r="X66" s="13"/>
      <c r="Y66" s="2"/>
      <c r="Z66" s="2"/>
      <c r="AA66" s="14"/>
      <c r="AB66" s="2"/>
    </row>
    <row r="67" spans="1:28" s="1" customFormat="1" ht="15.75" customHeight="1">
      <c r="A67"/>
      <c r="B67" s="26"/>
      <c r="Q67" s="2"/>
      <c r="S67" s="12"/>
      <c r="T67" s="10"/>
      <c r="U67" s="11"/>
      <c r="V67" s="12"/>
      <c r="W67" s="12"/>
      <c r="X67" s="13"/>
      <c r="Y67" s="2"/>
      <c r="Z67" s="2"/>
      <c r="AA67" s="14"/>
      <c r="AB67" s="2"/>
    </row>
    <row r="68" spans="1:28">
      <c r="D68" s="3">
        <f>+D65-D66</f>
        <v>-125588.39152201544</v>
      </c>
      <c r="E68" s="3">
        <f t="shared" ref="E68:P68" si="15">+E65-E66</f>
        <v>-39489.863000176847</v>
      </c>
      <c r="F68" s="3">
        <f t="shared" si="15"/>
        <v>-276545.24238171801</v>
      </c>
      <c r="G68" s="3">
        <f t="shared" si="15"/>
        <v>-368438.98646768183</v>
      </c>
      <c r="H68" s="3">
        <f t="shared" si="15"/>
        <v>-245843.45008591004</v>
      </c>
      <c r="I68" s="3">
        <f t="shared" si="15"/>
        <v>-440045.55673399568</v>
      </c>
      <c r="J68" s="3">
        <f t="shared" si="15"/>
        <v>-122407.75407319778</v>
      </c>
      <c r="K68" s="3">
        <f t="shared" si="15"/>
        <v>-149371.88470243756</v>
      </c>
      <c r="L68" s="3">
        <f t="shared" si="15"/>
        <v>-135757.1261614312</v>
      </c>
      <c r="M68" s="3">
        <f t="shared" si="15"/>
        <v>-136624.5443228939</v>
      </c>
      <c r="N68" s="3">
        <f t="shared" si="15"/>
        <v>-103043.18100431378</v>
      </c>
      <c r="O68" s="3">
        <f t="shared" si="15"/>
        <v>-103053.73015585689</v>
      </c>
      <c r="P68" s="3">
        <f t="shared" si="15"/>
        <v>-55175950.710611627</v>
      </c>
    </row>
    <row r="69" spans="1:28">
      <c r="C69" s="20" t="s">
        <v>38</v>
      </c>
      <c r="D69" s="93">
        <f t="shared" ref="D69:O69" si="16">(D56/D24)-1</f>
        <v>5.9534156859388787E-3</v>
      </c>
      <c r="E69" s="93">
        <f t="shared" si="16"/>
        <v>5.7979181334575358E-3</v>
      </c>
      <c r="F69" s="33">
        <f t="shared" si="16"/>
        <v>6.017059442353645E-3</v>
      </c>
      <c r="G69" s="33">
        <f t="shared" si="16"/>
        <v>5.8864858723239877E-3</v>
      </c>
      <c r="H69" s="33">
        <f t="shared" si="16"/>
        <v>5.9213461661036249E-3</v>
      </c>
      <c r="I69" s="33">
        <f t="shared" si="16"/>
        <v>5.717095542252526E-3</v>
      </c>
      <c r="J69" s="33">
        <f t="shared" si="16"/>
        <v>-1</v>
      </c>
      <c r="K69" s="33">
        <f t="shared" si="16"/>
        <v>-1</v>
      </c>
      <c r="L69" s="33">
        <f t="shared" si="16"/>
        <v>-1</v>
      </c>
      <c r="M69" s="33">
        <f t="shared" si="16"/>
        <v>-1</v>
      </c>
      <c r="N69" s="33">
        <f t="shared" si="16"/>
        <v>-1</v>
      </c>
      <c r="O69" s="33">
        <f t="shared" si="16"/>
        <v>-1</v>
      </c>
    </row>
    <row r="71" spans="1:28" s="45" customFormat="1">
      <c r="B71" s="49"/>
      <c r="C71" s="45" t="s">
        <v>114</v>
      </c>
      <c r="D71" s="47">
        <f t="shared" ref="D71:N71" si="17">+D32</f>
        <v>7922768</v>
      </c>
      <c r="E71" s="47">
        <f t="shared" si="17"/>
        <v>7253717</v>
      </c>
      <c r="F71" s="47">
        <f t="shared" si="17"/>
        <v>8196116.5</v>
      </c>
      <c r="G71" s="47">
        <f t="shared" si="17"/>
        <v>9460285</v>
      </c>
      <c r="H71" s="47">
        <f t="shared" si="17"/>
        <v>10098308</v>
      </c>
      <c r="I71" s="47">
        <f t="shared" si="17"/>
        <v>10539641</v>
      </c>
      <c r="J71" s="47">
        <f t="shared" si="17"/>
        <v>11848478</v>
      </c>
      <c r="K71" s="47">
        <f t="shared" si="17"/>
        <v>11325605</v>
      </c>
      <c r="L71" s="47">
        <f t="shared" si="17"/>
        <v>10530592</v>
      </c>
      <c r="M71" s="47">
        <f t="shared" si="17"/>
        <v>9050810</v>
      </c>
      <c r="N71" s="47">
        <f t="shared" si="17"/>
        <v>8021393</v>
      </c>
    </row>
    <row r="72" spans="1:28">
      <c r="C72" t="str">
        <f t="shared" ref="C72:C87" si="18">+C39</f>
        <v>Weather.Cal_HDD_based_on_45_degrees</v>
      </c>
      <c r="D72" s="3">
        <f>+((D39-D7)*$B39)*D$24</f>
        <v>0</v>
      </c>
      <c r="E72" s="3">
        <f t="shared" ref="E72:N72" si="19">+((E39-E7)*$B39)*E$24</f>
        <v>0</v>
      </c>
      <c r="F72" s="3">
        <f t="shared" si="19"/>
        <v>0</v>
      </c>
      <c r="G72" s="3">
        <f t="shared" si="19"/>
        <v>0</v>
      </c>
      <c r="H72" s="3">
        <f t="shared" si="19"/>
        <v>0</v>
      </c>
      <c r="I72" s="3">
        <f t="shared" si="19"/>
        <v>0</v>
      </c>
      <c r="J72" s="3"/>
      <c r="K72" s="3"/>
      <c r="L72" s="3">
        <f t="shared" si="19"/>
        <v>0</v>
      </c>
      <c r="M72" s="3">
        <f t="shared" si="19"/>
        <v>0</v>
      </c>
      <c r="N72" s="3">
        <f t="shared" si="19"/>
        <v>0</v>
      </c>
    </row>
    <row r="73" spans="1:28">
      <c r="C73" t="str">
        <f t="shared" si="18"/>
        <v>Weather.CDH_Calendar</v>
      </c>
      <c r="D73" s="3">
        <f>((D40-D8)*$B40)*D$24</f>
        <v>181227.75843614593</v>
      </c>
      <c r="E73" s="3">
        <f t="shared" ref="E73:N73" si="20">+((E40-E8)*$B40)*E$24</f>
        <v>104356.98107211078</v>
      </c>
      <c r="F73" s="3">
        <f t="shared" si="20"/>
        <v>136564.25055169413</v>
      </c>
      <c r="G73" s="3">
        <f t="shared" si="20"/>
        <v>-1120899.8094551861</v>
      </c>
      <c r="H73" s="3">
        <f t="shared" si="20"/>
        <v>-537614.41097062314</v>
      </c>
      <c r="I73" s="3">
        <f t="shared" si="20"/>
        <v>-375282.70197468385</v>
      </c>
      <c r="J73" s="3">
        <f t="shared" si="20"/>
        <v>-4751963.8657161165</v>
      </c>
      <c r="K73" s="3">
        <f t="shared" si="20"/>
        <v>-4573240.5505627794</v>
      </c>
      <c r="L73" s="3">
        <f t="shared" si="20"/>
        <v>-3985347.7392968987</v>
      </c>
      <c r="M73" s="3">
        <f t="shared" si="20"/>
        <v>-2155775.9303637878</v>
      </c>
      <c r="N73" s="3">
        <f t="shared" si="20"/>
        <v>-1086854.6896609613</v>
      </c>
    </row>
    <row r="74" spans="1:28">
      <c r="C74" t="str">
        <f t="shared" si="18"/>
        <v>Weather.Cal_Winter_HDD</v>
      </c>
      <c r="D74" s="3">
        <f>((D41-D9)*$B41)*D$24</f>
        <v>-198131.47282004994</v>
      </c>
      <c r="E74" s="3">
        <f t="shared" ref="E74:M74" si="21">((E41-E9)*$B41)*E$24</f>
        <v>-49476.402816529444</v>
      </c>
      <c r="F74" s="3">
        <f t="shared" si="21"/>
        <v>-46140.01318384464</v>
      </c>
      <c r="G74" s="3">
        <f t="shared" si="21"/>
        <v>0</v>
      </c>
      <c r="H74" s="3">
        <f t="shared" si="21"/>
        <v>0</v>
      </c>
      <c r="I74" s="3">
        <f t="shared" si="21"/>
        <v>0</v>
      </c>
      <c r="J74" s="3">
        <f t="shared" si="21"/>
        <v>0</v>
      </c>
      <c r="K74" s="3">
        <f t="shared" si="21"/>
        <v>0</v>
      </c>
      <c r="L74" s="3">
        <f t="shared" si="21"/>
        <v>0</v>
      </c>
      <c r="M74" s="3">
        <f t="shared" si="21"/>
        <v>0</v>
      </c>
      <c r="N74" s="3"/>
    </row>
    <row r="75" spans="1:28">
      <c r="C75" t="str">
        <f t="shared" si="18"/>
        <v>Misc.Inactive_Ratio</v>
      </c>
      <c r="D75" s="3">
        <f t="shared" ref="D75:N75" si="22">+((D42-D10)*$B42)*D$24</f>
        <v>46921.164290756373</v>
      </c>
      <c r="E75" s="3">
        <f t="shared" si="22"/>
        <v>53418.867463357717</v>
      </c>
      <c r="F75" s="3">
        <f t="shared" si="22"/>
        <v>57395.960064950166</v>
      </c>
      <c r="G75" s="3">
        <f t="shared" si="22"/>
        <v>53325.524578754281</v>
      </c>
      <c r="H75" s="3">
        <f t="shared" si="22"/>
        <v>48009.167292258811</v>
      </c>
      <c r="I75" s="3">
        <f t="shared" si="22"/>
        <v>52782.466839919311</v>
      </c>
      <c r="J75" s="3">
        <f t="shared" si="22"/>
        <v>42378.975209624114</v>
      </c>
      <c r="K75" s="3">
        <f>+((K42-K10)*$B42)*K$24</f>
        <v>51659.626056244095</v>
      </c>
      <c r="L75" s="3">
        <f t="shared" si="22"/>
        <v>48414.870037796303</v>
      </c>
      <c r="M75" s="3">
        <f t="shared" si="22"/>
        <v>50632.148247679004</v>
      </c>
      <c r="N75" s="3">
        <f t="shared" si="22"/>
        <v>52048.16167748969</v>
      </c>
    </row>
    <row r="76" spans="1:28">
      <c r="C76" t="str">
        <f t="shared" si="18"/>
        <v>Misc.NEPACT_WeatSens_UPC_Normal_CDH</v>
      </c>
      <c r="D76" s="3">
        <f t="shared" ref="D76:N76" si="23">+((D43-D11)*$B43)*D$24</f>
        <v>-8784.2510799249867</v>
      </c>
      <c r="E76" s="3">
        <f t="shared" si="23"/>
        <v>-10275.03681441926</v>
      </c>
      <c r="F76" s="3">
        <f t="shared" si="23"/>
        <v>-20152.450191563577</v>
      </c>
      <c r="G76" s="3">
        <f t="shared" si="23"/>
        <v>-38012.518887674014</v>
      </c>
      <c r="H76" s="3">
        <f t="shared" si="23"/>
        <v>-64718.72600920932</v>
      </c>
      <c r="I76" s="3">
        <f t="shared" si="23"/>
        <v>-93441.648164145299</v>
      </c>
      <c r="J76" s="3">
        <f t="shared" si="23"/>
        <v>-104706.72347011123</v>
      </c>
      <c r="K76" s="3">
        <f>+((K43-K11)*$B43)*K$24</f>
        <v>-108902.82351953151</v>
      </c>
      <c r="L76" s="3">
        <f t="shared" si="23"/>
        <v>-97850.023831362007</v>
      </c>
      <c r="M76" s="3">
        <f t="shared" si="23"/>
        <v>-65465.509237531922</v>
      </c>
      <c r="N76" s="3">
        <f t="shared" si="23"/>
        <v>-30038.576491253087</v>
      </c>
    </row>
    <row r="77" spans="1:28">
      <c r="C77" t="str">
        <f t="shared" si="18"/>
        <v>Monthly_Inputs.Real_PerCapita_Inc_Wgtby_EmpPop_Ratio</v>
      </c>
      <c r="D77" s="3">
        <f>+((D44-D12)*$B44)*D$24</f>
        <v>27929.650368451355</v>
      </c>
      <c r="E77" s="3">
        <f t="shared" ref="E77:N77" si="24">+((E44-E12)*$B44)*E$24</f>
        <v>26905.917479351865</v>
      </c>
      <c r="F77" s="3">
        <f t="shared" si="24"/>
        <v>26610.256221991389</v>
      </c>
      <c r="G77" s="3">
        <f t="shared" si="24"/>
        <v>32857.847686860194</v>
      </c>
      <c r="H77" s="3">
        <f t="shared" si="24"/>
        <v>31233.166970008631</v>
      </c>
      <c r="I77" s="3">
        <f t="shared" si="24"/>
        <v>29371.218776410085</v>
      </c>
      <c r="J77" s="3">
        <f t="shared" si="24"/>
        <v>29196.028549124214</v>
      </c>
      <c r="K77" s="3">
        <f t="shared" si="24"/>
        <v>28363.176652539285</v>
      </c>
      <c r="L77" s="3">
        <f t="shared" si="24"/>
        <v>27789.054583869522</v>
      </c>
      <c r="M77" s="3">
        <f t="shared" si="24"/>
        <v>25951.639443706408</v>
      </c>
      <c r="N77" s="3">
        <f t="shared" si="24"/>
        <v>27073.03267776145</v>
      </c>
    </row>
    <row r="78" spans="1:28">
      <c r="C78" t="str">
        <f t="shared" si="18"/>
        <v>Binary.March_2003</v>
      </c>
      <c r="D78" s="3">
        <f t="shared" ref="D78:D86" si="25">+((D45-D13)*$B45)*D$24</f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</row>
    <row r="79" spans="1:28">
      <c r="C79" t="str">
        <f t="shared" si="18"/>
        <v>Binary.February</v>
      </c>
      <c r="D79" s="3">
        <f t="shared" si="25"/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</row>
    <row r="80" spans="1:28">
      <c r="C80" t="str">
        <f t="shared" si="18"/>
        <v>Binary.April</v>
      </c>
      <c r="D80" s="3">
        <f t="shared" si="25"/>
        <v>0</v>
      </c>
      <c r="E80" s="3">
        <f t="shared" ref="E80:N80" si="26">+((E47-E15)*$B47)*E$24</f>
        <v>0</v>
      </c>
      <c r="F80" s="3">
        <f t="shared" si="26"/>
        <v>0</v>
      </c>
      <c r="G80" s="3">
        <f t="shared" si="26"/>
        <v>0</v>
      </c>
      <c r="H80" s="3">
        <f t="shared" si="26"/>
        <v>0</v>
      </c>
      <c r="I80" s="3">
        <f t="shared" si="26"/>
        <v>0</v>
      </c>
      <c r="J80" s="3">
        <f t="shared" si="26"/>
        <v>0</v>
      </c>
      <c r="K80" s="3">
        <f>+((K47-K15)*$B47)*K$24</f>
        <v>0</v>
      </c>
      <c r="L80" s="3">
        <f t="shared" si="26"/>
        <v>0</v>
      </c>
      <c r="M80" s="3">
        <f t="shared" si="26"/>
        <v>0</v>
      </c>
      <c r="N80" s="3">
        <f t="shared" si="26"/>
        <v>0</v>
      </c>
    </row>
    <row r="81" spans="2:15">
      <c r="C81" t="str">
        <f t="shared" si="18"/>
        <v>Binary.June</v>
      </c>
      <c r="D81" s="3">
        <f t="shared" si="25"/>
        <v>0</v>
      </c>
      <c r="E81" s="3">
        <f t="shared" ref="E81:N81" si="27">+((E48-E16)*$B48)*E$24</f>
        <v>0</v>
      </c>
      <c r="F81" s="3">
        <f t="shared" si="27"/>
        <v>0</v>
      </c>
      <c r="G81" s="3">
        <f t="shared" si="27"/>
        <v>0</v>
      </c>
      <c r="H81" s="3">
        <f t="shared" si="27"/>
        <v>0</v>
      </c>
      <c r="I81" s="3">
        <f t="shared" si="27"/>
        <v>0</v>
      </c>
      <c r="J81" s="3">
        <f t="shared" si="27"/>
        <v>0</v>
      </c>
      <c r="K81" s="3">
        <f t="shared" si="27"/>
        <v>0</v>
      </c>
      <c r="L81" s="3">
        <f t="shared" si="27"/>
        <v>0</v>
      </c>
      <c r="M81" s="3">
        <f t="shared" si="27"/>
        <v>0</v>
      </c>
      <c r="N81" s="3">
        <f t="shared" si="27"/>
        <v>0</v>
      </c>
    </row>
    <row r="82" spans="2:15">
      <c r="C82" t="str">
        <f t="shared" si="18"/>
        <v>Binary.September</v>
      </c>
      <c r="D82" s="3">
        <f t="shared" si="25"/>
        <v>0</v>
      </c>
      <c r="E82" s="3">
        <f t="shared" ref="E82:N82" si="28">+((E49-E17)*$B49)*E$24</f>
        <v>0</v>
      </c>
      <c r="F82" s="3">
        <f t="shared" si="28"/>
        <v>0</v>
      </c>
      <c r="G82" s="3">
        <f t="shared" si="28"/>
        <v>0</v>
      </c>
      <c r="H82" s="3">
        <f t="shared" si="28"/>
        <v>0</v>
      </c>
      <c r="I82" s="3">
        <f t="shared" si="28"/>
        <v>0</v>
      </c>
      <c r="J82" s="3">
        <f t="shared" si="28"/>
        <v>0</v>
      </c>
      <c r="K82" s="3">
        <f t="shared" si="28"/>
        <v>0</v>
      </c>
      <c r="L82" s="3">
        <f t="shared" si="28"/>
        <v>0</v>
      </c>
      <c r="M82" s="3">
        <f t="shared" si="28"/>
        <v>0</v>
      </c>
      <c r="N82" s="3">
        <f t="shared" si="28"/>
        <v>0</v>
      </c>
    </row>
    <row r="83" spans="2:15">
      <c r="C83" t="str">
        <f t="shared" si="18"/>
        <v>Binary.May_2004</v>
      </c>
      <c r="D83" s="3">
        <f t="shared" si="25"/>
        <v>0</v>
      </c>
      <c r="E83" s="3">
        <f t="shared" ref="E83:N83" si="29">+((E50-E18)*$B50)*E$24</f>
        <v>0</v>
      </c>
      <c r="F83" s="3">
        <f t="shared" si="29"/>
        <v>0</v>
      </c>
      <c r="G83" s="3">
        <f t="shared" si="29"/>
        <v>0</v>
      </c>
      <c r="H83" s="3">
        <f t="shared" si="29"/>
        <v>0</v>
      </c>
      <c r="I83" s="3">
        <f t="shared" si="29"/>
        <v>0</v>
      </c>
      <c r="J83" s="3">
        <f t="shared" si="29"/>
        <v>0</v>
      </c>
      <c r="K83" s="3">
        <f t="shared" si="29"/>
        <v>0</v>
      </c>
      <c r="L83" s="3">
        <f t="shared" si="29"/>
        <v>0</v>
      </c>
      <c r="M83" s="3">
        <f t="shared" si="29"/>
        <v>0</v>
      </c>
      <c r="N83" s="3">
        <f t="shared" si="29"/>
        <v>0</v>
      </c>
    </row>
    <row r="84" spans="2:15">
      <c r="C84" t="str">
        <f t="shared" si="18"/>
        <v>Binary.November</v>
      </c>
      <c r="D84" s="3">
        <f t="shared" si="25"/>
        <v>0</v>
      </c>
      <c r="E84" s="3">
        <f t="shared" ref="E84:N84" si="30">+((E51-E19)*$B51)*E$24</f>
        <v>0</v>
      </c>
      <c r="F84" s="3">
        <f t="shared" si="30"/>
        <v>0</v>
      </c>
      <c r="G84" s="3">
        <f t="shared" si="30"/>
        <v>0</v>
      </c>
      <c r="H84" s="3">
        <f t="shared" si="30"/>
        <v>0</v>
      </c>
      <c r="I84" s="3">
        <f t="shared" si="30"/>
        <v>0</v>
      </c>
      <c r="J84" s="3">
        <f t="shared" si="30"/>
        <v>0</v>
      </c>
      <c r="K84" s="3">
        <f t="shared" si="30"/>
        <v>0</v>
      </c>
      <c r="L84" s="3">
        <f t="shared" si="30"/>
        <v>0</v>
      </c>
      <c r="M84" s="3">
        <f t="shared" si="30"/>
        <v>0</v>
      </c>
      <c r="N84" s="3">
        <f t="shared" si="30"/>
        <v>0</v>
      </c>
    </row>
    <row r="85" spans="2:15">
      <c r="C85" t="str">
        <f t="shared" si="18"/>
        <v>Binary.November_2005</v>
      </c>
      <c r="D85" s="3">
        <f t="shared" si="25"/>
        <v>0</v>
      </c>
      <c r="E85" s="3">
        <f t="shared" ref="E85:N85" si="31">+((E52-E20)*$B52)*E$24</f>
        <v>0</v>
      </c>
      <c r="F85" s="3">
        <f t="shared" si="31"/>
        <v>0</v>
      </c>
      <c r="G85" s="3">
        <f t="shared" si="31"/>
        <v>0</v>
      </c>
      <c r="H85" s="3">
        <f t="shared" si="31"/>
        <v>0</v>
      </c>
      <c r="I85" s="3">
        <f t="shared" si="31"/>
        <v>0</v>
      </c>
      <c r="J85" s="3">
        <f t="shared" si="31"/>
        <v>0</v>
      </c>
      <c r="K85" s="3">
        <f t="shared" si="31"/>
        <v>0</v>
      </c>
      <c r="L85" s="3">
        <f t="shared" si="31"/>
        <v>0</v>
      </c>
      <c r="M85" s="3">
        <f t="shared" si="31"/>
        <v>0</v>
      </c>
      <c r="N85" s="3">
        <f t="shared" si="31"/>
        <v>0</v>
      </c>
    </row>
    <row r="86" spans="2:15">
      <c r="C86" t="str">
        <f t="shared" si="18"/>
        <v>Economics.CPI_Energy</v>
      </c>
      <c r="D86" s="3">
        <f t="shared" si="25"/>
        <v>-18980.514711324133</v>
      </c>
      <c r="E86" s="3">
        <f t="shared" ref="E86:N86" si="32">+((E53-E21)*$B53)*E$24</f>
        <v>-10229.329144843088</v>
      </c>
      <c r="F86" s="3">
        <f t="shared" si="32"/>
        <v>-4464.3050459916003</v>
      </c>
      <c r="G86" s="3">
        <f t="shared" si="32"/>
        <v>8750.3006507965983</v>
      </c>
      <c r="H86" s="3">
        <f t="shared" si="32"/>
        <v>6284.999563563254</v>
      </c>
      <c r="I86" s="3">
        <f t="shared" si="32"/>
        <v>2081.183696343664</v>
      </c>
      <c r="J86" s="3">
        <f t="shared" si="32"/>
        <v>3041.2475282859159</v>
      </c>
      <c r="K86" s="3">
        <f t="shared" si="32"/>
        <v>-2842.8837614582676</v>
      </c>
      <c r="L86" s="3">
        <f t="shared" si="32"/>
        <v>-7609.19803851081</v>
      </c>
      <c r="M86" s="3">
        <f t="shared" si="32"/>
        <v>-15538.8290114182</v>
      </c>
      <c r="N86" s="3">
        <f t="shared" si="32"/>
        <v>-16456.050734968081</v>
      </c>
    </row>
    <row r="87" spans="2:15" s="56" customFormat="1">
      <c r="B87" s="206"/>
      <c r="C87" s="56" t="str">
        <f t="shared" si="18"/>
        <v>AR(1)</v>
      </c>
      <c r="D87" s="57">
        <f>+((D54-D22)*D$24)</f>
        <v>-1870.6023940540172</v>
      </c>
      <c r="E87" s="57">
        <f t="shared" ref="E87:O87" si="33">+((E54-E22)*E$24)</f>
        <v>29391.703399290684</v>
      </c>
      <c r="F87" s="57">
        <f t="shared" si="33"/>
        <v>15157.801518762339</v>
      </c>
      <c r="G87" s="57">
        <f t="shared" si="33"/>
        <v>35927.618832249798</v>
      </c>
      <c r="H87" s="57">
        <f t="shared" si="33"/>
        <v>3548.3117362566154</v>
      </c>
      <c r="I87" s="57">
        <f t="shared" si="33"/>
        <v>22578.12679912099</v>
      </c>
      <c r="J87" s="57">
        <f t="shared" si="33"/>
        <v>10125.091185157069</v>
      </c>
      <c r="K87" s="57">
        <f t="shared" si="33"/>
        <v>3273.4191310542387</v>
      </c>
      <c r="L87" s="57">
        <f t="shared" si="33"/>
        <v>1057.1323357571907</v>
      </c>
      <c r="M87" s="57">
        <f t="shared" si="33"/>
        <v>341.78394739880736</v>
      </c>
      <c r="N87" s="57">
        <f t="shared" si="33"/>
        <v>110.54111886548893</v>
      </c>
      <c r="O87" s="57">
        <f t="shared" si="33"/>
        <v>35.770754820791979</v>
      </c>
    </row>
    <row r="88" spans="2:15">
      <c r="C88" t="s">
        <v>12</v>
      </c>
      <c r="D88" s="3">
        <f>+D71*D69</f>
        <v>47167.531287254598</v>
      </c>
      <c r="E88" s="3">
        <f t="shared" ref="E88:N88" si="34">+E69*E32</f>
        <v>42056.457329269193</v>
      </c>
      <c r="F88" s="3">
        <f t="shared" si="34"/>
        <v>49316.520176955506</v>
      </c>
      <c r="G88" s="3">
        <f t="shared" si="34"/>
        <v>55687.834000658535</v>
      </c>
      <c r="H88" s="3">
        <f t="shared" si="34"/>
        <v>59795.577359933566</v>
      </c>
      <c r="I88" s="3">
        <f t="shared" si="34"/>
        <v>60256.134578041958</v>
      </c>
      <c r="J88" s="3">
        <f t="shared" si="34"/>
        <v>-11848478</v>
      </c>
      <c r="K88" s="3">
        <f>+K69*K32</f>
        <v>-11325605</v>
      </c>
      <c r="L88" s="3">
        <f t="shared" si="34"/>
        <v>-10530592</v>
      </c>
      <c r="M88" s="3">
        <f>+M69*M32</f>
        <v>-9050810</v>
      </c>
      <c r="N88" s="3">
        <f t="shared" si="34"/>
        <v>-8021393</v>
      </c>
    </row>
    <row r="89" spans="2:15">
      <c r="C89" s="1" t="s">
        <v>42</v>
      </c>
      <c r="D89" s="3">
        <f t="shared" ref="D89:M89" si="35">+((D57-D25))</f>
        <v>3720.1574212349806</v>
      </c>
      <c r="E89" s="3">
        <f t="shared" si="35"/>
        <v>-2885.646525930686</v>
      </c>
      <c r="F89" s="3">
        <f t="shared" si="35"/>
        <v>-966.61612968602276</v>
      </c>
      <c r="G89" s="3">
        <f t="shared" si="35"/>
        <v>-3255.5486891001347</v>
      </c>
      <c r="H89" s="3">
        <f t="shared" si="35"/>
        <v>1945.6658411432436</v>
      </c>
      <c r="I89" s="3">
        <f t="shared" si="35"/>
        <v>4472.808447602496</v>
      </c>
      <c r="J89" s="3">
        <f t="shared" si="35"/>
        <v>1034.3954021288082</v>
      </c>
      <c r="K89" s="3">
        <f t="shared" si="35"/>
        <v>5384.6338546520565</v>
      </c>
      <c r="L89" s="3">
        <f t="shared" si="35"/>
        <v>4969.164182442124</v>
      </c>
      <c r="M89" s="3">
        <f t="shared" si="35"/>
        <v>4765.3730189108173</v>
      </c>
      <c r="N89" s="3"/>
    </row>
    <row r="90" spans="2:15">
      <c r="C90" s="1" t="s">
        <v>43</v>
      </c>
      <c r="D90" s="3">
        <f t="shared" ref="D90:M90" si="36">+((D58-D26))</f>
        <v>0</v>
      </c>
      <c r="E90" s="3">
        <f t="shared" si="36"/>
        <v>0</v>
      </c>
      <c r="F90" s="3">
        <f t="shared" si="36"/>
        <v>0</v>
      </c>
      <c r="G90" s="3">
        <f t="shared" si="36"/>
        <v>0</v>
      </c>
      <c r="H90" s="3">
        <f t="shared" si="36"/>
        <v>0</v>
      </c>
      <c r="I90" s="3">
        <f t="shared" si="36"/>
        <v>0</v>
      </c>
      <c r="J90" s="3">
        <f t="shared" si="36"/>
        <v>0</v>
      </c>
      <c r="K90" s="3">
        <f t="shared" si="36"/>
        <v>0</v>
      </c>
      <c r="L90" s="3">
        <f t="shared" si="36"/>
        <v>0</v>
      </c>
      <c r="M90" s="3">
        <f t="shared" si="36"/>
        <v>0</v>
      </c>
      <c r="N90" s="3"/>
    </row>
    <row r="91" spans="2:15">
      <c r="C91" s="1" t="s">
        <v>44</v>
      </c>
      <c r="D91" s="3">
        <f t="shared" ref="D91:I91" si="37">+(D59-D27)</f>
        <v>1012.2052291441116</v>
      </c>
      <c r="E91" s="139">
        <f t="shared" si="37"/>
        <v>964.29591915962055</v>
      </c>
      <c r="F91" s="139">
        <f t="shared" si="37"/>
        <v>1012.2052291441116</v>
      </c>
      <c r="G91" s="139">
        <f t="shared" si="37"/>
        <v>1029.5994823302085</v>
      </c>
      <c r="H91" s="139">
        <f t="shared" si="37"/>
        <v>979.55344755881777</v>
      </c>
      <c r="I91" s="139">
        <f t="shared" si="37"/>
        <v>1029.5994823302085</v>
      </c>
      <c r="J91" s="139">
        <f>+(J59-J27)</f>
        <v>962.159194372721</v>
      </c>
      <c r="K91" s="139">
        <f>+(K59-K27)</f>
        <v>1012.2052291441116</v>
      </c>
      <c r="L91" s="139">
        <f>+(L59-L27)</f>
        <v>1029.5994823302085</v>
      </c>
      <c r="M91" s="139">
        <f>+(M59-M27)</f>
        <v>962.159194372721</v>
      </c>
      <c r="N91" s="3"/>
    </row>
    <row r="92" spans="2:15">
      <c r="C92" s="169" t="s">
        <v>83</v>
      </c>
      <c r="D92" s="465">
        <f ca="1">+Jan_SAP_impact!C48</f>
        <v>-97259</v>
      </c>
      <c r="E92" s="465">
        <f ca="1">+'Feb_SAP_impact '!C49</f>
        <v>53667</v>
      </c>
      <c r="F92" s="465">
        <f ca="1">+Mar_SAP_impact!C48</f>
        <v>107663</v>
      </c>
      <c r="G92" s="465">
        <f ca="1">+Apr_SAP_impact!C48</f>
        <v>-282066</v>
      </c>
      <c r="H92" s="465">
        <f ca="1">+'MAY_SAP_impact '!C48</f>
        <v>383190</v>
      </c>
      <c r="I92" s="465">
        <f ca="1">+'JUNE_SAP_impact '!C48</f>
        <v>-382881</v>
      </c>
      <c r="J92" s="778"/>
      <c r="K92" s="57"/>
      <c r="L92" s="57"/>
      <c r="M92" s="57"/>
      <c r="N92" s="57"/>
      <c r="O92" s="57"/>
    </row>
    <row r="93" spans="2:15">
      <c r="C93" t="s">
        <v>37</v>
      </c>
      <c r="D93" s="3">
        <v>60817.373972365633</v>
      </c>
      <c r="E93" s="3">
        <v>204342.19263918232</v>
      </c>
      <c r="F93" s="3">
        <v>118052.89078758657</v>
      </c>
      <c r="G93" s="3">
        <v>301987.15180031402</v>
      </c>
      <c r="H93" s="3">
        <v>-142185</v>
      </c>
      <c r="I93" s="3">
        <v>376083</v>
      </c>
      <c r="J93" s="779"/>
      <c r="K93" s="3"/>
      <c r="L93" s="3"/>
      <c r="M93" s="3"/>
      <c r="N93" s="3"/>
    </row>
    <row r="94" spans="2:15" s="45" customFormat="1">
      <c r="B94" s="49"/>
      <c r="C94" s="48" t="s">
        <v>23</v>
      </c>
      <c r="D94" s="47">
        <f>SUM(D71:D93)</f>
        <v>7966538</v>
      </c>
      <c r="E94" s="47">
        <f t="shared" ref="E94:N94" si="38">SUM(E71:E93)</f>
        <v>7695954</v>
      </c>
      <c r="F94" s="47">
        <f t="shared" si="38"/>
        <v>8636166</v>
      </c>
      <c r="G94" s="47">
        <f t="shared" si="38"/>
        <v>8505617</v>
      </c>
      <c r="H94" s="47">
        <f t="shared" si="38"/>
        <v>9888776.3052308932</v>
      </c>
      <c r="I94" s="47">
        <f t="shared" si="38"/>
        <v>10236690.18848094</v>
      </c>
      <c r="J94" s="47">
        <f t="shared" si="38"/>
        <v>-4769932.6921175346</v>
      </c>
      <c r="K94" s="47">
        <f t="shared" si="38"/>
        <v>-4595293.1969201351</v>
      </c>
      <c r="L94" s="47">
        <f t="shared" si="38"/>
        <v>-4007547.1405445761</v>
      </c>
      <c r="M94" s="47">
        <f t="shared" si="38"/>
        <v>-2154127.1647606692</v>
      </c>
      <c r="N94" s="47">
        <f t="shared" si="38"/>
        <v>-1054117.5814130651</v>
      </c>
    </row>
    <row r="95" spans="2:15">
      <c r="D95" s="3">
        <f>-D94+D65</f>
        <v>0</v>
      </c>
      <c r="E95" s="3">
        <f>-E94+E65</f>
        <v>0</v>
      </c>
      <c r="F95" s="3">
        <f>-F94+F65</f>
        <v>0</v>
      </c>
      <c r="G95" s="3">
        <f t="shared" ref="G95:N95" si="39">+G94-G65</f>
        <v>0</v>
      </c>
      <c r="H95" s="3">
        <f t="shared" si="39"/>
        <v>0.30523089319467545</v>
      </c>
      <c r="I95" s="3">
        <f t="shared" si="39"/>
        <v>0.18848093971610069</v>
      </c>
      <c r="J95" s="3">
        <f t="shared" si="39"/>
        <v>-4769932.6921175346</v>
      </c>
      <c r="K95" s="3">
        <f t="shared" si="39"/>
        <v>-4595293.1969201351</v>
      </c>
      <c r="L95" s="3">
        <f t="shared" si="39"/>
        <v>-4007547.1405445761</v>
      </c>
      <c r="M95" s="3">
        <f t="shared" si="39"/>
        <v>-2154127.1647606692</v>
      </c>
      <c r="N95" s="3">
        <f t="shared" si="39"/>
        <v>-1054117.5814130651</v>
      </c>
    </row>
    <row r="96" spans="2:15">
      <c r="C96" s="51"/>
      <c r="E96">
        <v>53667</v>
      </c>
    </row>
    <row r="97" spans="2:16" s="45" customFormat="1">
      <c r="B97" s="49"/>
      <c r="C97" s="144"/>
      <c r="D97" s="48" t="s">
        <v>0</v>
      </c>
      <c r="E97" s="48" t="s">
        <v>1</v>
      </c>
      <c r="F97" s="48" t="s">
        <v>2</v>
      </c>
      <c r="G97" s="48" t="s">
        <v>3</v>
      </c>
      <c r="H97" s="48" t="s">
        <v>4</v>
      </c>
      <c r="I97" s="48" t="s">
        <v>5</v>
      </c>
      <c r="J97" s="48" t="s">
        <v>6</v>
      </c>
      <c r="K97" s="48" t="s">
        <v>7</v>
      </c>
      <c r="L97" s="48" t="s">
        <v>8</v>
      </c>
      <c r="M97" s="48" t="s">
        <v>9</v>
      </c>
      <c r="N97" s="55" t="s">
        <v>10</v>
      </c>
      <c r="O97" s="55" t="s">
        <v>11</v>
      </c>
      <c r="P97" s="55" t="s">
        <v>23</v>
      </c>
    </row>
    <row r="98" spans="2:16">
      <c r="C98" s="51"/>
    </row>
    <row r="99" spans="2:16">
      <c r="C99" s="51"/>
      <c r="D99" s="5">
        <f>D74+D73+D72</f>
        <v>-16903.714383904007</v>
      </c>
      <c r="E99" s="5">
        <f t="shared" ref="E99:O99" si="40">E74+E73+E72</f>
        <v>54880.578255581335</v>
      </c>
      <c r="F99" s="5">
        <f t="shared" si="40"/>
        <v>90424.237367849491</v>
      </c>
      <c r="G99" s="5">
        <f t="shared" si="40"/>
        <v>-1120899.8094551861</v>
      </c>
      <c r="H99" s="5">
        <f t="shared" si="40"/>
        <v>-537614.41097062314</v>
      </c>
      <c r="I99" s="5">
        <f t="shared" si="40"/>
        <v>-375282.70197468385</v>
      </c>
      <c r="J99" s="5">
        <f t="shared" si="40"/>
        <v>-4751963.8657161165</v>
      </c>
      <c r="K99" s="5">
        <f t="shared" si="40"/>
        <v>-4573240.5505627794</v>
      </c>
      <c r="L99" s="5">
        <f t="shared" si="40"/>
        <v>-3985347.7392968987</v>
      </c>
      <c r="M99" s="5">
        <f t="shared" si="40"/>
        <v>-2155775.9303637878</v>
      </c>
      <c r="N99" s="5">
        <f t="shared" si="40"/>
        <v>-1086854.6896609613</v>
      </c>
      <c r="O99" s="5">
        <f t="shared" si="40"/>
        <v>0</v>
      </c>
    </row>
    <row r="100" spans="2:16">
      <c r="C100" s="51"/>
    </row>
    <row r="101" spans="2:16">
      <c r="C101" s="51"/>
    </row>
    <row r="102" spans="2:16">
      <c r="C102" s="51"/>
      <c r="D102" s="131">
        <f t="shared" ref="D102:J102" si="41">D93/D71</f>
        <v>7.6762785395666812E-3</v>
      </c>
      <c r="E102" s="131">
        <f t="shared" si="41"/>
        <v>2.8170687199291385E-2</v>
      </c>
      <c r="F102" s="131">
        <f t="shared" si="41"/>
        <v>1.4403515468281419E-2</v>
      </c>
      <c r="G102" s="131">
        <f t="shared" si="41"/>
        <v>3.1921570206427607E-2</v>
      </c>
      <c r="H102" s="131">
        <f t="shared" si="41"/>
        <v>-1.4080081534451118E-2</v>
      </c>
      <c r="I102" s="131">
        <f t="shared" si="41"/>
        <v>3.568271443021636E-2</v>
      </c>
      <c r="J102" s="131">
        <f t="shared" si="41"/>
        <v>0</v>
      </c>
    </row>
    <row r="103" spans="2:16">
      <c r="C103" s="51"/>
      <c r="I103" s="131"/>
    </row>
    <row r="104" spans="2:16">
      <c r="C104" s="51"/>
      <c r="D104" s="131">
        <f>D94/D71-1</f>
        <v>5.5245843371911629E-3</v>
      </c>
    </row>
    <row r="105" spans="2:16">
      <c r="C105" s="51"/>
      <c r="I105" s="131">
        <f>SUM(G93:I93)/SUM(H71:J71)</f>
        <v>1.6495662997974937E-2</v>
      </c>
    </row>
    <row r="106" spans="2:16">
      <c r="C106" s="51"/>
    </row>
    <row r="107" spans="2:16">
      <c r="C107" s="51"/>
    </row>
    <row r="109" spans="2:16">
      <c r="C109" s="51"/>
    </row>
  </sheetData>
  <phoneticPr fontId="2" type="noConversion"/>
  <printOptions horizontalCentered="1" headings="1" gridLines="1"/>
  <pageMargins left="0.25" right="0.25" top="1" bottom="1" header="0.5" footer="0.5"/>
  <pageSetup scale="61" orientation="landscape" r:id="rId1"/>
  <headerFooter alignWithMargins="0">
    <oddHeader>&amp;L&amp;A</oddHeader>
    <oddFooter>&amp;R&amp;F</oddFooter>
  </headerFooter>
  <rowBreaks count="2" manualBreakCount="2">
    <brk id="35" max="16383" man="1"/>
    <brk id="95" max="16383" man="1"/>
  </rowBreaks>
  <colBreaks count="1" manualBreakCount="1">
    <brk id="7" max="1048575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4"/>
  <dimension ref="A1:AB110"/>
  <sheetViews>
    <sheetView topLeftCell="B1" zoomScale="90" zoomScaleNormal="90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C1" sqref="C1"/>
    </sheetView>
  </sheetViews>
  <sheetFormatPr defaultRowHeight="13.2"/>
  <cols>
    <col min="1" max="1" width="37.6640625" customWidth="1"/>
    <col min="2" max="2" width="11" style="34" customWidth="1"/>
    <col min="3" max="3" width="31.44140625" customWidth="1"/>
    <col min="4" max="4" width="12.88671875" customWidth="1"/>
    <col min="5" max="5" width="17.5546875" customWidth="1"/>
    <col min="6" max="6" width="10.5546875" customWidth="1"/>
    <col min="7" max="7" width="15.44140625" bestFit="1" customWidth="1"/>
    <col min="8" max="8" width="18.44140625" customWidth="1"/>
    <col min="9" max="10" width="16.109375" bestFit="1" customWidth="1"/>
    <col min="11" max="11" width="11.109375" customWidth="1"/>
    <col min="12" max="12" width="12" customWidth="1"/>
    <col min="13" max="13" width="10.5546875" customWidth="1"/>
    <col min="14" max="15" width="13.88671875" bestFit="1" customWidth="1"/>
    <col min="16" max="16" width="13" customWidth="1"/>
    <col min="17" max="17" width="18.33203125" customWidth="1"/>
    <col min="18" max="18" width="10.88671875" bestFit="1" customWidth="1"/>
    <col min="19" max="19" width="11.109375" bestFit="1" customWidth="1"/>
  </cols>
  <sheetData>
    <row r="1" spans="1:28" ht="57" customHeight="1">
      <c r="C1" s="780" t="s">
        <v>488</v>
      </c>
    </row>
    <row r="2" spans="1:28" s="1" customFormat="1" ht="12">
      <c r="B2" s="4"/>
      <c r="D2" s="44">
        <f>+[16]Monthly_NEL_Model!$R$92</f>
        <v>1.7931127716016468</v>
      </c>
      <c r="E2" s="44">
        <f>+[16]Monthly_NEL_Model!$R$93</f>
        <v>1.6034331969898115</v>
      </c>
      <c r="F2" s="44">
        <f>+[16]Monthly_NEL_Model!$R$94</f>
        <v>1.7942083119382319</v>
      </c>
      <c r="G2" s="44">
        <f>+[16]Monthly_NEL_Model!$R$95</f>
        <v>1.8292344171127295</v>
      </c>
      <c r="H2" s="44">
        <f>+[16]Monthly_NEL_Model!$R$96</f>
        <v>2.1123956961270149</v>
      </c>
      <c r="I2" s="44">
        <f>+[16]Monthly_NEL_Model!$R$97</f>
        <v>2.201129205885457</v>
      </c>
      <c r="J2" s="44">
        <f>+[16]Monthly_NEL_Model!$R$98</f>
        <v>2.3958055087890968</v>
      </c>
      <c r="K2" s="44">
        <f>+[16]Monthly_NEL_Model!$R$99</f>
        <v>2.3873942404892308</v>
      </c>
      <c r="L2" s="44">
        <f>+[16]Monthly_NEL_Model!$R$100</f>
        <v>2.2138206247549528</v>
      </c>
      <c r="M2" s="44">
        <f>+[16]Monthly_NEL_Model!$R$101</f>
        <v>2.0789439711657072</v>
      </c>
      <c r="N2" s="44">
        <f>+[16]Monthly_NEL_Model!$R$102</f>
        <v>1.7397720457165389</v>
      </c>
      <c r="O2" s="44">
        <f>+[16]Monthly_NEL_Model!$R$103</f>
        <v>1.7905503179044031</v>
      </c>
      <c r="P2" s="48" t="s">
        <v>107</v>
      </c>
    </row>
    <row r="3" spans="1:28" s="1" customFormat="1" ht="17.399999999999999">
      <c r="A3" s="24" t="s">
        <v>112</v>
      </c>
      <c r="B3" s="4"/>
      <c r="C3" s="24" t="s">
        <v>112</v>
      </c>
      <c r="D3" s="189">
        <f t="shared" ref="D3:O3" si="0">+D2-D30</f>
        <v>0</v>
      </c>
      <c r="E3" s="189">
        <f t="shared" si="0"/>
        <v>0</v>
      </c>
      <c r="F3" s="189">
        <f t="shared" si="0"/>
        <v>0</v>
      </c>
      <c r="G3" s="189">
        <f t="shared" si="0"/>
        <v>0</v>
      </c>
      <c r="H3" s="189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48" t="s">
        <v>108</v>
      </c>
    </row>
    <row r="4" spans="1:28" s="55" customFormat="1" ht="12">
      <c r="C4" s="55" t="s">
        <v>17</v>
      </c>
      <c r="D4" s="55" t="s">
        <v>0</v>
      </c>
      <c r="E4" s="55" t="s">
        <v>1</v>
      </c>
      <c r="F4" s="55" t="s">
        <v>2</v>
      </c>
      <c r="G4" s="55" t="s">
        <v>3</v>
      </c>
      <c r="H4" s="55" t="s">
        <v>4</v>
      </c>
      <c r="I4" s="55" t="s">
        <v>5</v>
      </c>
      <c r="J4" s="55" t="s">
        <v>6</v>
      </c>
      <c r="K4" s="55" t="s">
        <v>7</v>
      </c>
      <c r="L4" s="55" t="s">
        <v>8</v>
      </c>
      <c r="M4" s="55" t="s">
        <v>9</v>
      </c>
      <c r="N4" s="55" t="s">
        <v>10</v>
      </c>
      <c r="O4" s="55" t="s">
        <v>11</v>
      </c>
      <c r="P4" s="55" t="s">
        <v>23</v>
      </c>
    </row>
    <row r="5" spans="1:28" s="1" customFormat="1" ht="13.8" thickBot="1">
      <c r="A5" s="6" t="s">
        <v>18</v>
      </c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7"/>
      <c r="R5" s="7"/>
      <c r="S5" s="7"/>
      <c r="T5" s="7"/>
    </row>
    <row r="6" spans="1:28" s="1" customFormat="1">
      <c r="A6" t="s">
        <v>84</v>
      </c>
      <c r="B6" s="187">
        <f>+[16]Monthly_NEL_Model!$B2</f>
        <v>1.548202048113029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/>
      <c r="O6" s="8"/>
      <c r="P6" s="8"/>
      <c r="Q6" s="7"/>
      <c r="R6" s="7"/>
      <c r="S6" s="10"/>
      <c r="T6" s="10"/>
      <c r="U6" s="11"/>
      <c r="V6" s="12"/>
      <c r="W6" s="12"/>
      <c r="X6" s="13"/>
      <c r="Y6" s="2"/>
      <c r="Z6" s="2"/>
      <c r="AA6" s="14"/>
      <c r="AB6" s="2"/>
    </row>
    <row r="7" spans="1:28" s="1" customFormat="1">
      <c r="A7" t="s">
        <v>85</v>
      </c>
      <c r="B7" s="187">
        <f>+[16]Monthly_NEL_Model!$B3</f>
        <v>1.7438085153939766E-2</v>
      </c>
      <c r="C7" t="s">
        <v>85</v>
      </c>
      <c r="D7" s="32">
        <f>+[16]Monthly_NEL_Model!$C$92</f>
        <v>0.47586523824689808</v>
      </c>
      <c r="E7" s="32">
        <f>+[16]Monthly_NEL_Model!$C$93</f>
        <v>0</v>
      </c>
      <c r="F7" s="32">
        <f>+[16]Monthly_NEL_Model!$C$94</f>
        <v>0</v>
      </c>
      <c r="G7" s="32">
        <f>+[16]Monthly_NEL_Model!$C$95</f>
        <v>0</v>
      </c>
      <c r="H7" s="32">
        <f>+[16]Monthly_NEL_Model!$C$96</f>
        <v>0</v>
      </c>
      <c r="I7" s="32">
        <f>+[16]Monthly_NEL_Model!$C$97</f>
        <v>0</v>
      </c>
      <c r="J7" s="32">
        <f>+[16]Monthly_NEL_Model!$C$98</f>
        <v>0</v>
      </c>
      <c r="K7" s="32">
        <f>+[16]Monthly_NEL_Model!$C$99</f>
        <v>0</v>
      </c>
      <c r="L7" s="32">
        <f>+[16]Monthly_NEL_Model!$C$100</f>
        <v>0</v>
      </c>
      <c r="M7" s="32">
        <f>+[16]Monthly_NEL_Model!$C$101</f>
        <v>0</v>
      </c>
      <c r="N7" s="32">
        <f>+[16]Monthly_NEL_Model!$C$102</f>
        <v>0</v>
      </c>
      <c r="O7" s="32">
        <f>+[16]Monthly_NEL_Model!$C$103</f>
        <v>0.17544300865084281</v>
      </c>
      <c r="P7" s="47">
        <f t="shared" ref="P7:P20" si="1">SUM(D7:O7)</f>
        <v>0.65130824689774092</v>
      </c>
      <c r="Q7" s="15"/>
      <c r="R7" s="16"/>
      <c r="S7" s="12"/>
      <c r="T7" s="10"/>
      <c r="U7" s="11"/>
      <c r="V7" s="12"/>
      <c r="W7" s="12"/>
      <c r="X7" s="13"/>
      <c r="Y7" s="2"/>
      <c r="Z7" s="2"/>
      <c r="AA7" s="14"/>
      <c r="AB7" s="2"/>
    </row>
    <row r="8" spans="1:28" s="1" customFormat="1">
      <c r="A8" t="s">
        <v>86</v>
      </c>
      <c r="B8" s="187">
        <f>+[16]Monthly_NEL_Model!$B4</f>
        <v>2.9354163517797079E-3</v>
      </c>
      <c r="C8" t="s">
        <v>86</v>
      </c>
      <c r="D8" s="32">
        <f>+[16]Monthly_NEL_Model!$D$92</f>
        <v>25.24081745472391</v>
      </c>
      <c r="E8" s="32">
        <f>+[16]Monthly_NEL_Model!$D$93</f>
        <v>32.286603853202195</v>
      </c>
      <c r="F8" s="32">
        <f>+[16]Monthly_NEL_Model!$D$94</f>
        <v>64.684407645259242</v>
      </c>
      <c r="G8" s="32">
        <f>+[16]Monthly_NEL_Model!$D$95</f>
        <v>109.60314046882479</v>
      </c>
      <c r="H8" s="32">
        <f>+[16]Monthly_NEL_Model!$D$96</f>
        <v>207.71165129978061</v>
      </c>
      <c r="I8" s="32">
        <f>+[16]Monthly_NEL_Model!$D$97</f>
        <v>272.3818590259537</v>
      </c>
      <c r="J8" s="32">
        <f>+[16]Monthly_NEL_Model!$D$98</f>
        <v>326.06294312401718</v>
      </c>
      <c r="K8" s="32">
        <f>+[16]Monthly_NEL_Model!$D$99</f>
        <v>325.14598456233898</v>
      </c>
      <c r="L8" s="32">
        <f>+[16]Monthly_NEL_Model!$D$100</f>
        <v>278.06632074356975</v>
      </c>
      <c r="M8" s="32">
        <f>+[16]Monthly_NEL_Model!$D$101</f>
        <v>196.85380974003431</v>
      </c>
      <c r="N8" s="32">
        <f>+[16]Monthly_NEL_Model!$D$102</f>
        <v>80.952372576540057</v>
      </c>
      <c r="O8" s="32">
        <f>+[16]Monthly_NEL_Model!$D$103</f>
        <v>39.283179831877746</v>
      </c>
      <c r="P8" s="47">
        <f t="shared" si="1"/>
        <v>1958.2730903261227</v>
      </c>
      <c r="Q8" s="16"/>
      <c r="R8" s="16"/>
      <c r="S8" s="12"/>
      <c r="T8" s="10"/>
      <c r="U8" s="11"/>
      <c r="V8" s="12"/>
      <c r="W8" s="12"/>
      <c r="X8" s="13"/>
      <c r="Y8" s="2"/>
      <c r="Z8" s="2"/>
      <c r="AA8" s="14"/>
      <c r="AB8" s="2"/>
    </row>
    <row r="9" spans="1:28" s="1" customFormat="1">
      <c r="A9" t="s">
        <v>87</v>
      </c>
      <c r="B9" s="187">
        <f>+[16]Monthly_NEL_Model!$B5</f>
        <v>1.2133267139738657E-3</v>
      </c>
      <c r="C9" t="s">
        <v>87</v>
      </c>
      <c r="D9" s="32">
        <f>+[16]Monthly_NEL_Model!$E$92</f>
        <v>106.56373980184374</v>
      </c>
      <c r="E9" s="32">
        <f>+[16]Monthly_NEL_Model!$E$93</f>
        <v>60.630379211788451</v>
      </c>
      <c r="F9" s="32">
        <f>+[16]Monthly_NEL_Model!$E$94</f>
        <v>28.099258581218749</v>
      </c>
      <c r="G9" s="32">
        <f>+[16]Monthly_NEL_Model!$E$95</f>
        <v>0</v>
      </c>
      <c r="H9" s="32">
        <f>+[16]Monthly_NEL_Model!$E$96</f>
        <v>0</v>
      </c>
      <c r="I9" s="32">
        <f>+[16]Monthly_NEL_Model!$E$97</f>
        <v>0</v>
      </c>
      <c r="J9" s="32">
        <f>+[16]Monthly_NEL_Model!$E$98</f>
        <v>0</v>
      </c>
      <c r="K9" s="32">
        <f>+[16]Monthly_NEL_Model!$E$99</f>
        <v>0</v>
      </c>
      <c r="L9" s="32">
        <f>+[16]Monthly_NEL_Model!$E$100</f>
        <v>0</v>
      </c>
      <c r="M9" s="32">
        <f>+[16]Monthly_NEL_Model!$E$101</f>
        <v>0</v>
      </c>
      <c r="N9" s="32">
        <f>+[16]Monthly_NEL_Model!$E$102</f>
        <v>0</v>
      </c>
      <c r="O9" s="32">
        <f>+[16]Monthly_NEL_Model!$E$103</f>
        <v>69.312099079974359</v>
      </c>
      <c r="P9" s="47">
        <f t="shared" si="1"/>
        <v>264.6054766748253</v>
      </c>
      <c r="Q9" s="16"/>
      <c r="R9" s="16"/>
      <c r="S9" s="12"/>
      <c r="T9" s="10"/>
      <c r="U9" s="11"/>
      <c r="V9" s="12"/>
      <c r="W9" s="12"/>
      <c r="X9" s="13"/>
      <c r="Y9" s="2"/>
      <c r="Z9" s="2"/>
      <c r="AA9" s="14"/>
      <c r="AB9" s="2"/>
    </row>
    <row r="10" spans="1:28" s="1" customFormat="1">
      <c r="A10" t="s">
        <v>88</v>
      </c>
      <c r="B10" s="187">
        <f>+[16]Monthly_NEL_Model!$B6</f>
        <v>-2.6984927541592394</v>
      </c>
      <c r="C10" t="s">
        <v>88</v>
      </c>
      <c r="D10" s="44">
        <f>+[16]Monthly_NEL_Model!$F$92</f>
        <v>6.1003614365850001E-2</v>
      </c>
      <c r="E10" s="44">
        <f>+[16]Monthly_NEL_Model!$F$93</f>
        <v>6.0239250110278739E-2</v>
      </c>
      <c r="F10" s="44">
        <f>+[16]Monthly_NEL_Model!$F$94</f>
        <v>5.9287990781045817E-2</v>
      </c>
      <c r="G10" s="44">
        <f>+[16]Monthly_NEL_Model!$F$95</f>
        <v>5.941251498727354E-2</v>
      </c>
      <c r="H10" s="44">
        <f>+[16]Monthly_NEL_Model!$F$96</f>
        <v>5.9212480249922421E-2</v>
      </c>
      <c r="I10" s="44">
        <f>+[16]Monthly_NEL_Model!$F$97</f>
        <v>5.9590195179438518E-2</v>
      </c>
      <c r="J10" s="44">
        <f>+[16]Monthly_NEL_Model!$F$98</f>
        <v>5.921227466540388E-2</v>
      </c>
      <c r="K10" s="44">
        <f>+[16]Monthly_NEL_Model!$F$99</f>
        <v>5.873560872223052E-2</v>
      </c>
      <c r="L10" s="44">
        <f>+[16]Monthly_NEL_Model!$F$100</f>
        <v>5.8900245405709956E-2</v>
      </c>
      <c r="M10" s="44">
        <f>+[16]Monthly_NEL_Model!$F$101</f>
        <v>5.8693335755661213E-2</v>
      </c>
      <c r="N10" s="44">
        <f>+[16]Monthly_NEL_Model!$F$102</f>
        <v>5.8119570541718298E-2</v>
      </c>
      <c r="O10" s="44">
        <f>+[16]Monthly_NEL_Model!$F$103</f>
        <v>5.7096391163648071E-2</v>
      </c>
      <c r="P10" s="253">
        <f>AVERAGE(D10:O10)</f>
        <v>5.9125289327348403E-2</v>
      </c>
      <c r="Q10" s="16"/>
      <c r="R10" s="16"/>
      <c r="S10" s="12"/>
      <c r="T10" s="10"/>
      <c r="U10" s="11"/>
      <c r="V10" s="12"/>
      <c r="W10" s="12"/>
      <c r="X10" s="13"/>
      <c r="Y10" s="2"/>
      <c r="Z10" s="2"/>
      <c r="AA10" s="14"/>
      <c r="AB10" s="2"/>
    </row>
    <row r="11" spans="1:28" s="1" customFormat="1">
      <c r="A11" t="s">
        <v>89</v>
      </c>
      <c r="B11" s="187">
        <f>+[16]Monthly_NEL_Model!$B7</f>
        <v>-1.7962555069603001</v>
      </c>
      <c r="C11" t="s">
        <v>89</v>
      </c>
      <c r="D11" s="44">
        <f>+[16]Monthly_NEL_Model!$G$92</f>
        <v>7.5759887140128945E-3</v>
      </c>
      <c r="E11" s="44">
        <f>+[16]Monthly_NEL_Model!$G$93</f>
        <v>8.857429918464001E-3</v>
      </c>
      <c r="F11" s="44">
        <f>+[16]Monthly_NEL_Model!$G$94</f>
        <v>1.7373797471482395E-2</v>
      </c>
      <c r="G11" s="44">
        <f>+[16]Monthly_NEL_Model!$G$95</f>
        <v>3.2804350308028127E-2</v>
      </c>
      <c r="H11" s="44">
        <f>+[16]Monthly_NEL_Model!$G$96</f>
        <v>5.6062977964079039E-2</v>
      </c>
      <c r="I11" s="44">
        <f>+[16]Monthly_NEL_Model!$G$97</f>
        <v>8.1222327894753796E-2</v>
      </c>
      <c r="J11" s="44">
        <f>+[16]Monthly_NEL_Model!$G$98</f>
        <v>9.1285356611641624E-2</v>
      </c>
      <c r="K11" s="44">
        <f>+[16]Monthly_NEL_Model!$G$99</f>
        <v>9.5219193913647207E-2</v>
      </c>
      <c r="L11" s="44">
        <f>+[16]Monthly_NEL_Model!$G$100</f>
        <v>8.5950884516376461E-2</v>
      </c>
      <c r="M11" s="44">
        <f>+[16]Monthly_NEL_Model!$G$101</f>
        <v>5.7677097931127339E-2</v>
      </c>
      <c r="N11" s="44">
        <f>+[16]Monthly_NEL_Model!$G$102</f>
        <v>2.6541860057687678E-2</v>
      </c>
      <c r="O11" s="44">
        <f>+[16]Monthly_NEL_Model!$G$103</f>
        <v>1.1748247351188248E-2</v>
      </c>
      <c r="P11" s="253">
        <f>AVERAGE(D11:O11)</f>
        <v>4.7693292721040732E-2</v>
      </c>
      <c r="Q11" s="16"/>
      <c r="R11" s="16"/>
      <c r="S11" s="12"/>
      <c r="T11" s="10"/>
      <c r="U11" s="11"/>
      <c r="V11" s="12"/>
      <c r="W11" s="12"/>
      <c r="X11" s="13"/>
      <c r="Y11" s="2"/>
      <c r="Z11" s="2"/>
      <c r="AA11" s="14"/>
      <c r="AB11" s="2"/>
    </row>
    <row r="12" spans="1:28" s="1" customFormat="1">
      <c r="A12" t="s">
        <v>90</v>
      </c>
      <c r="B12" s="187">
        <f>+[16]Monthly_NEL_Model!$B8</f>
        <v>2.2062176858550154E-2</v>
      </c>
      <c r="C12" t="s">
        <v>90</v>
      </c>
      <c r="D12" s="32">
        <f>+[16]Monthly_NEL_Model!$H$92</f>
        <v>13.768309534171838</v>
      </c>
      <c r="E12" s="32">
        <f>+[16]Monthly_NEL_Model!$H$93</f>
        <v>13.792857825639674</v>
      </c>
      <c r="F12" s="32">
        <f>+[16]Monthly_NEL_Model!$H$94</f>
        <v>13.828887373153064</v>
      </c>
      <c r="G12" s="32">
        <f>+[16]Monthly_NEL_Model!$H$95</f>
        <v>13.864499233524079</v>
      </c>
      <c r="H12" s="32">
        <f>+[16]Monthly_NEL_Model!$H$96</f>
        <v>13.893098459146351</v>
      </c>
      <c r="I12" s="44">
        <f>+[16]Monthly_NEL_Model!$H$97</f>
        <v>13.917871025161695</v>
      </c>
      <c r="J12" s="32">
        <f>+[16]Monthly_NEL_Model!$H$98</f>
        <v>13.941467306014344</v>
      </c>
      <c r="K12" s="32">
        <f>+[16]Monthly_NEL_Model!$H$99</f>
        <v>13.970543086740014</v>
      </c>
      <c r="L12" s="32">
        <f>+[16]Monthly_NEL_Model!$H$100</f>
        <v>13.999989725968378</v>
      </c>
      <c r="M12" s="32">
        <f>+[16]Monthly_NEL_Model!$H$101</f>
        <v>14.037195789240466</v>
      </c>
      <c r="N12" s="32">
        <f>+[16]Monthly_NEL_Model!$H$102</f>
        <v>14.054894708758107</v>
      </c>
      <c r="O12" s="32">
        <f>+[16]Monthly_NEL_Model!$H$103</f>
        <v>14.070517074333614</v>
      </c>
      <c r="P12" s="188">
        <f>AVERAGE(D12:O12)</f>
        <v>13.928344261820969</v>
      </c>
      <c r="Q12" s="15"/>
      <c r="R12" s="16"/>
      <c r="S12" s="12"/>
      <c r="T12" s="10"/>
      <c r="U12" s="11"/>
      <c r="V12" s="12"/>
      <c r="W12" s="12"/>
      <c r="X12" s="13"/>
      <c r="Y12" s="2"/>
      <c r="Z12" s="2"/>
      <c r="AA12" s="14"/>
      <c r="AB12" s="2"/>
    </row>
    <row r="13" spans="1:28" s="1" customFormat="1">
      <c r="A13" t="s">
        <v>91</v>
      </c>
      <c r="B13" s="187">
        <f>+[16]Monthly_NEL_Model!$B9</f>
        <v>9.8040700862934496E-2</v>
      </c>
      <c r="C13" t="s">
        <v>91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">
        <f t="shared" si="1"/>
        <v>0</v>
      </c>
      <c r="Q13" s="15"/>
      <c r="R13" s="16"/>
      <c r="S13" s="12"/>
      <c r="T13" s="10"/>
      <c r="U13" s="11"/>
      <c r="V13" s="12"/>
      <c r="W13" s="12"/>
      <c r="X13" s="13"/>
      <c r="Y13" s="2"/>
      <c r="Z13" s="2"/>
      <c r="AA13" s="14"/>
      <c r="AB13" s="2"/>
    </row>
    <row r="14" spans="1:28" s="1" customFormat="1">
      <c r="A14" t="s">
        <v>22</v>
      </c>
      <c r="B14" s="187">
        <f>+[16]Monthly_NEL_Model!$B10</f>
        <v>-0.14680895291551435</v>
      </c>
      <c r="C14" t="s">
        <v>22</v>
      </c>
      <c r="D14" s="32">
        <v>0</v>
      </c>
      <c r="E14" s="147">
        <f>+[19]Monthly_NEL_Model!$J$81</f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47">
        <f t="shared" si="1"/>
        <v>1</v>
      </c>
      <c r="Q14" s="15"/>
      <c r="R14" s="16"/>
      <c r="S14" s="12"/>
      <c r="T14" s="10"/>
      <c r="U14" s="11"/>
      <c r="V14" s="12"/>
      <c r="W14" s="12"/>
      <c r="X14" s="13"/>
      <c r="Y14" s="2"/>
      <c r="Z14" s="2"/>
      <c r="AA14" s="14"/>
      <c r="AB14" s="2"/>
    </row>
    <row r="15" spans="1:28" s="1" customFormat="1">
      <c r="A15" t="s">
        <v>92</v>
      </c>
      <c r="B15" s="187">
        <f>+[16]Monthly_NEL_Model!$B11</f>
        <v>-3.6304981975131996E-2</v>
      </c>
      <c r="C15" t="s">
        <v>92</v>
      </c>
      <c r="D15" s="32">
        <v>0</v>
      </c>
      <c r="E15" s="32">
        <v>0</v>
      </c>
      <c r="F15" s="32">
        <v>0</v>
      </c>
      <c r="G15" s="147">
        <f>+[19]Monthly_NEL_Model!$K$83</f>
        <v>1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47">
        <f t="shared" si="1"/>
        <v>1</v>
      </c>
      <c r="Q15" s="15"/>
      <c r="R15" s="16"/>
      <c r="S15" s="12"/>
      <c r="T15" s="10"/>
      <c r="U15" s="11"/>
      <c r="V15" s="12"/>
      <c r="W15" s="12"/>
      <c r="X15" s="13"/>
      <c r="Y15" s="2"/>
      <c r="Z15" s="2"/>
      <c r="AA15" s="14"/>
      <c r="AB15" s="2"/>
    </row>
    <row r="16" spans="1:28" s="1" customFormat="1">
      <c r="A16" t="s">
        <v>93</v>
      </c>
      <c r="B16" s="187">
        <f>+[16]Monthly_NEL_Model!$B12</f>
        <v>-5.4592407450387181E-2</v>
      </c>
      <c r="C16" t="s">
        <v>93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47">
        <f>+[19]Monthly_NEL_Model!$K$83</f>
        <v>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47">
        <f t="shared" si="1"/>
        <v>1</v>
      </c>
      <c r="Q16" s="15"/>
      <c r="R16" s="16"/>
      <c r="S16" s="12"/>
      <c r="T16" s="10"/>
      <c r="U16" s="11"/>
      <c r="V16" s="12"/>
      <c r="W16" s="12"/>
      <c r="X16" s="13"/>
      <c r="Y16" s="2"/>
      <c r="Z16" s="2"/>
      <c r="AA16" s="14"/>
      <c r="AB16" s="2"/>
    </row>
    <row r="17" spans="1:28" s="1" customFormat="1">
      <c r="A17" t="s">
        <v>94</v>
      </c>
      <c r="B17" s="187">
        <f>+[16]Monthly_NEL_Model!$B13</f>
        <v>-5.1858489753623678E-2</v>
      </c>
      <c r="C17" t="s">
        <v>94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147">
        <f>+[19]Monthly_NEL_Model!$M$88</f>
        <v>1</v>
      </c>
      <c r="M17" s="32">
        <v>0</v>
      </c>
      <c r="N17" s="32">
        <v>0</v>
      </c>
      <c r="O17" s="32">
        <v>0</v>
      </c>
      <c r="P17" s="47">
        <f t="shared" si="1"/>
        <v>1</v>
      </c>
      <c r="Q17" s="15"/>
      <c r="R17" s="16"/>
      <c r="S17" s="12"/>
      <c r="T17" s="10"/>
      <c r="U17" s="11"/>
      <c r="V17" s="12"/>
      <c r="W17" s="12"/>
      <c r="X17" s="13"/>
      <c r="Y17" s="2"/>
      <c r="Z17" s="2"/>
      <c r="AA17" s="14"/>
      <c r="AB17" s="2"/>
    </row>
    <row r="18" spans="1:28" s="1" customFormat="1">
      <c r="A18" t="s">
        <v>95</v>
      </c>
      <c r="B18" s="187">
        <f>+[16]Monthly_NEL_Model!$B14</f>
        <v>0.11149920037514183</v>
      </c>
      <c r="C18" t="s">
        <v>95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">
        <f t="shared" si="1"/>
        <v>0</v>
      </c>
      <c r="Q18" s="15"/>
      <c r="R18" s="16"/>
      <c r="S18" s="12"/>
      <c r="T18" s="10"/>
      <c r="U18" s="11"/>
      <c r="V18" s="12"/>
      <c r="W18" s="12"/>
      <c r="X18" s="13"/>
      <c r="Y18" s="2"/>
      <c r="Z18" s="2"/>
      <c r="AA18" s="14"/>
      <c r="AB18" s="2"/>
    </row>
    <row r="19" spans="1:28" s="1" customFormat="1">
      <c r="A19" t="s">
        <v>96</v>
      </c>
      <c r="B19" s="187">
        <f>+[16]Monthly_NEL_Model!$B15</f>
        <v>-5.6538730487937831E-2</v>
      </c>
      <c r="C19" t="s">
        <v>96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147">
        <f>+[19]Monthly_NEL_Model!$N$90</f>
        <v>1</v>
      </c>
      <c r="O19" s="32">
        <v>0</v>
      </c>
      <c r="P19" s="47">
        <f t="shared" si="1"/>
        <v>1</v>
      </c>
      <c r="Q19" s="15"/>
      <c r="R19" s="16"/>
      <c r="S19" s="12"/>
      <c r="T19" s="10"/>
      <c r="U19" s="11"/>
      <c r="V19" s="12"/>
      <c r="W19" s="12"/>
      <c r="X19" s="13"/>
      <c r="Y19" s="2"/>
      <c r="Z19" s="2"/>
      <c r="AA19" s="14"/>
      <c r="AB19" s="2"/>
    </row>
    <row r="20" spans="1:28" s="1" customFormat="1">
      <c r="A20" t="s">
        <v>97</v>
      </c>
      <c r="B20" s="187">
        <f>+[16]Monthly_NEL_Model!$B16</f>
        <v>0.10606078306781035</v>
      </c>
      <c r="C20" t="s">
        <v>97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">
        <f t="shared" si="1"/>
        <v>0</v>
      </c>
      <c r="Q20" s="15"/>
      <c r="R20" s="16"/>
      <c r="S20" s="12"/>
      <c r="T20" s="10"/>
      <c r="U20" s="11"/>
      <c r="V20" s="12"/>
      <c r="W20" s="12"/>
      <c r="X20" s="13"/>
      <c r="Y20" s="2"/>
      <c r="Z20" s="2"/>
      <c r="AA20" s="14"/>
      <c r="AB20" s="2"/>
    </row>
    <row r="21" spans="1:28" s="1" customFormat="1">
      <c r="A21" t="s">
        <v>98</v>
      </c>
      <c r="B21" s="187">
        <f>+[16]Monthly_NEL_Model!$B17</f>
        <v>-3.7732034739855242E-4</v>
      </c>
      <c r="C21" t="s">
        <v>98</v>
      </c>
      <c r="D21" s="32">
        <f>+[16]Monthly_NEL_Model!$I$92</f>
        <v>244.63698921888101</v>
      </c>
      <c r="E21" s="32">
        <f>+[16]Monthly_NEL_Model!$I$93</f>
        <v>244.177774389089</v>
      </c>
      <c r="F21" s="32">
        <f>+[16]Monthly_NEL_Model!$I$94</f>
        <v>243.45913639202999</v>
      </c>
      <c r="G21" s="32">
        <f>+[16]Monthly_NEL_Model!$I$95</f>
        <v>241.24119645995103</v>
      </c>
      <c r="H21" s="32">
        <f>+[16]Monthly_NEL_Model!$I$96</f>
        <v>242.63365620056197</v>
      </c>
      <c r="I21" s="32">
        <f>+[16]Monthly_NEL_Model!$I$97</f>
        <v>244.86714733948597</v>
      </c>
      <c r="J21" s="32">
        <f>+[16]Monthly_NEL_Model!$I$98</f>
        <v>247.40364716353599</v>
      </c>
      <c r="K21" s="32">
        <f>+[16]Monthly_NEL_Model!$I$99</f>
        <v>248.94396377162499</v>
      </c>
      <c r="L21" s="32">
        <f>+[16]Monthly_NEL_Model!$I$100</f>
        <v>249.92548906483898</v>
      </c>
      <c r="M21" s="32">
        <f>+[16]Monthly_NEL_Model!$I$101</f>
        <v>251.27380377479201</v>
      </c>
      <c r="N21" s="32">
        <f>+[16]Monthly_NEL_Model!$I$102</f>
        <v>252.01545908330897</v>
      </c>
      <c r="O21" s="32">
        <f>+[16]Monthly_NEL_Model!$I$103</f>
        <v>252.758737141898</v>
      </c>
      <c r="P21" s="188">
        <f>AVERAGE(D21:O21)</f>
        <v>246.94474999999986</v>
      </c>
      <c r="Q21" s="15"/>
      <c r="R21" s="16"/>
      <c r="S21" s="12"/>
      <c r="T21" s="10"/>
      <c r="U21" s="11"/>
      <c r="V21" s="12"/>
      <c r="W21" s="12"/>
      <c r="X21" s="13"/>
      <c r="Y21" s="2"/>
      <c r="Z21" s="2"/>
      <c r="AA21" s="14"/>
      <c r="AB21" s="2"/>
    </row>
    <row r="22" spans="1:28" s="1" customFormat="1">
      <c r="A22" t="s">
        <v>99</v>
      </c>
      <c r="B22" s="187">
        <f>+[16]Monthly_NEL_Model!$B18</f>
        <v>0.32325220069960209</v>
      </c>
      <c r="C22" t="s">
        <v>99</v>
      </c>
      <c r="D22" s="254">
        <f>+[16]Monthly_NEL_Model!$P$92</f>
        <v>-2.5390247235801398E-6</v>
      </c>
      <c r="E22" s="254">
        <f>+[16]Monthly_NEL_Model!$P$93</f>
        <v>-8.2074532947728997E-7</v>
      </c>
      <c r="F22" s="212">
        <f>+[16]Monthly_NEL_Model!$P$94</f>
        <v>-2.6530773378219402E-7</v>
      </c>
      <c r="G22" s="254">
        <f>+[16]Monthly_NEL_Model!$P$95</f>
        <v>-8.5761308943332906E-8</v>
      </c>
      <c r="H22" s="254">
        <f>+[16]Monthly_NEL_Model!$P$96</f>
        <v>-2.77225313816132E-8</v>
      </c>
      <c r="I22" s="254">
        <f>+[16]Monthly_NEL_Model!$P$97</f>
        <v>-8.9613689802092705E-9</v>
      </c>
      <c r="J22" s="254">
        <f>+[16]Monthly_NEL_Model!$P$98</f>
        <v>-2.8967828136217101E-9</v>
      </c>
      <c r="K22" s="254">
        <f>+[16]Monthly_NEL_Model!$P$99</f>
        <v>-9.3639096476749707E-10</v>
      </c>
      <c r="L22" s="254">
        <f>+[16]Monthly_NEL_Model!$P$100</f>
        <v>-3.0269031725538298E-10</v>
      </c>
      <c r="M22" s="254">
        <f>+[16]Monthly_NEL_Model!$P$101</f>
        <v>-9.7845287427844596E-11</v>
      </c>
      <c r="N22" s="254">
        <f>+[16]Monthly_NEL_Model!$P$102</f>
        <v>-3.1628699659336202E-11</v>
      </c>
      <c r="O22" s="254">
        <f>+[16]Monthly_NEL_Model!$P$103</f>
        <v>-1.02235997445632E-11</v>
      </c>
      <c r="P22" s="3"/>
      <c r="Q22" s="15"/>
      <c r="R22" s="16"/>
      <c r="S22" s="12"/>
      <c r="T22" s="10"/>
      <c r="U22" s="11"/>
      <c r="V22" s="12"/>
      <c r="W22" s="12"/>
      <c r="X22" s="13"/>
      <c r="Y22" s="2"/>
      <c r="Z22" s="2"/>
      <c r="AA22" s="14"/>
      <c r="AB22" s="2"/>
    </row>
    <row r="23" spans="1:28" s="65" customFormat="1" ht="12">
      <c r="B23" s="152"/>
      <c r="C23" s="169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28" s="1" customFormat="1">
      <c r="B24" s="35"/>
      <c r="C24" s="87" t="s">
        <v>12</v>
      </c>
      <c r="D24" s="3">
        <f>+[16]Monthly_NEL_Model!$O$92</f>
        <v>4559979.3860088484</v>
      </c>
      <c r="E24" s="3">
        <f>+[16]Monthly_NEL_Model!$O$93</f>
        <v>4565683.4413957475</v>
      </c>
      <c r="F24" s="3">
        <f>+[16]Monthly_NEL_Model!$O$94</f>
        <v>4572060.7921629231</v>
      </c>
      <c r="G24" s="3">
        <f>+[16]Monthly_NEL_Model!$O$95</f>
        <v>4575563.6998458654</v>
      </c>
      <c r="H24" s="3">
        <f>+[16]Monthly_NEL_Model!$O$96</f>
        <v>4576771.4065523939</v>
      </c>
      <c r="I24" s="3">
        <f>+[16]Monthly_NEL_Model!$O$97</f>
        <v>4577952.1408088766</v>
      </c>
      <c r="J24" s="3">
        <f>+[16]Monthly_NEL_Model!$O$98</f>
        <v>4580525.7833224675</v>
      </c>
      <c r="K24" s="3">
        <f>+[16]Monthly_NEL_Model!$O$99</f>
        <v>4585179.1473118477</v>
      </c>
      <c r="L24" s="3">
        <f>+[16]Monthly_NEL_Model!$O$100</f>
        <v>4585919.2967057498</v>
      </c>
      <c r="M24" s="3">
        <f>+[16]Monthly_NEL_Model!$O$101</f>
        <v>4587273.326920487</v>
      </c>
      <c r="N24" s="3">
        <f>+[16]Monthly_NEL_Model!$O$102</f>
        <v>4589945.3004968651</v>
      </c>
      <c r="O24" s="3">
        <f>+[16]Monthly_NEL_Model!$O$103</f>
        <v>4593239.5569788096</v>
      </c>
      <c r="P24" s="69">
        <f>AVERAGE(D24:O24)</f>
        <v>4579174.4398759073</v>
      </c>
      <c r="Q24" s="16"/>
      <c r="R24" s="16"/>
      <c r="S24" s="12"/>
      <c r="T24" s="10"/>
      <c r="U24" s="11"/>
      <c r="V24" s="12"/>
      <c r="W24" s="12"/>
      <c r="X24" s="13"/>
      <c r="Y24" s="2"/>
      <c r="Z24" s="2"/>
      <c r="AA24" s="14"/>
      <c r="AB24" s="2"/>
    </row>
    <row r="25" spans="1:28" s="1" customFormat="1">
      <c r="A25"/>
      <c r="B25" s="35"/>
      <c r="C25" s="1" t="s">
        <v>42</v>
      </c>
      <c r="D25" s="3">
        <f>+[16]Monthly_NEL_Model!$S$92</f>
        <v>92664.915421234982</v>
      </c>
      <c r="E25" s="3">
        <f>+[16]Monthly_NEL_Model!$S$93</f>
        <v>77914.320474069318</v>
      </c>
      <c r="F25" s="3">
        <f>+[16]Monthly_NEL_Model!$S$94</f>
        <v>91105.909870313975</v>
      </c>
      <c r="G25" s="3">
        <f>+[16]Monthly_NEL_Model!$S$95</f>
        <v>101633.10831089987</v>
      </c>
      <c r="H25" s="3">
        <f>+[16]Monthly_NEL_Model!$S$96</f>
        <v>109019.97384114325</v>
      </c>
      <c r="I25" s="3">
        <f>+[16]Monthly_NEL_Model!$S$97</f>
        <v>112560.4294476025</v>
      </c>
      <c r="J25" s="3">
        <f>+[16]Monthly_NEL_Model!$S$98</f>
        <v>120906.37303005606</v>
      </c>
      <c r="K25" s="3">
        <f>+[16]Monthly_NEL_Model!$S$99</f>
        <v>126724.21082284969</v>
      </c>
      <c r="L25" s="3">
        <f>+[16]Monthly_NEL_Model!$S$100</f>
        <v>115619.28014007198</v>
      </c>
      <c r="M25" s="3">
        <f>+[16]Monthly_NEL_Model!$S$101</f>
        <v>111650.96498780797</v>
      </c>
      <c r="N25" s="3">
        <f>+[16]Monthly_NEL_Model!$S$102</f>
        <v>82661.775003980249</v>
      </c>
      <c r="O25" s="3">
        <f>+[16]Monthly_NEL_Model!$S$103</f>
        <v>81715.57131305529</v>
      </c>
      <c r="P25" s="3"/>
      <c r="Q25" s="2"/>
      <c r="R25" s="2"/>
      <c r="S25" s="12"/>
      <c r="T25" s="10"/>
      <c r="U25" s="11"/>
      <c r="V25" s="12"/>
      <c r="W25" s="12"/>
      <c r="X25" s="13"/>
      <c r="Y25" s="2"/>
      <c r="Z25" s="2"/>
      <c r="AA25" s="14"/>
      <c r="AB25" s="2"/>
    </row>
    <row r="26" spans="1:28" s="1" customFormat="1">
      <c r="A26"/>
      <c r="B26" s="35"/>
      <c r="C26" s="1" t="s">
        <v>43</v>
      </c>
      <c r="D26" s="3">
        <f>+[16]Monthly_NEL_Model!$T$92</f>
        <v>0</v>
      </c>
      <c r="E26" s="3">
        <f>+[16]Monthly_NEL_Model!$T$93</f>
        <v>0</v>
      </c>
      <c r="F26" s="3">
        <f>+[16]Monthly_NEL_Model!$T$94</f>
        <v>0</v>
      </c>
      <c r="G26" s="3">
        <f>+[16]Monthly_NEL_Model!$T$95</f>
        <v>0</v>
      </c>
      <c r="H26" s="3">
        <f>+[16]Monthly_NEL_Model!$T$96</f>
        <v>0</v>
      </c>
      <c r="I26" s="3">
        <f>+[16]Monthly_NEL_Model!$T$97</f>
        <v>0</v>
      </c>
      <c r="J26" s="3">
        <f>+[16]Monthly_NEL_Model!$T$98</f>
        <v>0</v>
      </c>
      <c r="K26" s="3">
        <f>+[16]Monthly_NEL_Model!$T$99</f>
        <v>0</v>
      </c>
      <c r="L26" s="3">
        <f>+[16]Monthly_NEL_Model!$T$100</f>
        <v>0</v>
      </c>
      <c r="M26" s="3">
        <f>+[16]Monthly_NEL_Model!$T$101</f>
        <v>0</v>
      </c>
      <c r="N26" s="3">
        <f>+[16]Monthly_NEL_Model!$T$102</f>
        <v>0</v>
      </c>
      <c r="O26" s="3">
        <f>+[16]Monthly_NEL_Model!$T$103</f>
        <v>0</v>
      </c>
      <c r="P26" s="3"/>
      <c r="Q26" s="2"/>
      <c r="R26" s="2"/>
      <c r="S26" s="12"/>
      <c r="T26" s="10"/>
      <c r="U26" s="11"/>
      <c r="V26" s="12"/>
      <c r="W26" s="12"/>
      <c r="X26" s="13"/>
      <c r="Y26" s="2"/>
      <c r="Z26" s="2"/>
      <c r="AA26" s="14"/>
      <c r="AB26" s="2"/>
    </row>
    <row r="27" spans="1:28" s="1" customFormat="1" ht="15.75" customHeight="1">
      <c r="A27"/>
      <c r="B27" s="35"/>
      <c r="C27" s="1" t="s">
        <v>44</v>
      </c>
      <c r="D27" s="3">
        <f>+[16]Monthly_NEL_Model!$U$92</f>
        <v>1551.4270779131093</v>
      </c>
      <c r="E27" s="3">
        <f>+[16]Monthly_NEL_Model!$U$93</f>
        <v>1451.3350083703281</v>
      </c>
      <c r="F27" s="3">
        <f>+[16]Monthly_NEL_Model!$U$94</f>
        <v>1551.4270779131093</v>
      </c>
      <c r="G27" s="3">
        <f>+[16]Monthly_NEL_Model!$U$95</f>
        <v>1551.4270779131093</v>
      </c>
      <c r="H27" s="3">
        <f>+[16]Monthly_NEL_Model!$U$96</f>
        <v>1501.3810431417187</v>
      </c>
      <c r="I27" s="3">
        <f>+[16]Monthly_NEL_Model!$U$97</f>
        <v>1551.4270779131093</v>
      </c>
      <c r="J27" s="3">
        <f>+[16]Monthly_NEL_Model!$U$98</f>
        <v>1501.3810431417187</v>
      </c>
      <c r="K27" s="3">
        <f>+[16]Monthly_NEL_Model!$U$99</f>
        <v>1551.4270779131093</v>
      </c>
      <c r="L27" s="3">
        <f>+[16]Monthly_NEL_Model!$U$100</f>
        <v>1551.4270779131093</v>
      </c>
      <c r="M27" s="3">
        <f>+[16]Monthly_NEL_Model!$U$101</f>
        <v>1501.3810431417187</v>
      </c>
      <c r="N27" s="3">
        <f>+[16]Monthly_NEL_Model!$U$102</f>
        <v>1551.4270779131093</v>
      </c>
      <c r="O27" s="3">
        <f>+[16]Monthly_NEL_Model!$U$103</f>
        <v>1501.3810431417187</v>
      </c>
      <c r="P27" s="3"/>
      <c r="Q27" s="2"/>
      <c r="R27" s="2"/>
      <c r="S27" s="12"/>
      <c r="T27" s="10"/>
      <c r="U27" s="11"/>
      <c r="V27" s="12"/>
      <c r="W27" s="12"/>
      <c r="X27" s="13"/>
      <c r="Y27" s="2"/>
      <c r="Z27" s="2"/>
      <c r="AA27" s="14"/>
      <c r="AB27" s="2"/>
    </row>
    <row r="28" spans="1:28" s="1" customFormat="1" ht="15.75" customHeight="1">
      <c r="A28"/>
      <c r="B28" s="35"/>
      <c r="C28" t="s">
        <v>100</v>
      </c>
      <c r="D28" s="3">
        <f>+[16]Monthly_NEL_Model!$W$92</f>
        <v>4752.7962238501623</v>
      </c>
      <c r="E28" s="3">
        <f>+[16]Monthly_NEL_Model!$W$93</f>
        <v>4969.1967306507186</v>
      </c>
      <c r="F28" s="3">
        <f>+[16]Monthly_NEL_Model!$W$94</f>
        <v>4840.6929273487303</v>
      </c>
      <c r="G28" s="3">
        <f>+[16]Monthly_NEL_Model!$W$95</f>
        <v>5097.2405919030916</v>
      </c>
      <c r="H28" s="3">
        <f>+[16]Monthly_NEL_Model!$W$96</f>
        <v>5953.7392412341305</v>
      </c>
      <c r="I28" s="3">
        <f>+[16]Monthly_NEL_Model!$W$97</f>
        <v>6327.1860213659138</v>
      </c>
      <c r="J28" s="3">
        <f>+[16]Monthly_NEL_Model!$W$98</f>
        <v>6339.2439010962353</v>
      </c>
      <c r="K28" s="3">
        <f>+[16]Monthly_NEL_Model!$W$99</f>
        <v>6409.8432282800368</v>
      </c>
      <c r="L28" s="3">
        <f>+[16]Monthly_NEL_Model!$W$100</f>
        <v>6152.8328336372933</v>
      </c>
      <c r="M28" s="3">
        <f>+[16]Monthly_NEL_Model!$W$101</f>
        <v>5583.8272375682354</v>
      </c>
      <c r="N28" s="3">
        <f>+[16]Monthly_NEL_Model!$W$102</f>
        <v>4925.3126207276509</v>
      </c>
      <c r="O28" s="3">
        <f>+[16]Monthly_NEL_Model!$W$103</f>
        <v>4812.2062939844891</v>
      </c>
      <c r="P28" s="69"/>
      <c r="Q28" s="2"/>
      <c r="R28" s="2"/>
      <c r="S28" s="12"/>
      <c r="T28" s="10"/>
      <c r="U28" s="11"/>
      <c r="V28" s="12"/>
      <c r="W28" s="12"/>
      <c r="X28" s="13"/>
      <c r="Y28" s="2"/>
      <c r="Z28" s="2"/>
      <c r="AA28" s="14"/>
      <c r="AB28" s="2"/>
    </row>
    <row r="29" spans="1:28" s="1" customFormat="1" ht="15.75" customHeight="1">
      <c r="A29"/>
      <c r="B29" s="35"/>
      <c r="C29" t="s">
        <v>101</v>
      </c>
      <c r="D29" s="3">
        <f>+[16]Monthly_NEL_Model!$X$92</f>
        <v>15156.075048654508</v>
      </c>
      <c r="E29" s="3">
        <f>+[16]Monthly_NEL_Model!$X$93</f>
        <v>14618.845016571577</v>
      </c>
      <c r="F29" s="3">
        <f>+[16]Monthly_NEL_Model!$X$94</f>
        <v>16919.525536562571</v>
      </c>
      <c r="G29" s="3">
        <f>+[16]Monthly_NEL_Model!$X$95</f>
        <v>16960.661179804985</v>
      </c>
      <c r="H29" s="3">
        <f>+[16]Monthly_NEL_Model!$X$96</f>
        <v>19629.952176062827</v>
      </c>
      <c r="I29" s="3">
        <f>+[16]Monthly_NEL_Model!$X$97</f>
        <v>20077.610809375597</v>
      </c>
      <c r="J29" s="3">
        <f>+[16]Monthly_NEL_Model!$X$98</f>
        <v>21620.295290509115</v>
      </c>
      <c r="K29" s="3">
        <f>+[16]Monthly_NEL_Model!$X$99</f>
        <v>21456.524325610415</v>
      </c>
      <c r="L29" s="3">
        <f>+[16]Monthly_NEL_Model!$X$100</f>
        <v>18903.26905390231</v>
      </c>
      <c r="M29" s="3">
        <f>+[16]Monthly_NEL_Model!$X$101</f>
        <v>18211.893764371489</v>
      </c>
      <c r="N29" s="3">
        <f>+[16]Monthly_NEL_Model!$X$102</f>
        <v>14156.668604639483</v>
      </c>
      <c r="O29" s="3">
        <f>+[16]Monthly_NEL_Model!$X$103</f>
        <v>15295.335512662044</v>
      </c>
      <c r="P29" s="3"/>
      <c r="Q29" s="2"/>
      <c r="R29" s="2"/>
      <c r="S29" s="12"/>
      <c r="T29" s="10"/>
      <c r="U29" s="11"/>
      <c r="V29" s="12"/>
      <c r="W29" s="12"/>
      <c r="X29" s="13"/>
      <c r="Y29" s="2"/>
      <c r="Z29" s="2"/>
      <c r="AA29" s="14"/>
      <c r="AB29" s="2"/>
    </row>
    <row r="30" spans="1:28" s="1" customFormat="1" ht="15.75" customHeight="1">
      <c r="A30"/>
      <c r="B30" s="210"/>
      <c r="C30" s="157" t="s">
        <v>45</v>
      </c>
      <c r="D30" s="68">
        <f>(($B$6+($B$7*D7)+($B$8*D8)+($B$9*D9)+($B$10*D10)+($B$11*D11)+($B$12*D12)+($B$13*D13)+D14*$B$14+D15*$B$15+D16*$B$16+D17*$B$17+D19*$B$19+D21*$B$21))+D22</f>
        <v>1.7931127716016468</v>
      </c>
      <c r="E30" s="68">
        <f t="shared" ref="E30:O30" si="2">(($B$6+($B$7*E7)+($B$8*E8)+($B$9*E9)+($B$10*E10)+($B$11*E11)+($B$12*E12)+($B$13*E13)+E14*$B$14+E15*$B$15+E16*$B$16+E17*$B$17+E19*$B$19+E21*$B$21))+E22</f>
        <v>1.6034331969898115</v>
      </c>
      <c r="F30" s="68">
        <f t="shared" si="2"/>
        <v>1.7942083119382319</v>
      </c>
      <c r="G30" s="68">
        <f t="shared" si="2"/>
        <v>1.8292344171127295</v>
      </c>
      <c r="H30" s="68">
        <f t="shared" si="2"/>
        <v>2.1123956961270149</v>
      </c>
      <c r="I30" s="68">
        <f t="shared" si="2"/>
        <v>2.201129205885457</v>
      </c>
      <c r="J30" s="68">
        <f t="shared" si="2"/>
        <v>2.3958055087890968</v>
      </c>
      <c r="K30" s="68">
        <f t="shared" si="2"/>
        <v>2.3873942404892308</v>
      </c>
      <c r="L30" s="68">
        <f t="shared" si="2"/>
        <v>2.2138206247549528</v>
      </c>
      <c r="M30" s="68">
        <f t="shared" si="2"/>
        <v>2.0789439711657072</v>
      </c>
      <c r="N30" s="68">
        <f t="shared" si="2"/>
        <v>1.7397720457165389</v>
      </c>
      <c r="O30" s="68">
        <f t="shared" si="2"/>
        <v>1.7905503179044031</v>
      </c>
      <c r="P30" s="3">
        <f>SUM(D30:O30)</f>
        <v>23.939800308474823</v>
      </c>
      <c r="Q30" s="38"/>
      <c r="R30" s="2"/>
      <c r="S30" s="12"/>
      <c r="T30" s="10"/>
      <c r="U30" s="11"/>
      <c r="V30" s="12"/>
      <c r="W30" s="12"/>
      <c r="X30" s="13"/>
      <c r="Y30" s="2"/>
      <c r="Z30" s="2"/>
      <c r="AA30" s="14"/>
      <c r="AB30" s="2"/>
    </row>
    <row r="31" spans="1:28" s="1" customFormat="1" ht="15.75" customHeight="1">
      <c r="A31"/>
      <c r="B31" s="70"/>
      <c r="C31" s="75" t="s">
        <v>46</v>
      </c>
      <c r="D31" s="76">
        <f>(D30*D24)+SUM(D25:D29)+D23+D32</f>
        <v>8281179.6600454058</v>
      </c>
      <c r="E31" s="76">
        <f t="shared" ref="E31:O31" si="3">(E30*E24)+SUM(E25:E29)+E23+E32</f>
        <v>7411021.7469080444</v>
      </c>
      <c r="F31" s="76">
        <f t="shared" si="3"/>
        <v>8307816.3391802236</v>
      </c>
      <c r="G31" s="76">
        <f t="shared" si="3"/>
        <v>8483674.0570355393</v>
      </c>
      <c r="H31" s="76">
        <f t="shared" si="3"/>
        <v>9791945.0242743138</v>
      </c>
      <c r="I31" s="76">
        <f t="shared" si="3"/>
        <v>10204539.220907308</v>
      </c>
      <c r="J31" s="76">
        <f t="shared" si="3"/>
        <v>11110968.618810251</v>
      </c>
      <c r="K31" s="76">
        <f t="shared" si="3"/>
        <v>11088953.027788598</v>
      </c>
      <c r="L31" s="76">
        <f t="shared" si="3"/>
        <v>10281835.835194141</v>
      </c>
      <c r="M31" s="76">
        <f t="shared" si="3"/>
        <v>9662477.6624148861</v>
      </c>
      <c r="N31" s="76">
        <f t="shared" si="3"/>
        <v>8079383.8258087113</v>
      </c>
      <c r="O31" s="76">
        <f t="shared" si="3"/>
        <v>8317093.7670826232</v>
      </c>
      <c r="P31" s="76">
        <f>SUM(D31:O31)</f>
        <v>111020888.78545003</v>
      </c>
      <c r="Q31" s="2"/>
      <c r="S31" s="12"/>
      <c r="T31" s="10"/>
      <c r="U31" s="11"/>
      <c r="V31" s="12"/>
      <c r="W31" s="12"/>
      <c r="X31" s="13"/>
      <c r="Y31" s="2"/>
      <c r="Z31" s="2"/>
      <c r="AA31" s="14"/>
      <c r="AB31" s="2"/>
    </row>
    <row r="32" spans="1:28" s="1" customFormat="1" ht="15.75" customHeight="1">
      <c r="A32"/>
      <c r="B32" s="70"/>
      <c r="C32" s="214" t="s">
        <v>116</v>
      </c>
      <c r="D32" s="3">
        <f>+[16]Monthly_NEL_Model!$AV$92</f>
        <v>-9502.8290189485688</v>
      </c>
      <c r="E32" s="3">
        <f>+[16]Monthly_NEL_Model!$AV$93</f>
        <v>-8700.3472022455462</v>
      </c>
      <c r="F32" s="3">
        <f>+[16]Monthly_NEL_Model!$AV$94</f>
        <v>-9830.6922175284162</v>
      </c>
      <c r="G32" s="3">
        <f>+[16]Monthly_NEL_Model!$AV$95</f>
        <v>-11346.977574696602</v>
      </c>
      <c r="H32" s="3">
        <f>+[16]Monthly_NEL_Model!$AV$96</f>
        <v>-12112.243385730904</v>
      </c>
      <c r="I32" s="3">
        <f>+[16]Monthly_NEL_Model!$AV$97</f>
        <v>-12641.592729220405</v>
      </c>
      <c r="J32" s="3">
        <f>+[16]Monthly_NEL_Model!$AV$98</f>
        <v>-13447.579289012378</v>
      </c>
      <c r="K32" s="3">
        <f>+[16]Monthly_NEL_Model!$AV$99</f>
        <v>-13819.265569683083</v>
      </c>
      <c r="L32" s="3">
        <f>+[16]Monthly_NEL_Model!$AV$100</f>
        <v>-12793.696420301594</v>
      </c>
      <c r="M32" s="3">
        <f>+[16]Monthly_NEL_Model!$AV$101</f>
        <v>-11154.631708606032</v>
      </c>
      <c r="N32" s="3">
        <f>+[16]Monthly_NEL_Model!$AV$102</f>
        <v>-9369.8826709942568</v>
      </c>
      <c r="O32" s="3">
        <f>+[16]Monthly_NEL_Model!$AV$103</f>
        <v>-10657.27603970746</v>
      </c>
      <c r="P32" s="47"/>
      <c r="Q32" s="2"/>
      <c r="S32" s="12"/>
      <c r="T32" s="10"/>
      <c r="U32" s="11"/>
      <c r="V32" s="12"/>
      <c r="W32" s="12"/>
      <c r="X32" s="13"/>
      <c r="Y32" s="2"/>
      <c r="Z32" s="2"/>
      <c r="AA32" s="14"/>
      <c r="AB32" s="2"/>
    </row>
    <row r="33" spans="1:28" s="1" customFormat="1" ht="12">
      <c r="B33" s="4"/>
      <c r="C33" s="48" t="s">
        <v>105</v>
      </c>
      <c r="D33" s="3">
        <f>+[16]Monthly_NEL_Model!$AA$92</f>
        <v>8281179.6600454058</v>
      </c>
      <c r="E33" s="3">
        <f>+[16]Monthly_NEL_Model!$AA$93</f>
        <v>7411021.7469080454</v>
      </c>
      <c r="F33" s="3">
        <f>+[16]Monthly_NEL_Model!$AA$94</f>
        <v>8307816.3391802227</v>
      </c>
      <c r="G33" s="3">
        <f>+[16]Monthly_NEL_Model!$AA$95</f>
        <v>8483674.0570355393</v>
      </c>
      <c r="H33" s="3">
        <f>+[16]Monthly_NEL_Model!$AA$96</f>
        <v>9791945.0242743138</v>
      </c>
      <c r="I33" s="3">
        <f>+[16]Monthly_NEL_Model!$AA$97</f>
        <v>10204539.220907308</v>
      </c>
      <c r="J33" s="3">
        <f>+[16]Monthly_NEL_Model!$AA$98</f>
        <v>11110968.618810251</v>
      </c>
      <c r="K33" s="3">
        <f>+[16]Monthly_NEL_Model!$AA$99</f>
        <v>11088953.0277886</v>
      </c>
      <c r="L33" s="3">
        <f>+[16]Monthly_NEL_Model!$AA$100</f>
        <v>10281835.835194141</v>
      </c>
      <c r="M33" s="3">
        <f>+[16]Monthly_NEL_Model!$AA$101</f>
        <v>9662477.6624148879</v>
      </c>
      <c r="N33" s="3">
        <f>+[16]Monthly_NEL_Model!$AA$102</f>
        <v>8079383.8258087104</v>
      </c>
      <c r="O33" s="3">
        <f>+[16]Monthly_NEL_Model!$AA$103</f>
        <v>8317093.7670826232</v>
      </c>
      <c r="P33" s="47">
        <f>SUM(D33:O33)</f>
        <v>111020888.78545004</v>
      </c>
    </row>
    <row r="34" spans="1:28" s="1" customFormat="1" ht="17.399999999999999">
      <c r="A34" s="24" t="s">
        <v>113</v>
      </c>
      <c r="B34" s="4"/>
      <c r="C34" s="1" t="s">
        <v>51</v>
      </c>
      <c r="D34" s="2">
        <f>+D33-D31</f>
        <v>0</v>
      </c>
      <c r="E34" s="2">
        <f t="shared" ref="E34:O34" si="4">+E33-E31</f>
        <v>0</v>
      </c>
      <c r="F34" s="2">
        <f t="shared" si="4"/>
        <v>0</v>
      </c>
      <c r="G34" s="2">
        <f t="shared" si="4"/>
        <v>0</v>
      </c>
      <c r="H34" s="2">
        <f>+H33-H31</f>
        <v>0</v>
      </c>
      <c r="I34" s="2">
        <f>+I33-I31</f>
        <v>0</v>
      </c>
      <c r="J34" s="2">
        <f>+J33-J31</f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>
        <f t="shared" si="4"/>
        <v>0</v>
      </c>
    </row>
    <row r="35" spans="1:28" s="48" customFormat="1" ht="12">
      <c r="B35" s="55"/>
      <c r="C35" s="48" t="s">
        <v>17</v>
      </c>
      <c r="D35" s="48" t="s">
        <v>0</v>
      </c>
      <c r="E35" s="48" t="s">
        <v>1</v>
      </c>
      <c r="F35" s="48" t="s">
        <v>2</v>
      </c>
      <c r="G35" s="48" t="s">
        <v>3</v>
      </c>
      <c r="H35" s="48" t="s">
        <v>4</v>
      </c>
      <c r="I35" s="48" t="s">
        <v>5</v>
      </c>
      <c r="J35" s="48" t="s">
        <v>6</v>
      </c>
      <c r="K35" s="48" t="s">
        <v>7</v>
      </c>
      <c r="L35" s="48" t="s">
        <v>8</v>
      </c>
      <c r="M35" s="48" t="s">
        <v>9</v>
      </c>
      <c r="N35" s="55" t="s">
        <v>10</v>
      </c>
      <c r="O35" s="55" t="s">
        <v>11</v>
      </c>
      <c r="P35" s="55" t="s">
        <v>23</v>
      </c>
    </row>
    <row r="36" spans="1:28" s="1" customFormat="1" ht="18" thickBot="1">
      <c r="A36" s="6" t="s">
        <v>18</v>
      </c>
      <c r="B36" s="6" t="s">
        <v>19</v>
      </c>
      <c r="C36" s="24" t="str">
        <f>+A34</f>
        <v>2012 ACTUAL</v>
      </c>
      <c r="D36" s="90" t="s">
        <v>109</v>
      </c>
      <c r="E36" s="7"/>
      <c r="F36" s="7"/>
      <c r="G36" s="7"/>
      <c r="H36" s="7"/>
      <c r="I36" s="174"/>
      <c r="J36" s="175"/>
      <c r="K36" s="176"/>
      <c r="L36" s="7"/>
      <c r="M36" s="90" t="str">
        <f>+D36</f>
        <v>INCLUDE 2012  ACTUALS</v>
      </c>
      <c r="N36" s="8"/>
      <c r="O36" s="8"/>
      <c r="P36" s="8"/>
      <c r="Q36" s="7"/>
      <c r="R36" s="7"/>
      <c r="S36" s="7"/>
      <c r="T36" s="7"/>
    </row>
    <row r="37" spans="1:28" s="1" customFormat="1">
      <c r="A37" t="s">
        <v>20</v>
      </c>
      <c r="B37" s="70">
        <f t="shared" ref="B37:B53" si="5">+B6</f>
        <v>1.548202048113029</v>
      </c>
      <c r="C37" s="9"/>
      <c r="F37" s="52"/>
      <c r="M37" s="52"/>
      <c r="O37" s="52" t="s">
        <v>47</v>
      </c>
      <c r="P37" s="8"/>
      <c r="Q37" s="7"/>
      <c r="R37" s="7"/>
      <c r="S37" s="10"/>
      <c r="T37" s="10"/>
      <c r="U37" s="11"/>
      <c r="V37" s="12"/>
      <c r="W37" s="12"/>
      <c r="X37" s="13"/>
      <c r="Y37" s="2"/>
      <c r="Z37" s="2"/>
      <c r="AA37" s="14"/>
      <c r="AB37" s="2"/>
    </row>
    <row r="38" spans="1:28" s="1" customFormat="1">
      <c r="A38" t="str">
        <f t="shared" ref="A38:A53" si="6">+A7</f>
        <v>Weather.Cal_HDD_based_on_45_degrees</v>
      </c>
      <c r="B38" s="72">
        <f t="shared" si="5"/>
        <v>1.7438085153939766E-2</v>
      </c>
      <c r="C38" t="str">
        <f t="shared" ref="C38:C53" si="7">+C7</f>
        <v>Weather.Cal_HDD_based_on_45_degrees</v>
      </c>
      <c r="D38" s="165">
        <f>+'[22]Daily Actuals vs Daily Normals'!$F$33</f>
        <v>0</v>
      </c>
      <c r="E38" s="165">
        <f>+'[22]Daily Actuals vs Daily Normals'!$F$66</f>
        <v>0</v>
      </c>
      <c r="F38" s="165">
        <f>+'[22]Daily Actuals vs Daily Normals'!$F$101</f>
        <v>0</v>
      </c>
      <c r="G38" s="165">
        <f>+[17]Weather!$AA$377</f>
        <v>0</v>
      </c>
      <c r="H38" s="165">
        <f>+[17]Weather!$AA$378</f>
        <v>0</v>
      </c>
      <c r="I38" s="165">
        <f>+'[22]Daily Actuals vs Daily Normals'!$F$204</f>
        <v>0</v>
      </c>
      <c r="J38" s="167">
        <f>+[17]Weather!$AA$380</f>
        <v>0</v>
      </c>
      <c r="K38" s="167">
        <f>+[17]Weather!$AA$380</f>
        <v>0</v>
      </c>
      <c r="L38" s="167">
        <f>+[17]Weather!$AA$380</f>
        <v>0</v>
      </c>
      <c r="M38"/>
      <c r="N38" s="32"/>
      <c r="O38" s="32"/>
      <c r="P38" s="3">
        <f>SUM(D38:O38)</f>
        <v>0</v>
      </c>
      <c r="Q38" s="15"/>
      <c r="R38" s="16"/>
      <c r="S38" s="12"/>
      <c r="T38" s="10"/>
      <c r="U38" s="11"/>
      <c r="V38" s="12"/>
      <c r="W38" s="12"/>
      <c r="X38" s="13"/>
      <c r="Y38" s="2"/>
      <c r="Z38" s="2"/>
      <c r="AA38" s="14"/>
      <c r="AB38" s="2"/>
    </row>
    <row r="39" spans="1:28" s="1" customFormat="1">
      <c r="A39" t="str">
        <f t="shared" si="6"/>
        <v>Weather.CDH_Calendar</v>
      </c>
      <c r="B39" s="72">
        <f t="shared" si="5"/>
        <v>2.9354163517797079E-3</v>
      </c>
      <c r="C39" t="str">
        <f t="shared" si="7"/>
        <v>Weather.CDH_Calendar</v>
      </c>
      <c r="D39" s="165">
        <f>+'[22]Daily Actuals vs Daily Normals'!$B$33</f>
        <v>27.111349482191514</v>
      </c>
      <c r="E39" s="165">
        <f>+'[22]Daily Actuals vs Daily Normals'!$B$66</f>
        <v>50.063863942660532</v>
      </c>
      <c r="F39" s="165">
        <f>+'[22]Daily Actuals vs Daily Normals'!$B$101</f>
        <v>89.238204374581343</v>
      </c>
      <c r="G39" s="165">
        <f>+'[22]Daily Actuals vs Daily Normals'!$B$135</f>
        <v>106.45317747474797</v>
      </c>
      <c r="H39" s="165">
        <f>+'[22]Daily Actuals vs Daily Normals'!$B$170</f>
        <v>202.05259632338476</v>
      </c>
      <c r="I39" s="165">
        <f>+'[22]Daily Actuals vs Daily Normals'!$B$204</f>
        <v>276.45568441315464</v>
      </c>
      <c r="J39" s="44"/>
      <c r="K39" s="44"/>
      <c r="L39" s="44"/>
      <c r="M39"/>
      <c r="N39" s="32"/>
      <c r="O39" s="32"/>
      <c r="P39" s="3">
        <f>SUM(D39:O39)</f>
        <v>751.37487601072075</v>
      </c>
      <c r="Q39" s="16"/>
      <c r="R39" s="16"/>
      <c r="S39" s="12"/>
      <c r="T39" s="10"/>
      <c r="U39" s="11"/>
      <c r="V39" s="12"/>
      <c r="W39" s="12"/>
      <c r="X39" s="13"/>
      <c r="Y39" s="2"/>
      <c r="Z39" s="2"/>
      <c r="AA39" s="14"/>
      <c r="AB39" s="2"/>
    </row>
    <row r="40" spans="1:28" s="1" customFormat="1">
      <c r="A40" t="str">
        <f t="shared" si="6"/>
        <v>Weather.Cal_Winter_HDD</v>
      </c>
      <c r="B40" s="72">
        <f t="shared" si="5"/>
        <v>1.2133267139738657E-3</v>
      </c>
      <c r="C40" t="str">
        <f t="shared" si="7"/>
        <v>Weather.Cal_Winter_HDD</v>
      </c>
      <c r="D40" s="165">
        <f>+'[22]Daily Actuals vs Daily Normals'!$D$33</f>
        <v>76.79532457691009</v>
      </c>
      <c r="E40" s="165">
        <f>+'[22]Daily Actuals vs Daily Normals'!$D$66</f>
        <v>25.574091849515369</v>
      </c>
      <c r="F40" s="165">
        <f>+'[22]Daily Actuals vs Daily Normals'!$D$101</f>
        <v>3.0671707478003256</v>
      </c>
      <c r="G40" s="165">
        <f>+G9</f>
        <v>0</v>
      </c>
      <c r="H40" s="165">
        <f>+H9</f>
        <v>0</v>
      </c>
      <c r="I40" s="165">
        <f>+I9</f>
        <v>0</v>
      </c>
      <c r="J40" s="32"/>
      <c r="K40" s="32"/>
      <c r="L40" s="32"/>
      <c r="M40"/>
      <c r="N40" s="32"/>
      <c r="O40" s="32"/>
      <c r="P40" s="3"/>
      <c r="Q40" s="16"/>
      <c r="R40" s="16"/>
      <c r="S40" s="12"/>
      <c r="T40" s="10"/>
      <c r="U40" s="11"/>
      <c r="V40" s="12"/>
      <c r="W40" s="12"/>
      <c r="X40" s="13"/>
      <c r="Y40" s="2"/>
      <c r="Z40" s="2"/>
      <c r="AA40" s="14"/>
      <c r="AB40" s="2"/>
    </row>
    <row r="41" spans="1:28" s="1" customFormat="1">
      <c r="A41" t="str">
        <f t="shared" si="6"/>
        <v>Misc.Inactive_Ratio</v>
      </c>
      <c r="B41" s="72">
        <f t="shared" si="5"/>
        <v>-2.6984927541592394</v>
      </c>
      <c r="C41" t="str">
        <f t="shared" si="7"/>
        <v>Misc.Inactive_Ratio</v>
      </c>
      <c r="D41" s="466">
        <f ca="1">+Inactive_meter_ratio!$G40</f>
        <v>6.0398704828821835E-2</v>
      </c>
      <c r="E41" s="466">
        <f ca="1">+Inactive_meter_ratio!$G41</f>
        <v>5.8850250355530917E-2</v>
      </c>
      <c r="F41" s="466">
        <f ca="1">+Inactive_meter_ratio!$G42</f>
        <v>5.7305205807697102E-2</v>
      </c>
      <c r="G41" s="466">
        <f ca="1">+Inactive_meter_ratio!$G43</f>
        <v>5.7617612088866205E-2</v>
      </c>
      <c r="H41" s="466">
        <f ca="1">+Inactive_meter_ratio!$G44</f>
        <v>5.8207448908625357E-2</v>
      </c>
      <c r="I41" s="466">
        <f ca="1">+Inactive_meter_ratio!$G45</f>
        <v>5.8402127751184772E-2</v>
      </c>
      <c r="J41" s="44">
        <f t="shared" ref="J41:O41" si="8">J10</f>
        <v>5.921227466540388E-2</v>
      </c>
      <c r="K41" s="44">
        <f t="shared" si="8"/>
        <v>5.873560872223052E-2</v>
      </c>
      <c r="L41" s="44">
        <f t="shared" si="8"/>
        <v>5.8900245405709956E-2</v>
      </c>
      <c r="M41" s="44">
        <f t="shared" si="8"/>
        <v>5.8693335755661213E-2</v>
      </c>
      <c r="N41" s="44">
        <f t="shared" si="8"/>
        <v>5.8119570541718298E-2</v>
      </c>
      <c r="O41" s="44">
        <f t="shared" si="8"/>
        <v>5.7096391163648071E-2</v>
      </c>
      <c r="P41" s="29"/>
      <c r="Q41" s="16"/>
      <c r="R41" s="16"/>
      <c r="S41" s="12"/>
      <c r="T41" s="10"/>
      <c r="U41" s="11"/>
      <c r="V41" s="12"/>
      <c r="W41" s="12"/>
      <c r="X41" s="13"/>
      <c r="Y41" s="2"/>
      <c r="Z41" s="2"/>
      <c r="AA41" s="14"/>
      <c r="AB41" s="2"/>
    </row>
    <row r="42" spans="1:28" s="1" customFormat="1">
      <c r="A42" t="str">
        <f t="shared" si="6"/>
        <v>Misc.NEPACT_WeatSens_UPC_Normal_CDH</v>
      </c>
      <c r="B42" s="72">
        <f t="shared" si="5"/>
        <v>-1.7962555069603001</v>
      </c>
      <c r="C42" t="str">
        <f t="shared" si="7"/>
        <v>Misc.NEPACT_WeatSens_UPC_Normal_CDH</v>
      </c>
      <c r="D42" s="44">
        <f>D11</f>
        <v>7.5759887140128945E-3</v>
      </c>
      <c r="E42" s="44">
        <f t="shared" ref="E42:O42" si="9">E11</f>
        <v>8.857429918464001E-3</v>
      </c>
      <c r="F42" s="44">
        <f t="shared" si="9"/>
        <v>1.7373797471482395E-2</v>
      </c>
      <c r="G42" s="44">
        <f t="shared" si="9"/>
        <v>3.2804350308028127E-2</v>
      </c>
      <c r="H42" s="44">
        <f t="shared" si="9"/>
        <v>5.6062977964079039E-2</v>
      </c>
      <c r="I42" s="44">
        <f t="shared" si="9"/>
        <v>8.1222327894753796E-2</v>
      </c>
      <c r="J42" s="44">
        <f t="shared" si="9"/>
        <v>9.1285356611641624E-2</v>
      </c>
      <c r="K42" s="44">
        <f t="shared" si="9"/>
        <v>9.5219193913647207E-2</v>
      </c>
      <c r="L42" s="44">
        <f t="shared" si="9"/>
        <v>8.5950884516376461E-2</v>
      </c>
      <c r="M42" s="44">
        <f t="shared" si="9"/>
        <v>5.7677097931127339E-2</v>
      </c>
      <c r="N42" s="44">
        <f t="shared" si="9"/>
        <v>2.6541860057687678E-2</v>
      </c>
      <c r="O42" s="44">
        <f t="shared" si="9"/>
        <v>1.1748247351188248E-2</v>
      </c>
      <c r="P42" s="29">
        <f>AVERAGE(D42:O42)</f>
        <v>4.7693292721040732E-2</v>
      </c>
      <c r="R42" s="16"/>
      <c r="S42" s="12"/>
      <c r="T42" s="10"/>
      <c r="U42" s="11"/>
      <c r="V42" s="12"/>
      <c r="W42" s="12"/>
      <c r="X42" s="13"/>
      <c r="Y42" s="2"/>
      <c r="Z42" s="2"/>
      <c r="AA42" s="14"/>
      <c r="AB42" s="2"/>
    </row>
    <row r="43" spans="1:28" s="1" customFormat="1">
      <c r="A43" t="str">
        <f t="shared" si="6"/>
        <v>Monthly_Inputs.Real_PerCapita_Inc_Wgtby_EmpPop_Ratio</v>
      </c>
      <c r="B43" s="72">
        <f t="shared" si="5"/>
        <v>2.2062176858550154E-2</v>
      </c>
      <c r="C43" t="str">
        <f t="shared" si="7"/>
        <v>Monthly_Inputs.Real_PerCapita_Inc_Wgtby_EmpPop_Ratio</v>
      </c>
      <c r="D43" s="190">
        <f ca="1">D12*'est. employment'!$H15</f>
        <v>13.721701483864827</v>
      </c>
      <c r="E43" s="190">
        <f ca="1">E12*'est. employment'!$H16</f>
        <v>13.744412714002214</v>
      </c>
      <c r="F43" s="190">
        <f ca="1">F12*'est. employment'!$H16</f>
        <v>13.780315713741849</v>
      </c>
      <c r="G43" s="190">
        <f ca="1">G12*'est. employment'!$J$18</f>
        <v>13.883533805045843</v>
      </c>
      <c r="H43" s="190">
        <f ca="1">H12*'est. employment'!$L$19</f>
        <v>13.90101689855949</v>
      </c>
      <c r="I43" s="190">
        <f ca="1">I12*'est. employment'!$N$20</f>
        <v>13.91370873169457</v>
      </c>
      <c r="J43" s="44">
        <f t="shared" ref="J43:O43" si="10">J12</f>
        <v>13.941467306014344</v>
      </c>
      <c r="K43" s="44">
        <f t="shared" si="10"/>
        <v>13.970543086740014</v>
      </c>
      <c r="L43" s="44">
        <f t="shared" si="10"/>
        <v>13.999989725968378</v>
      </c>
      <c r="M43" s="44">
        <f t="shared" si="10"/>
        <v>14.037195789240466</v>
      </c>
      <c r="N43" s="44">
        <f t="shared" si="10"/>
        <v>14.054894708758107</v>
      </c>
      <c r="O43" s="44">
        <f t="shared" si="10"/>
        <v>14.070517074333614</v>
      </c>
      <c r="P43" s="3"/>
      <c r="Q43" s="15"/>
      <c r="R43" s="16"/>
      <c r="S43" s="12"/>
      <c r="T43" s="10"/>
      <c r="U43" s="11"/>
      <c r="V43" s="12"/>
      <c r="W43" s="12"/>
      <c r="X43" s="13"/>
      <c r="Y43" s="2"/>
      <c r="Z43" s="2"/>
      <c r="AA43" s="14"/>
      <c r="AB43" s="2"/>
    </row>
    <row r="44" spans="1:28" s="1" customFormat="1">
      <c r="A44" t="str">
        <f t="shared" si="6"/>
        <v>Binary.March_2003</v>
      </c>
      <c r="B44" s="72">
        <f t="shared" si="5"/>
        <v>9.8040700862934496E-2</v>
      </c>
      <c r="C44" t="str">
        <f t="shared" si="7"/>
        <v>Binary.March_2003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28"/>
      <c r="Q44" s="15"/>
      <c r="R44" s="16"/>
      <c r="S44" s="12"/>
      <c r="T44" s="10"/>
      <c r="U44" s="11"/>
      <c r="V44" s="12"/>
      <c r="W44" s="12"/>
      <c r="X44" s="13"/>
      <c r="Y44" s="2"/>
      <c r="Z44" s="2"/>
      <c r="AA44" s="14"/>
      <c r="AB44" s="2"/>
    </row>
    <row r="45" spans="1:28" s="1" customFormat="1">
      <c r="A45" t="str">
        <f t="shared" si="6"/>
        <v>Binary.February</v>
      </c>
      <c r="B45" s="72">
        <f t="shared" si="5"/>
        <v>-0.14680895291551435</v>
      </c>
      <c r="C45" t="str">
        <f t="shared" si="7"/>
        <v>Binary.February</v>
      </c>
      <c r="D45" s="4">
        <v>0</v>
      </c>
      <c r="E45" s="55">
        <v>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28"/>
      <c r="Q45" s="15"/>
      <c r="R45" s="16"/>
      <c r="S45" s="12"/>
      <c r="T45" s="10"/>
      <c r="U45" s="11"/>
      <c r="V45" s="12"/>
      <c r="W45" s="12"/>
      <c r="X45" s="13"/>
      <c r="Y45" s="2"/>
      <c r="Z45" s="2"/>
      <c r="AA45" s="14"/>
      <c r="AB45" s="2"/>
    </row>
    <row r="46" spans="1:28" s="1" customFormat="1">
      <c r="A46" t="str">
        <f t="shared" si="6"/>
        <v>Binary.April</v>
      </c>
      <c r="B46" s="72">
        <f t="shared" si="5"/>
        <v>-3.6304981975131996E-2</v>
      </c>
      <c r="C46" t="str">
        <f t="shared" si="7"/>
        <v>Binary.April</v>
      </c>
      <c r="D46" s="247">
        <f t="shared" ref="D46:O46" si="11">+D15</f>
        <v>0</v>
      </c>
      <c r="E46" s="247">
        <f t="shared" si="11"/>
        <v>0</v>
      </c>
      <c r="F46" s="247">
        <f t="shared" si="11"/>
        <v>0</v>
      </c>
      <c r="G46" s="248">
        <f t="shared" si="11"/>
        <v>1</v>
      </c>
      <c r="H46" s="247">
        <f t="shared" si="11"/>
        <v>0</v>
      </c>
      <c r="I46" s="247">
        <f t="shared" si="11"/>
        <v>0</v>
      </c>
      <c r="J46" s="247">
        <f t="shared" si="11"/>
        <v>0</v>
      </c>
      <c r="K46" s="247">
        <f t="shared" si="11"/>
        <v>0</v>
      </c>
      <c r="L46" s="247">
        <f t="shared" si="11"/>
        <v>0</v>
      </c>
      <c r="M46" s="247">
        <f t="shared" si="11"/>
        <v>0</v>
      </c>
      <c r="N46" s="247">
        <f t="shared" si="11"/>
        <v>0</v>
      </c>
      <c r="O46" s="247">
        <f t="shared" si="11"/>
        <v>0</v>
      </c>
      <c r="P46" s="28"/>
      <c r="Q46" s="15"/>
      <c r="R46" s="16"/>
      <c r="S46" s="12"/>
      <c r="T46" s="10"/>
      <c r="U46" s="11"/>
      <c r="V46" s="12"/>
      <c r="W46" s="12"/>
      <c r="X46" s="13"/>
      <c r="Y46" s="2"/>
      <c r="Z46" s="2"/>
      <c r="AA46" s="14"/>
      <c r="AB46" s="2"/>
    </row>
    <row r="47" spans="1:28" s="1" customFormat="1">
      <c r="A47" t="str">
        <f t="shared" si="6"/>
        <v>Binary.June</v>
      </c>
      <c r="B47" s="72">
        <f t="shared" si="5"/>
        <v>-5.4592407450387181E-2</v>
      </c>
      <c r="C47" t="str">
        <f t="shared" si="7"/>
        <v>Binary.June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55">
        <v>1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28"/>
      <c r="Q47" s="15"/>
      <c r="R47" s="16"/>
      <c r="S47" s="12"/>
      <c r="T47" s="10"/>
      <c r="U47" s="11"/>
      <c r="V47" s="12"/>
      <c r="W47" s="12"/>
      <c r="X47" s="13"/>
      <c r="Y47" s="2"/>
      <c r="Z47" s="2"/>
      <c r="AA47" s="14"/>
      <c r="AB47" s="2"/>
    </row>
    <row r="48" spans="1:28" s="1" customFormat="1">
      <c r="A48" t="str">
        <f t="shared" si="6"/>
        <v>Binary.September</v>
      </c>
      <c r="B48" s="72">
        <f t="shared" si="5"/>
        <v>-5.1858489753623678E-2</v>
      </c>
      <c r="C48" t="str">
        <f t="shared" si="7"/>
        <v>Binary.September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55">
        <v>1</v>
      </c>
      <c r="M48" s="4">
        <v>0</v>
      </c>
      <c r="N48" s="4">
        <v>0</v>
      </c>
      <c r="O48" s="4">
        <v>0</v>
      </c>
      <c r="P48" s="28"/>
      <c r="Q48" s="15"/>
      <c r="R48" s="16"/>
      <c r="S48" s="12"/>
      <c r="T48" s="10"/>
      <c r="U48" s="11"/>
      <c r="V48" s="12"/>
      <c r="W48" s="12"/>
      <c r="X48" s="13"/>
      <c r="Y48" s="2"/>
      <c r="Z48" s="2"/>
      <c r="AA48" s="14"/>
      <c r="AB48" s="2"/>
    </row>
    <row r="49" spans="1:28" s="1" customFormat="1">
      <c r="A49" t="str">
        <f t="shared" si="6"/>
        <v>Binary.May_2004</v>
      </c>
      <c r="B49" s="72">
        <f t="shared" si="5"/>
        <v>0.11149920037514183</v>
      </c>
      <c r="C49" t="str">
        <f t="shared" si="7"/>
        <v>Binary.May_2004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28"/>
      <c r="Q49" s="15"/>
      <c r="R49" s="16"/>
      <c r="S49" s="12"/>
      <c r="T49" s="10"/>
      <c r="U49" s="11"/>
      <c r="V49" s="12"/>
      <c r="W49" s="12"/>
      <c r="X49" s="13"/>
      <c r="Y49" s="2"/>
      <c r="Z49" s="2"/>
      <c r="AA49" s="14"/>
      <c r="AB49" s="2"/>
    </row>
    <row r="50" spans="1:28" s="1" customFormat="1">
      <c r="A50" t="str">
        <f t="shared" si="6"/>
        <v>Binary.November</v>
      </c>
      <c r="B50" s="72">
        <f t="shared" si="5"/>
        <v>-5.6538730487937831E-2</v>
      </c>
      <c r="C50" t="str">
        <f t="shared" si="7"/>
        <v>Binary.November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55">
        <v>1</v>
      </c>
      <c r="O50" s="4">
        <v>0</v>
      </c>
      <c r="P50" s="28"/>
      <c r="Q50" s="15"/>
      <c r="R50" s="16"/>
      <c r="S50" s="12"/>
      <c r="T50" s="10"/>
      <c r="U50" s="11"/>
      <c r="V50" s="12"/>
      <c r="W50" s="12"/>
      <c r="X50" s="13"/>
      <c r="Y50" s="2"/>
      <c r="Z50" s="2"/>
      <c r="AA50" s="14"/>
      <c r="AB50" s="2"/>
    </row>
    <row r="51" spans="1:28" s="1" customFormat="1">
      <c r="A51" t="str">
        <f t="shared" si="6"/>
        <v>Binary.November_2005</v>
      </c>
      <c r="B51" s="72">
        <f t="shared" si="5"/>
        <v>0.10606078306781035</v>
      </c>
      <c r="C51" t="str">
        <f t="shared" si="7"/>
        <v>Binary.November_2005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28"/>
      <c r="Q51" s="15"/>
      <c r="R51" s="16"/>
      <c r="S51" s="12"/>
      <c r="T51" s="10"/>
      <c r="U51" s="11"/>
      <c r="V51" s="12"/>
      <c r="W51" s="12"/>
      <c r="X51" s="13"/>
      <c r="Y51" s="2"/>
      <c r="Z51" s="2"/>
      <c r="AA51" s="14"/>
      <c r="AB51" s="2"/>
    </row>
    <row r="52" spans="1:28" s="202" customFormat="1">
      <c r="A52" s="192" t="str">
        <f t="shared" si="6"/>
        <v>Economics.CPI_Energy</v>
      </c>
      <c r="B52" s="193">
        <f t="shared" si="5"/>
        <v>-3.7732034739855242E-4</v>
      </c>
      <c r="C52" s="192" t="str">
        <f t="shared" si="7"/>
        <v>Economics.CPI_Energy</v>
      </c>
      <c r="D52" s="446">
        <f ca="1">'Actual CPI for Energy'!$F$51</f>
        <v>244.46957451646017</v>
      </c>
      <c r="E52" s="446">
        <f ca="1">'Actual CPI for Energy'!$F$52</f>
        <v>244.25634739101301</v>
      </c>
      <c r="F52" s="446">
        <f ca="1">'Actual CPI for Energy'!$F$53</f>
        <v>244.42175969048748</v>
      </c>
      <c r="G52" s="446">
        <f ca="1">'Actual CPI for Energy'!$F$54</f>
        <v>242.96652943152617</v>
      </c>
      <c r="H52" s="446">
        <f ca="1">+'Actual CPI for Energy'!F55</f>
        <v>245.12302218385372</v>
      </c>
      <c r="I52" s="147">
        <f ca="1">+'Actual CPI for Energy'!F56</f>
        <v>247.11975356300508</v>
      </c>
      <c r="J52" s="32">
        <f t="shared" ref="J52:O52" si="12">+J21</f>
        <v>247.40364716353599</v>
      </c>
      <c r="K52" s="32">
        <f t="shared" si="12"/>
        <v>248.94396377162499</v>
      </c>
      <c r="L52" s="32">
        <f t="shared" si="12"/>
        <v>249.92548906483898</v>
      </c>
      <c r="M52" s="32">
        <f t="shared" si="12"/>
        <v>251.27380377479201</v>
      </c>
      <c r="N52" s="32">
        <f t="shared" si="12"/>
        <v>252.01545908330897</v>
      </c>
      <c r="O52" s="32">
        <f t="shared" si="12"/>
        <v>252.758737141898</v>
      </c>
      <c r="P52" s="194"/>
      <c r="Q52" s="195"/>
      <c r="R52" s="196"/>
      <c r="S52" s="197"/>
      <c r="T52" s="197"/>
      <c r="U52" s="198"/>
      <c r="V52" s="197"/>
      <c r="W52" s="197"/>
      <c r="X52" s="199"/>
      <c r="Y52" s="200"/>
      <c r="Z52" s="200"/>
      <c r="AA52" s="201"/>
      <c r="AB52" s="200"/>
    </row>
    <row r="53" spans="1:28" s="1" customFormat="1">
      <c r="A53" t="str">
        <f t="shared" si="6"/>
        <v>AR(1)</v>
      </c>
      <c r="B53" s="72">
        <f t="shared" si="5"/>
        <v>0.32325220069960209</v>
      </c>
      <c r="C53" t="str">
        <f t="shared" si="7"/>
        <v>AR(1)</v>
      </c>
      <c r="D53" s="211">
        <f>+D22</f>
        <v>-2.5390247235801398E-6</v>
      </c>
      <c r="E53" s="211">
        <f t="shared" ref="E53:O53" si="13">+E22</f>
        <v>-8.2074532947728997E-7</v>
      </c>
      <c r="F53" s="211">
        <f t="shared" si="13"/>
        <v>-2.6530773378219402E-7</v>
      </c>
      <c r="G53" s="211">
        <f t="shared" si="13"/>
        <v>-8.5761308943332906E-8</v>
      </c>
      <c r="H53" s="211">
        <f t="shared" si="13"/>
        <v>-2.77225313816132E-8</v>
      </c>
      <c r="I53" s="211">
        <f t="shared" si="13"/>
        <v>-8.9613689802092705E-9</v>
      </c>
      <c r="J53" s="211">
        <f t="shared" si="13"/>
        <v>-2.8967828136217101E-9</v>
      </c>
      <c r="K53" s="211">
        <f t="shared" si="13"/>
        <v>-9.3639096476749707E-10</v>
      </c>
      <c r="L53" s="211">
        <f t="shared" si="13"/>
        <v>-3.0269031725538298E-10</v>
      </c>
      <c r="M53" s="211">
        <f t="shared" si="13"/>
        <v>-9.7845287427844596E-11</v>
      </c>
      <c r="N53" s="211">
        <f t="shared" si="13"/>
        <v>-3.1628699659336202E-11</v>
      </c>
      <c r="O53" s="211">
        <f t="shared" si="13"/>
        <v>-1.02235997445632E-11</v>
      </c>
      <c r="P53" s="28"/>
      <c r="Q53" s="15"/>
      <c r="R53" s="16"/>
      <c r="S53" s="12"/>
      <c r="T53" s="10"/>
      <c r="U53" s="11"/>
      <c r="V53" s="12"/>
      <c r="W53" s="12"/>
      <c r="X53" s="13"/>
      <c r="Y53" s="2"/>
      <c r="Z53" s="2"/>
      <c r="AA53" s="14"/>
      <c r="AB53" s="2"/>
    </row>
    <row r="54" spans="1:28" s="65" customFormat="1">
      <c r="A54" s="56"/>
      <c r="B54" s="73"/>
      <c r="C54" s="169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74"/>
      <c r="Q54" s="58"/>
      <c r="R54" s="58"/>
      <c r="S54" s="59"/>
      <c r="T54" s="60"/>
      <c r="U54" s="61"/>
      <c r="V54" s="59"/>
      <c r="W54" s="59"/>
      <c r="X54" s="62"/>
      <c r="Y54" s="63"/>
      <c r="Z54" s="63"/>
      <c r="AA54" s="64"/>
      <c r="AB54" s="63"/>
    </row>
    <row r="55" spans="1:28" s="2" customFormat="1">
      <c r="A55" s="5"/>
      <c r="B55" s="35">
        <v>1</v>
      </c>
      <c r="C55" s="77" t="s">
        <v>50</v>
      </c>
      <c r="D55" s="47">
        <f>+'[23]Inactive Meters (Mon to Mon Gr)'!$D$10</f>
        <v>4560015</v>
      </c>
      <c r="E55" s="47">
        <f>+'[20]System - Monthly'!$I$570</f>
        <v>4565707</v>
      </c>
      <c r="F55" s="47">
        <f>+'[20]System - Monthly'!$I$571</f>
        <v>4573930</v>
      </c>
      <c r="G55" s="47">
        <f>+'[20]System - Monthly'!$I$572</f>
        <v>4577038</v>
      </c>
      <c r="H55" s="47">
        <f>+'[20]System - Monthly'!$I$573</f>
        <v>4576751</v>
      </c>
      <c r="I55" s="47">
        <f>+'[20]System - Monthly'!$I$574</f>
        <v>4575347</v>
      </c>
      <c r="J55" s="47"/>
      <c r="K55" s="47"/>
      <c r="L55" s="47"/>
      <c r="M55"/>
      <c r="N55" s="3"/>
      <c r="O55" s="3"/>
      <c r="P55" s="69">
        <f>AVERAGE(D55:O55)</f>
        <v>4571464.666666667</v>
      </c>
      <c r="Q55" s="17"/>
      <c r="R55" s="17"/>
      <c r="T55" s="39"/>
      <c r="U55" s="11"/>
      <c r="X55" s="11"/>
    </row>
    <row r="56" spans="1:28" s="1" customFormat="1">
      <c r="A56"/>
      <c r="B56" s="35">
        <v>1</v>
      </c>
      <c r="C56" s="1" t="s">
        <v>42</v>
      </c>
      <c r="D56" s="31">
        <f>+D25</f>
        <v>92664.915421234982</v>
      </c>
      <c r="E56" s="31">
        <f>+E25</f>
        <v>77914.320474069318</v>
      </c>
      <c r="F56" s="31">
        <f>+F25</f>
        <v>91105.909870313975</v>
      </c>
      <c r="G56" s="31">
        <f>+G25</f>
        <v>101633.10831089987</v>
      </c>
      <c r="H56" s="31">
        <f>+H25</f>
        <v>109019.97384114325</v>
      </c>
      <c r="I56" s="31">
        <f t="shared" ref="I56:O56" si="14">+I25</f>
        <v>112560.4294476025</v>
      </c>
      <c r="J56" s="31">
        <f t="shared" si="14"/>
        <v>120906.37303005606</v>
      </c>
      <c r="K56" s="31">
        <f t="shared" si="14"/>
        <v>126724.21082284969</v>
      </c>
      <c r="L56" s="31">
        <f t="shared" si="14"/>
        <v>115619.28014007198</v>
      </c>
      <c r="M56" s="31">
        <f t="shared" si="14"/>
        <v>111650.96498780797</v>
      </c>
      <c r="N56" s="31">
        <f t="shared" si="14"/>
        <v>82661.775003980249</v>
      </c>
      <c r="O56" s="31">
        <f t="shared" si="14"/>
        <v>81715.57131305529</v>
      </c>
      <c r="P56" s="3"/>
      <c r="Q56" s="2"/>
      <c r="R56" s="2"/>
      <c r="S56" s="12"/>
      <c r="T56" s="10"/>
      <c r="U56" s="11"/>
      <c r="V56" s="12"/>
      <c r="W56" s="12"/>
      <c r="X56" s="13"/>
      <c r="Y56" s="2"/>
      <c r="Z56" s="2"/>
      <c r="AA56" s="14"/>
      <c r="AB56" s="2"/>
    </row>
    <row r="57" spans="1:28" s="1" customFormat="1">
      <c r="A57"/>
      <c r="B57" s="35">
        <v>1</v>
      </c>
      <c r="C57" s="1" t="s">
        <v>43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/>
      <c r="O57" s="4"/>
      <c r="P57" s="3"/>
      <c r="Q57" s="2"/>
      <c r="R57" s="2"/>
      <c r="S57" s="12"/>
      <c r="T57" s="10"/>
      <c r="U57" s="11"/>
      <c r="V57" s="12"/>
      <c r="W57" s="12"/>
      <c r="X57" s="13"/>
      <c r="Y57" s="2"/>
      <c r="Z57" s="2"/>
      <c r="AA57" s="14"/>
      <c r="AB57" s="2"/>
    </row>
    <row r="58" spans="1:28" s="1" customFormat="1" ht="15.75" customHeight="1">
      <c r="A58"/>
      <c r="B58" s="35">
        <v>1</v>
      </c>
      <c r="C58" s="1" t="s">
        <v>44</v>
      </c>
      <c r="D58" s="265">
        <f>D27</f>
        <v>1551.4270779131093</v>
      </c>
      <c r="E58" s="32">
        <f>E27</f>
        <v>1451.3350083703281</v>
      </c>
      <c r="F58" s="32">
        <f t="shared" ref="F58:O58" si="15">F27</f>
        <v>1551.4270779131093</v>
      </c>
      <c r="G58" s="32">
        <f t="shared" si="15"/>
        <v>1551.4270779131093</v>
      </c>
      <c r="H58" s="32">
        <f t="shared" si="15"/>
        <v>1501.3810431417187</v>
      </c>
      <c r="I58" s="32">
        <f t="shared" si="15"/>
        <v>1551.4270779131093</v>
      </c>
      <c r="J58" s="32">
        <f t="shared" si="15"/>
        <v>1501.3810431417187</v>
      </c>
      <c r="K58" s="32">
        <f t="shared" si="15"/>
        <v>1551.4270779131093</v>
      </c>
      <c r="L58" s="32">
        <f t="shared" si="15"/>
        <v>1551.4270779131093</v>
      </c>
      <c r="M58" s="32">
        <f t="shared" si="15"/>
        <v>1501.3810431417187</v>
      </c>
      <c r="N58" s="32">
        <f t="shared" si="15"/>
        <v>1551.4270779131093</v>
      </c>
      <c r="O58" s="32">
        <f t="shared" si="15"/>
        <v>1501.3810431417187</v>
      </c>
      <c r="P58" s="3"/>
      <c r="Q58" s="2"/>
      <c r="R58" s="2"/>
      <c r="S58" s="12"/>
      <c r="T58" s="10"/>
      <c r="U58" s="11"/>
      <c r="V58" s="12"/>
      <c r="W58" s="12"/>
      <c r="X58" s="13"/>
      <c r="Y58" s="2"/>
      <c r="Z58" s="2"/>
      <c r="AA58" s="14"/>
      <c r="AB58" s="2"/>
    </row>
    <row r="59" spans="1:28" s="1" customFormat="1" ht="15.75" customHeight="1">
      <c r="A59"/>
      <c r="B59" s="35"/>
      <c r="C59" t="s">
        <v>100</v>
      </c>
      <c r="D59" s="265">
        <f t="shared" ref="D59:O60" si="16">D28</f>
        <v>4752.7962238501623</v>
      </c>
      <c r="E59" s="3">
        <f t="shared" si="16"/>
        <v>4969.1967306507186</v>
      </c>
      <c r="F59" s="3">
        <f t="shared" si="16"/>
        <v>4840.6929273487303</v>
      </c>
      <c r="G59" s="3">
        <f t="shared" si="16"/>
        <v>5097.2405919030916</v>
      </c>
      <c r="H59" s="3">
        <f t="shared" si="16"/>
        <v>5953.7392412341305</v>
      </c>
      <c r="I59" s="3">
        <f t="shared" si="16"/>
        <v>6327.1860213659138</v>
      </c>
      <c r="J59" s="3">
        <f t="shared" si="16"/>
        <v>6339.2439010962353</v>
      </c>
      <c r="K59" s="3">
        <f t="shared" si="16"/>
        <v>6409.8432282800368</v>
      </c>
      <c r="L59" s="3">
        <f t="shared" si="16"/>
        <v>6152.8328336372933</v>
      </c>
      <c r="M59" s="3">
        <f t="shared" si="16"/>
        <v>5583.8272375682354</v>
      </c>
      <c r="N59" s="3">
        <f t="shared" si="16"/>
        <v>4925.3126207276509</v>
      </c>
      <c r="O59" s="3">
        <f t="shared" si="16"/>
        <v>4812.2062939844891</v>
      </c>
      <c r="P59" s="3"/>
      <c r="Q59" s="2"/>
      <c r="R59" s="2"/>
      <c r="S59" s="12"/>
      <c r="T59" s="10"/>
      <c r="U59" s="11"/>
      <c r="V59" s="12"/>
      <c r="W59" s="12"/>
      <c r="X59" s="13"/>
      <c r="Y59" s="2"/>
      <c r="Z59" s="2"/>
      <c r="AA59" s="14"/>
      <c r="AB59" s="2"/>
    </row>
    <row r="60" spans="1:28" s="1" customFormat="1" ht="15.75" customHeight="1">
      <c r="A60"/>
      <c r="B60" s="35"/>
      <c r="C60" t="s">
        <v>101</v>
      </c>
      <c r="D60" s="265">
        <f t="shared" si="16"/>
        <v>15156.075048654508</v>
      </c>
      <c r="E60" s="3">
        <f t="shared" si="16"/>
        <v>14618.845016571577</v>
      </c>
      <c r="F60" s="3">
        <f t="shared" si="16"/>
        <v>16919.525536562571</v>
      </c>
      <c r="G60" s="3">
        <f t="shared" si="16"/>
        <v>16960.661179804985</v>
      </c>
      <c r="H60" s="3">
        <f t="shared" si="16"/>
        <v>19629.952176062827</v>
      </c>
      <c r="I60" s="3">
        <f t="shared" si="16"/>
        <v>20077.610809375597</v>
      </c>
      <c r="J60" s="3">
        <f t="shared" si="16"/>
        <v>21620.295290509115</v>
      </c>
      <c r="K60" s="3">
        <f t="shared" si="16"/>
        <v>21456.524325610415</v>
      </c>
      <c r="L60" s="3">
        <f t="shared" si="16"/>
        <v>18903.26905390231</v>
      </c>
      <c r="M60" s="3">
        <f t="shared" si="16"/>
        <v>18211.893764371489</v>
      </c>
      <c r="N60" s="3">
        <f t="shared" si="16"/>
        <v>14156.668604639483</v>
      </c>
      <c r="O60" s="3">
        <f t="shared" si="16"/>
        <v>15295.335512662044</v>
      </c>
      <c r="P60" s="3"/>
      <c r="Q60" s="2"/>
      <c r="R60" s="2"/>
      <c r="S60" s="12"/>
      <c r="T60" s="10"/>
      <c r="U60" s="11"/>
      <c r="V60" s="12"/>
      <c r="W60" s="12"/>
      <c r="X60" s="13"/>
      <c r="Y60" s="2"/>
      <c r="Z60" s="2"/>
      <c r="AA60" s="14"/>
      <c r="AB60" s="2"/>
    </row>
    <row r="61" spans="1:28" s="1" customFormat="1" ht="15.75" customHeight="1">
      <c r="A61"/>
      <c r="B61" s="35"/>
      <c r="C61" s="41" t="s">
        <v>52</v>
      </c>
      <c r="D61" s="44">
        <f>(($B$6+($B$7*D38)+($B$8*D39)+($B$9*D40)+($B$10*D41)+($B$11*D42)+($B$12*D43)+($B$13*D44)+D45*$B$14+D46*$B$15+D47*$B$16+D48*$B$17+D50*$B$19+D52*$B$21))+D53</f>
        <v>1.7548538078575391</v>
      </c>
      <c r="E61" s="44">
        <f t="shared" ref="E61:O61" si="17">(($B$6+($B$7*E38)+($B$8*E39)+($B$9*E40)+($B$10*E41)+($B$11*E42)+($B$12*E43)+($B$13*E44)+E45*$B$14+E46*$B$15+E47*$B$16+E48*$B$17+E50*$B$19+E52*$B$21))+E53</f>
        <v>1.615731880957314</v>
      </c>
      <c r="F61" s="44">
        <f t="shared" si="17"/>
        <v>1.8398275444669385</v>
      </c>
      <c r="G61" s="44">
        <f t="shared" si="17"/>
        <v>1.824600437545314</v>
      </c>
      <c r="H61" s="44">
        <f t="shared" si="17"/>
        <v>2.0977314929790341</v>
      </c>
      <c r="I61" s="44">
        <f t="shared" si="17"/>
        <v>2.2153517874705178</v>
      </c>
      <c r="J61" s="44">
        <f t="shared" si="17"/>
        <v>1.4386750138334401</v>
      </c>
      <c r="K61" s="44">
        <f t="shared" si="17"/>
        <v>1.4329554006894283</v>
      </c>
      <c r="L61" s="44">
        <f t="shared" si="17"/>
        <v>1.397580199965057</v>
      </c>
      <c r="M61" s="44">
        <f t="shared" si="17"/>
        <v>1.5010960791446786</v>
      </c>
      <c r="N61" s="44">
        <f t="shared" si="17"/>
        <v>1.5021431275399997</v>
      </c>
      <c r="O61" s="44">
        <f t="shared" si="17"/>
        <v>1.5880802179361533</v>
      </c>
      <c r="P61" s="3">
        <f>SUM(D61:O61)</f>
        <v>20.208626990385412</v>
      </c>
      <c r="Q61" s="38"/>
      <c r="R61" s="2"/>
      <c r="S61" s="12"/>
      <c r="T61" s="10"/>
      <c r="U61" s="11"/>
      <c r="V61" s="12"/>
      <c r="W61" s="12"/>
      <c r="X61" s="13"/>
      <c r="Y61" s="2"/>
      <c r="Z61" s="2"/>
      <c r="AA61" s="14"/>
      <c r="AB61" s="2"/>
    </row>
    <row r="62" spans="1:28" s="1" customFormat="1" ht="15.75" customHeight="1">
      <c r="A62"/>
      <c r="B62" s="70"/>
      <c r="C62" s="46" t="s">
        <v>115</v>
      </c>
      <c r="D62" s="47">
        <v>7966538</v>
      </c>
      <c r="E62" s="47">
        <f>+'[24]NEL SUMMARY - 2012'!$B$14</f>
        <v>7695954</v>
      </c>
      <c r="F62" s="47">
        <f>+'[25]NEL SUMMARY - 2012'!$B$14</f>
        <v>8636166</v>
      </c>
      <c r="G62" s="47">
        <f>'[26]Monthly NEL Adjustments'!$B$8</f>
        <v>8505617</v>
      </c>
      <c r="H62" s="47">
        <v>9888776</v>
      </c>
      <c r="I62" s="47">
        <v>10236690</v>
      </c>
      <c r="J62" s="186"/>
      <c r="K62" s="186"/>
      <c r="L62" s="186"/>
      <c r="M62" s="23"/>
      <c r="N62" s="3"/>
      <c r="O62" s="3"/>
      <c r="P62" s="3">
        <f>SUM(D62:O62)</f>
        <v>52929741</v>
      </c>
      <c r="Q62" s="2"/>
      <c r="R62" s="2"/>
      <c r="S62" s="12"/>
      <c r="T62" s="10"/>
      <c r="U62" s="11"/>
      <c r="V62" s="12"/>
      <c r="W62" s="12"/>
      <c r="X62" s="13"/>
      <c r="Y62" s="2"/>
      <c r="Z62" s="2"/>
      <c r="AA62" s="14"/>
      <c r="AB62" s="2"/>
    </row>
    <row r="63" spans="1:28" s="1" customFormat="1" ht="15.75" customHeight="1">
      <c r="A63"/>
      <c r="B63" s="70"/>
      <c r="C63" s="177" t="s">
        <v>76</v>
      </c>
      <c r="D63" s="47"/>
      <c r="E63" s="47"/>
      <c r="F63" s="47"/>
      <c r="G63" s="47"/>
      <c r="H63" s="47"/>
      <c r="I63" s="47"/>
      <c r="J63" s="47"/>
      <c r="K63" s="23"/>
      <c r="L63" s="23"/>
      <c r="M63" s="23"/>
      <c r="N63" s="3"/>
      <c r="O63" s="3"/>
      <c r="P63" s="3"/>
      <c r="Q63" s="2"/>
      <c r="R63" s="2"/>
      <c r="S63" s="12"/>
      <c r="T63" s="10"/>
      <c r="U63" s="11"/>
      <c r="V63" s="12"/>
      <c r="W63" s="12"/>
      <c r="X63" s="13"/>
      <c r="Y63" s="2"/>
      <c r="Z63" s="2"/>
      <c r="AA63" s="14"/>
      <c r="AB63" s="2"/>
    </row>
    <row r="64" spans="1:28" s="1" customFormat="1" ht="15.75" customHeight="1">
      <c r="A64"/>
      <c r="B64" s="70"/>
      <c r="C64" s="1" t="s">
        <v>21</v>
      </c>
      <c r="D64" s="78">
        <f>(D61*D55)+SUM(D56:D60)</f>
        <v>8116284.9004091481</v>
      </c>
      <c r="E64" s="78">
        <f>(E61*E55)+SUM(E56:E60)</f>
        <v>7475912.0562396375</v>
      </c>
      <c r="F64" s="78">
        <f t="shared" ref="F64:O64" si="18">(F61*F55)+SUM(F56:F60)</f>
        <v>8529659.9558758028</v>
      </c>
      <c r="G64" s="78">
        <f t="shared" si="18"/>
        <v>8476507.9746220503</v>
      </c>
      <c r="H64" s="78">
        <f t="shared" si="18"/>
        <v>9736899.7545248698</v>
      </c>
      <c r="I64" s="78">
        <f t="shared" si="18"/>
        <v>10276519.80810413</v>
      </c>
      <c r="J64" s="78">
        <f t="shared" si="18"/>
        <v>150367.29326480313</v>
      </c>
      <c r="K64" s="78">
        <f t="shared" si="18"/>
        <v>156142.00545465323</v>
      </c>
      <c r="L64" s="78">
        <f t="shared" si="18"/>
        <v>142226.80910552468</v>
      </c>
      <c r="M64" s="78">
        <f t="shared" si="18"/>
        <v>136948.0670328894</v>
      </c>
      <c r="N64" s="78">
        <f t="shared" si="18"/>
        <v>103295.18330726048</v>
      </c>
      <c r="O64" s="78">
        <f t="shared" si="18"/>
        <v>103324.49416284355</v>
      </c>
      <c r="P64" s="47">
        <f>SUM(D64:O64)</f>
        <v>53404088.302103609</v>
      </c>
      <c r="Q64" s="30"/>
      <c r="R64" s="2"/>
      <c r="S64" s="12"/>
      <c r="T64" s="10"/>
      <c r="U64" s="11"/>
      <c r="V64" s="12"/>
      <c r="W64" s="12"/>
      <c r="X64" s="13"/>
      <c r="Y64" s="2"/>
      <c r="Z64" s="2"/>
      <c r="AA64" s="14"/>
      <c r="AB64" s="2"/>
    </row>
    <row r="65" spans="1:28" s="1" customFormat="1" ht="15.75" customHeight="1">
      <c r="A65"/>
      <c r="B65" s="70"/>
      <c r="Q65" s="2"/>
      <c r="S65" s="12"/>
      <c r="T65" s="10"/>
      <c r="U65" s="11"/>
      <c r="V65" s="12"/>
      <c r="W65" s="12"/>
      <c r="X65" s="13"/>
      <c r="Y65" s="2"/>
      <c r="Z65" s="2"/>
      <c r="AA65" s="14"/>
      <c r="AB65" s="2"/>
    </row>
    <row r="66" spans="1:28">
      <c r="C66" s="1" t="s">
        <v>62</v>
      </c>
      <c r="D66" s="3">
        <f>+D62-D64</f>
        <v>-149746.90040914807</v>
      </c>
      <c r="E66" s="3">
        <f t="shared" ref="E66:O66" si="19">+E62-E64</f>
        <v>220041.94376036245</v>
      </c>
      <c r="F66" s="3">
        <f t="shared" si="19"/>
        <v>106506.04412419721</v>
      </c>
      <c r="G66" s="3">
        <f t="shared" si="19"/>
        <v>29109.0253779497</v>
      </c>
      <c r="H66" s="3">
        <f t="shared" si="19"/>
        <v>151876.24547513016</v>
      </c>
      <c r="I66" s="3">
        <f t="shared" si="19"/>
        <v>-39829.808104129508</v>
      </c>
      <c r="J66" s="3">
        <f t="shared" si="19"/>
        <v>-150367.29326480313</v>
      </c>
      <c r="K66" s="3">
        <f t="shared" si="19"/>
        <v>-156142.00545465323</v>
      </c>
      <c r="L66" s="3">
        <f t="shared" si="19"/>
        <v>-142226.80910552468</v>
      </c>
      <c r="M66" s="3">
        <f t="shared" si="19"/>
        <v>-136948.0670328894</v>
      </c>
      <c r="N66" s="3">
        <f t="shared" si="19"/>
        <v>-103295.18330726048</v>
      </c>
      <c r="O66" s="3">
        <f t="shared" si="19"/>
        <v>-103324.49416284355</v>
      </c>
      <c r="P66" s="3">
        <f>SUM(D66:O66)</f>
        <v>-474347.30210361257</v>
      </c>
    </row>
    <row r="67" spans="1:28">
      <c r="C67" s="20" t="s">
        <v>38</v>
      </c>
      <c r="D67" s="266">
        <f t="shared" ref="D67:O67" si="20">(D55/D24)-1</f>
        <v>7.8101210854164549E-6</v>
      </c>
      <c r="E67" s="266">
        <f t="shared" si="20"/>
        <v>5.1599294070836521E-6</v>
      </c>
      <c r="F67" s="33">
        <f t="shared" si="20"/>
        <v>4.0883267350277919E-4</v>
      </c>
      <c r="G67" s="33">
        <f t="shared" si="20"/>
        <v>3.2221169911461622E-4</v>
      </c>
      <c r="H67" s="33">
        <f t="shared" si="20"/>
        <v>-4.4587222260972226E-6</v>
      </c>
      <c r="I67" s="33">
        <f t="shared" si="20"/>
        <v>-5.6906248225130351E-4</v>
      </c>
      <c r="J67" s="33">
        <f t="shared" si="20"/>
        <v>-1</v>
      </c>
      <c r="K67" s="33">
        <f t="shared" si="20"/>
        <v>-1</v>
      </c>
      <c r="L67" s="33">
        <f t="shared" si="20"/>
        <v>-1</v>
      </c>
      <c r="M67" s="33">
        <f t="shared" si="20"/>
        <v>-1</v>
      </c>
      <c r="N67" s="33">
        <f t="shared" si="20"/>
        <v>-1</v>
      </c>
      <c r="O67" s="33">
        <f t="shared" si="20"/>
        <v>-1</v>
      </c>
    </row>
    <row r="68" spans="1:28">
      <c r="G68" s="172"/>
      <c r="H68" s="130"/>
    </row>
    <row r="70" spans="1:28" s="48" customFormat="1" ht="12">
      <c r="B70" s="55"/>
      <c r="C70" s="48" t="s">
        <v>17</v>
      </c>
      <c r="D70" s="55" t="s">
        <v>0</v>
      </c>
      <c r="E70" s="55" t="s">
        <v>1</v>
      </c>
      <c r="F70" s="55" t="s">
        <v>2</v>
      </c>
      <c r="G70" s="55" t="s">
        <v>3</v>
      </c>
      <c r="H70" s="55" t="s">
        <v>4</v>
      </c>
      <c r="I70" s="55" t="s">
        <v>5</v>
      </c>
      <c r="J70" s="55" t="s">
        <v>6</v>
      </c>
      <c r="K70" s="55" t="s">
        <v>7</v>
      </c>
      <c r="L70" s="55" t="s">
        <v>8</v>
      </c>
      <c r="M70" s="55" t="s">
        <v>9</v>
      </c>
      <c r="N70" s="55" t="s">
        <v>10</v>
      </c>
      <c r="O70" s="55" t="s">
        <v>11</v>
      </c>
      <c r="P70" s="55" t="s">
        <v>23</v>
      </c>
    </row>
    <row r="71" spans="1:28">
      <c r="C71" s="79" t="s">
        <v>119</v>
      </c>
      <c r="D71" s="47">
        <f>+D31</f>
        <v>8281179.6600454058</v>
      </c>
      <c r="E71" s="47">
        <f t="shared" ref="E71:O71" si="21">+E31</f>
        <v>7411021.7469080444</v>
      </c>
      <c r="F71" s="47">
        <f t="shared" si="21"/>
        <v>8307816.3391802236</v>
      </c>
      <c r="G71" s="47">
        <f t="shared" si="21"/>
        <v>8483674.0570355393</v>
      </c>
      <c r="H71" s="47">
        <f t="shared" si="21"/>
        <v>9791945.0242743138</v>
      </c>
      <c r="I71" s="47">
        <f t="shared" si="21"/>
        <v>10204539.220907308</v>
      </c>
      <c r="J71" s="47">
        <f t="shared" si="21"/>
        <v>11110968.618810251</v>
      </c>
      <c r="K71" s="47">
        <f t="shared" si="21"/>
        <v>11088953.027788598</v>
      </c>
      <c r="L71" s="47">
        <f t="shared" si="21"/>
        <v>10281835.835194141</v>
      </c>
      <c r="M71" s="47">
        <f t="shared" si="21"/>
        <v>9662477.6624148861</v>
      </c>
      <c r="N71" s="47">
        <f t="shared" si="21"/>
        <v>8079383.8258087113</v>
      </c>
      <c r="O71" s="47">
        <f t="shared" si="21"/>
        <v>8317093.7670826232</v>
      </c>
      <c r="P71" s="47">
        <f>SUM(D71:O71)</f>
        <v>111020888.78545003</v>
      </c>
    </row>
    <row r="72" spans="1:28">
      <c r="C72" t="str">
        <f>+C7</f>
        <v>Weather.Cal_HDD_based_on_45_degrees</v>
      </c>
      <c r="D72" s="86">
        <f t="shared" ref="D72:E77" si="22">+((D38-D7)*$B38)*D$24</f>
        <v>-37839.523112773422</v>
      </c>
      <c r="E72" s="86">
        <f t="shared" si="22"/>
        <v>0</v>
      </c>
      <c r="F72" s="86">
        <f t="shared" ref="F72:O72" si="23">+((F38-F7)*$B38)*F$24</f>
        <v>0</v>
      </c>
      <c r="G72" s="86">
        <f t="shared" si="23"/>
        <v>0</v>
      </c>
      <c r="H72" s="86">
        <f t="shared" si="23"/>
        <v>0</v>
      </c>
      <c r="I72" s="86">
        <f t="shared" si="23"/>
        <v>0</v>
      </c>
      <c r="J72" s="3">
        <f t="shared" si="23"/>
        <v>0</v>
      </c>
      <c r="K72" s="3">
        <f t="shared" si="23"/>
        <v>0</v>
      </c>
      <c r="L72" s="3">
        <f t="shared" si="23"/>
        <v>0</v>
      </c>
      <c r="M72" s="3">
        <f t="shared" si="23"/>
        <v>0</v>
      </c>
      <c r="N72" s="3">
        <f t="shared" si="23"/>
        <v>0</v>
      </c>
      <c r="O72" s="3">
        <f t="shared" si="23"/>
        <v>-14052.511740160837</v>
      </c>
    </row>
    <row r="73" spans="1:28">
      <c r="C73" t="str">
        <f>+C8</f>
        <v>Weather.CDH_Calendar</v>
      </c>
      <c r="D73" s="86">
        <f t="shared" si="22"/>
        <v>25037.890580696949</v>
      </c>
      <c r="E73" s="86">
        <f t="shared" si="22"/>
        <v>238254.07217452984</v>
      </c>
      <c r="F73" s="86">
        <f t="shared" ref="F73:O73" si="24">+((F39-F8)*$B39)*F$24</f>
        <v>329534.09989355039</v>
      </c>
      <c r="G73" s="86">
        <f t="shared" si="24"/>
        <v>-42307.734151500226</v>
      </c>
      <c r="H73" s="86">
        <f t="shared" si="24"/>
        <v>-76027.873541747555</v>
      </c>
      <c r="I73" s="86">
        <f t="shared" si="24"/>
        <v>54744.862278550943</v>
      </c>
      <c r="J73" s="3">
        <f t="shared" si="24"/>
        <v>-4384160.9101485815</v>
      </c>
      <c r="K73" s="3">
        <f t="shared" si="24"/>
        <v>-4376273.0656345673</v>
      </c>
      <c r="L73" s="3">
        <f t="shared" si="24"/>
        <v>-3743212.7147952807</v>
      </c>
      <c r="M73" s="3">
        <f t="shared" si="24"/>
        <v>-2650746.2220852925</v>
      </c>
      <c r="N73" s="3">
        <f t="shared" si="24"/>
        <v>-1090703.7362465588</v>
      </c>
      <c r="O73" s="3">
        <f t="shared" si="24"/>
        <v>-529657.88326297328</v>
      </c>
    </row>
    <row r="74" spans="1:28">
      <c r="C74" t="str">
        <f>+C9</f>
        <v>Weather.Cal_Winter_HDD</v>
      </c>
      <c r="D74" s="86">
        <f t="shared" si="22"/>
        <v>-164701.0446654569</v>
      </c>
      <c r="E74" s="86">
        <f t="shared" ref="E74:O74" si="25">+((E40-E9)*$B40)*E$24</f>
        <v>-194200.11221417133</v>
      </c>
      <c r="F74" s="86">
        <f t="shared" si="25"/>
        <v>-138863.09158541265</v>
      </c>
      <c r="G74" s="86">
        <f t="shared" si="25"/>
        <v>0</v>
      </c>
      <c r="H74" s="86">
        <f t="shared" si="25"/>
        <v>0</v>
      </c>
      <c r="I74" s="86">
        <f t="shared" si="25"/>
        <v>0</v>
      </c>
      <c r="J74" s="3">
        <f t="shared" si="25"/>
        <v>0</v>
      </c>
      <c r="K74" s="3">
        <f t="shared" si="25"/>
        <v>0</v>
      </c>
      <c r="L74" s="3">
        <f t="shared" si="25"/>
        <v>0</v>
      </c>
      <c r="M74" s="3">
        <f t="shared" si="25"/>
        <v>0</v>
      </c>
      <c r="N74" s="3">
        <f t="shared" si="25"/>
        <v>0</v>
      </c>
      <c r="O74" s="3">
        <f t="shared" si="25"/>
        <v>-386283.27727648511</v>
      </c>
    </row>
    <row r="75" spans="1:28">
      <c r="C75" t="str">
        <f t="shared" ref="C75:C87" si="26">+C10</f>
        <v>Misc.Inactive_Ratio</v>
      </c>
      <c r="D75" s="86">
        <f t="shared" si="22"/>
        <v>7443.455002696177</v>
      </c>
      <c r="E75" s="86">
        <f t="shared" ref="E75:O75" si="27">+((E41-E10)*$B41)*E$24</f>
        <v>17113.121035998884</v>
      </c>
      <c r="F75" s="86">
        <f t="shared" si="27"/>
        <v>24462.952470335073</v>
      </c>
      <c r="G75" s="86">
        <f t="shared" si="27"/>
        <v>22161.891329409525</v>
      </c>
      <c r="H75" s="86">
        <f t="shared" si="27"/>
        <v>12412.523477483723</v>
      </c>
      <c r="I75" s="86">
        <f t="shared" si="27"/>
        <v>14676.87494856085</v>
      </c>
      <c r="J75" s="3">
        <f t="shared" si="27"/>
        <v>0</v>
      </c>
      <c r="K75" s="3">
        <f t="shared" si="27"/>
        <v>0</v>
      </c>
      <c r="L75" s="3">
        <f t="shared" si="27"/>
        <v>0</v>
      </c>
      <c r="M75" s="3">
        <f t="shared" si="27"/>
        <v>0</v>
      </c>
      <c r="N75" s="3">
        <f t="shared" si="27"/>
        <v>0</v>
      </c>
      <c r="O75" s="3">
        <f t="shared" si="27"/>
        <v>0</v>
      </c>
    </row>
    <row r="76" spans="1:28">
      <c r="C76" t="str">
        <f t="shared" si="26"/>
        <v>Misc.NEPACT_WeatSens_UPC_Normal_CDH</v>
      </c>
      <c r="D76" s="3">
        <f t="shared" si="22"/>
        <v>0</v>
      </c>
      <c r="E76" s="3">
        <f t="shared" ref="E76:O76" si="28">+((E42-E11)*$B42)*E$24</f>
        <v>0</v>
      </c>
      <c r="F76" s="3">
        <f t="shared" si="28"/>
        <v>0</v>
      </c>
      <c r="G76" s="3">
        <f t="shared" si="28"/>
        <v>0</v>
      </c>
      <c r="H76" s="3">
        <f t="shared" si="28"/>
        <v>0</v>
      </c>
      <c r="I76" s="3">
        <f t="shared" si="28"/>
        <v>0</v>
      </c>
      <c r="J76" s="3">
        <f t="shared" si="28"/>
        <v>0</v>
      </c>
      <c r="K76" s="3">
        <f t="shared" si="28"/>
        <v>0</v>
      </c>
      <c r="L76" s="3">
        <f t="shared" si="28"/>
        <v>0</v>
      </c>
      <c r="M76" s="3">
        <f t="shared" si="28"/>
        <v>0</v>
      </c>
      <c r="N76" s="3">
        <f t="shared" si="28"/>
        <v>0</v>
      </c>
      <c r="O76" s="3">
        <f t="shared" si="28"/>
        <v>0</v>
      </c>
    </row>
    <row r="77" spans="1:28">
      <c r="C77" t="str">
        <f t="shared" si="26"/>
        <v>Monthly_Inputs.Real_PerCapita_Inc_Wgtby_EmpPop_Ratio</v>
      </c>
      <c r="D77" s="3">
        <f t="shared" si="22"/>
        <v>-4688.9130261562259</v>
      </c>
      <c r="E77" s="3">
        <f t="shared" ref="E77:O77" si="29">+((E43-E12)*$B43)*E$24</f>
        <v>-4879.8235596291879</v>
      </c>
      <c r="F77" s="3">
        <f t="shared" si="29"/>
        <v>-4899.4045266646299</v>
      </c>
      <c r="G77" s="3">
        <f t="shared" si="29"/>
        <v>1921.4809036950578</v>
      </c>
      <c r="H77" s="3">
        <f t="shared" si="29"/>
        <v>799.5528605029341</v>
      </c>
      <c r="I77" s="3">
        <f t="shared" si="29"/>
        <v>-420.38993272572253</v>
      </c>
      <c r="J77" s="3">
        <f t="shared" si="29"/>
        <v>0</v>
      </c>
      <c r="K77" s="3">
        <f t="shared" si="29"/>
        <v>0</v>
      </c>
      <c r="L77" s="3">
        <f t="shared" si="29"/>
        <v>0</v>
      </c>
      <c r="M77" s="3">
        <f t="shared" si="29"/>
        <v>0</v>
      </c>
      <c r="N77" s="3">
        <f t="shared" si="29"/>
        <v>0</v>
      </c>
      <c r="O77" s="3">
        <f t="shared" si="29"/>
        <v>0</v>
      </c>
    </row>
    <row r="78" spans="1:28">
      <c r="C78" t="str">
        <f t="shared" si="26"/>
        <v>Binary.March_2003</v>
      </c>
      <c r="D78" s="3">
        <f t="shared" ref="D78:O78" si="30">+((D44-D13)*$B44)*D$24</f>
        <v>0</v>
      </c>
      <c r="E78" s="3">
        <f t="shared" si="30"/>
        <v>0</v>
      </c>
      <c r="F78" s="3">
        <f t="shared" si="30"/>
        <v>0</v>
      </c>
      <c r="G78" s="3">
        <f t="shared" si="30"/>
        <v>0</v>
      </c>
      <c r="H78" s="3">
        <f t="shared" si="30"/>
        <v>0</v>
      </c>
      <c r="I78" s="3">
        <f t="shared" si="30"/>
        <v>0</v>
      </c>
      <c r="J78" s="3">
        <f t="shared" si="30"/>
        <v>0</v>
      </c>
      <c r="K78" s="3">
        <f t="shared" si="30"/>
        <v>0</v>
      </c>
      <c r="L78" s="3">
        <f t="shared" si="30"/>
        <v>0</v>
      </c>
      <c r="M78" s="3">
        <f t="shared" si="30"/>
        <v>0</v>
      </c>
      <c r="N78" s="3">
        <f t="shared" si="30"/>
        <v>0</v>
      </c>
      <c r="O78" s="3">
        <f t="shared" si="30"/>
        <v>0</v>
      </c>
    </row>
    <row r="79" spans="1:28">
      <c r="C79" t="str">
        <f t="shared" si="26"/>
        <v>Binary.February</v>
      </c>
      <c r="D79" s="3">
        <f t="shared" ref="D79:O79" si="31">+((D45-D14)*$B45)*D$24</f>
        <v>0</v>
      </c>
      <c r="E79" s="3">
        <f t="shared" si="31"/>
        <v>0</v>
      </c>
      <c r="F79" s="3">
        <f t="shared" si="31"/>
        <v>0</v>
      </c>
      <c r="G79" s="3">
        <f t="shared" si="31"/>
        <v>0</v>
      </c>
      <c r="H79" s="3">
        <f t="shared" si="31"/>
        <v>0</v>
      </c>
      <c r="I79" s="3">
        <f t="shared" si="31"/>
        <v>0</v>
      </c>
      <c r="J79" s="3">
        <f t="shared" si="31"/>
        <v>0</v>
      </c>
      <c r="K79" s="3">
        <f t="shared" si="31"/>
        <v>0</v>
      </c>
      <c r="L79" s="3">
        <f t="shared" si="31"/>
        <v>0</v>
      </c>
      <c r="M79" s="3">
        <f t="shared" si="31"/>
        <v>0</v>
      </c>
      <c r="N79" s="3">
        <f t="shared" si="31"/>
        <v>0</v>
      </c>
      <c r="O79" s="3">
        <f t="shared" si="31"/>
        <v>0</v>
      </c>
    </row>
    <row r="80" spans="1:28">
      <c r="C80" t="str">
        <f t="shared" si="26"/>
        <v>Binary.April</v>
      </c>
      <c r="D80" s="3">
        <f t="shared" ref="D80:O80" si="32">+((D46-D15)*$B46)*D$24</f>
        <v>0</v>
      </c>
      <c r="E80" s="3">
        <f t="shared" si="32"/>
        <v>0</v>
      </c>
      <c r="F80" s="3">
        <f t="shared" si="32"/>
        <v>0</v>
      </c>
      <c r="G80" s="3">
        <f t="shared" si="32"/>
        <v>0</v>
      </c>
      <c r="H80" s="3">
        <f t="shared" si="32"/>
        <v>0</v>
      </c>
      <c r="I80" s="3">
        <f t="shared" si="32"/>
        <v>0</v>
      </c>
      <c r="J80" s="3">
        <f t="shared" si="32"/>
        <v>0</v>
      </c>
      <c r="K80" s="3">
        <f t="shared" si="32"/>
        <v>0</v>
      </c>
      <c r="L80" s="3">
        <f t="shared" si="32"/>
        <v>0</v>
      </c>
      <c r="M80" s="3">
        <f t="shared" si="32"/>
        <v>0</v>
      </c>
      <c r="N80" s="3">
        <f t="shared" si="32"/>
        <v>0</v>
      </c>
      <c r="O80" s="3">
        <f t="shared" si="32"/>
        <v>0</v>
      </c>
    </row>
    <row r="81" spans="2:15">
      <c r="C81" t="str">
        <f t="shared" si="26"/>
        <v>Binary.June</v>
      </c>
      <c r="D81" s="3">
        <f t="shared" ref="D81:O86" si="33">+((D47-D16)*$B47)*D$24</f>
        <v>0</v>
      </c>
      <c r="E81" s="3">
        <f t="shared" si="33"/>
        <v>0</v>
      </c>
      <c r="F81" s="3">
        <f t="shared" si="33"/>
        <v>0</v>
      </c>
      <c r="G81" s="3">
        <f t="shared" si="33"/>
        <v>0</v>
      </c>
      <c r="H81" s="3">
        <f t="shared" si="33"/>
        <v>0</v>
      </c>
      <c r="I81" s="3">
        <f t="shared" si="33"/>
        <v>0</v>
      </c>
      <c r="J81" s="3">
        <f t="shared" si="33"/>
        <v>0</v>
      </c>
      <c r="K81" s="3">
        <f t="shared" si="33"/>
        <v>0</v>
      </c>
      <c r="L81" s="3">
        <f t="shared" si="33"/>
        <v>0</v>
      </c>
      <c r="M81" s="3">
        <f t="shared" si="33"/>
        <v>0</v>
      </c>
      <c r="N81" s="3">
        <f t="shared" si="33"/>
        <v>0</v>
      </c>
      <c r="O81" s="3">
        <f t="shared" si="33"/>
        <v>0</v>
      </c>
    </row>
    <row r="82" spans="2:15" s="180" customFormat="1">
      <c r="B82" s="191"/>
      <c r="C82" t="str">
        <f t="shared" si="26"/>
        <v>Binary.September</v>
      </c>
      <c r="D82" s="3">
        <f t="shared" si="33"/>
        <v>0</v>
      </c>
      <c r="E82" s="3">
        <f t="shared" si="33"/>
        <v>0</v>
      </c>
      <c r="F82" s="3">
        <f t="shared" si="33"/>
        <v>0</v>
      </c>
      <c r="G82" s="3">
        <f t="shared" si="33"/>
        <v>0</v>
      </c>
      <c r="H82" s="3">
        <f t="shared" si="33"/>
        <v>0</v>
      </c>
      <c r="I82" s="3">
        <f t="shared" si="33"/>
        <v>0</v>
      </c>
      <c r="J82" s="3">
        <f t="shared" si="33"/>
        <v>0</v>
      </c>
      <c r="K82" s="3">
        <f t="shared" si="33"/>
        <v>0</v>
      </c>
      <c r="L82" s="3">
        <f t="shared" si="33"/>
        <v>0</v>
      </c>
      <c r="M82" s="3">
        <f t="shared" si="33"/>
        <v>0</v>
      </c>
      <c r="N82" s="3">
        <f t="shared" si="33"/>
        <v>0</v>
      </c>
      <c r="O82" s="3">
        <f t="shared" si="33"/>
        <v>0</v>
      </c>
    </row>
    <row r="83" spans="2:15" s="180" customFormat="1">
      <c r="B83" s="191"/>
      <c r="C83" t="str">
        <f t="shared" si="26"/>
        <v>Binary.May_2004</v>
      </c>
      <c r="D83" s="3">
        <f t="shared" si="33"/>
        <v>0</v>
      </c>
      <c r="E83" s="3">
        <f t="shared" si="33"/>
        <v>0</v>
      </c>
      <c r="F83" s="3">
        <f t="shared" si="33"/>
        <v>0</v>
      </c>
      <c r="G83" s="3">
        <f t="shared" si="33"/>
        <v>0</v>
      </c>
      <c r="H83" s="3">
        <f t="shared" si="33"/>
        <v>0</v>
      </c>
      <c r="I83" s="3">
        <f t="shared" si="33"/>
        <v>0</v>
      </c>
      <c r="J83" s="3">
        <f t="shared" si="33"/>
        <v>0</v>
      </c>
      <c r="K83" s="3">
        <f t="shared" si="33"/>
        <v>0</v>
      </c>
      <c r="L83" s="3">
        <f t="shared" si="33"/>
        <v>0</v>
      </c>
      <c r="M83" s="3">
        <f t="shared" si="33"/>
        <v>0</v>
      </c>
      <c r="N83" s="3">
        <f t="shared" si="33"/>
        <v>0</v>
      </c>
      <c r="O83" s="3">
        <f t="shared" si="33"/>
        <v>0</v>
      </c>
    </row>
    <row r="84" spans="2:15" s="180" customFormat="1">
      <c r="B84" s="191"/>
      <c r="C84" t="str">
        <f t="shared" si="26"/>
        <v>Binary.November</v>
      </c>
      <c r="D84" s="3">
        <f t="shared" si="33"/>
        <v>0</v>
      </c>
      <c r="E84" s="3">
        <f t="shared" si="33"/>
        <v>0</v>
      </c>
      <c r="F84" s="3">
        <f t="shared" si="33"/>
        <v>0</v>
      </c>
      <c r="G84" s="3">
        <f t="shared" si="33"/>
        <v>0</v>
      </c>
      <c r="H84" s="3">
        <f t="shared" si="33"/>
        <v>0</v>
      </c>
      <c r="I84" s="3">
        <f t="shared" si="33"/>
        <v>0</v>
      </c>
      <c r="J84" s="3">
        <f t="shared" si="33"/>
        <v>0</v>
      </c>
      <c r="K84" s="3">
        <f t="shared" si="33"/>
        <v>0</v>
      </c>
      <c r="L84" s="3">
        <f t="shared" si="33"/>
        <v>0</v>
      </c>
      <c r="M84" s="3">
        <f t="shared" si="33"/>
        <v>0</v>
      </c>
      <c r="N84" s="3">
        <f t="shared" si="33"/>
        <v>0</v>
      </c>
      <c r="O84" s="3">
        <f t="shared" si="33"/>
        <v>0</v>
      </c>
    </row>
    <row r="85" spans="2:15" s="180" customFormat="1">
      <c r="B85" s="191"/>
      <c r="C85" t="str">
        <f t="shared" si="26"/>
        <v>Binary.November_2005</v>
      </c>
      <c r="D85" s="3">
        <f t="shared" si="33"/>
        <v>0</v>
      </c>
      <c r="E85" s="3">
        <f t="shared" si="33"/>
        <v>0</v>
      </c>
      <c r="F85" s="3">
        <f t="shared" si="33"/>
        <v>0</v>
      </c>
      <c r="G85" s="3">
        <f t="shared" si="33"/>
        <v>0</v>
      </c>
      <c r="H85" s="3">
        <f t="shared" si="33"/>
        <v>0</v>
      </c>
      <c r="I85" s="3">
        <f t="shared" si="33"/>
        <v>0</v>
      </c>
      <c r="J85" s="3">
        <f t="shared" si="33"/>
        <v>0</v>
      </c>
      <c r="K85" s="3">
        <f t="shared" si="33"/>
        <v>0</v>
      </c>
      <c r="L85" s="3">
        <f t="shared" si="33"/>
        <v>0</v>
      </c>
      <c r="M85" s="3">
        <f t="shared" si="33"/>
        <v>0</v>
      </c>
      <c r="N85" s="3">
        <f t="shared" si="33"/>
        <v>0</v>
      </c>
      <c r="O85" s="3">
        <f t="shared" si="33"/>
        <v>0</v>
      </c>
    </row>
    <row r="86" spans="2:15" s="180" customFormat="1">
      <c r="B86" s="191"/>
      <c r="C86" t="str">
        <f t="shared" si="26"/>
        <v>Economics.CPI_Energy</v>
      </c>
      <c r="D86" s="3">
        <f t="shared" si="33"/>
        <v>288.04921780271781</v>
      </c>
      <c r="E86" s="3">
        <f t="shared" si="33"/>
        <v>-135.35969534290055</v>
      </c>
      <c r="F86" s="3">
        <f t="shared" si="33"/>
        <v>-1660.6518387463343</v>
      </c>
      <c r="G86" s="3">
        <f t="shared" si="33"/>
        <v>-2978.7067760979712</v>
      </c>
      <c r="H86" s="3">
        <f t="shared" si="33"/>
        <v>-4298.9084637943333</v>
      </c>
      <c r="I86" s="3">
        <f t="shared" si="33"/>
        <v>-3891.0494792271566</v>
      </c>
      <c r="J86" s="3">
        <f t="shared" si="33"/>
        <v>0</v>
      </c>
      <c r="K86" s="3">
        <f t="shared" si="33"/>
        <v>0</v>
      </c>
      <c r="L86" s="3">
        <f t="shared" si="33"/>
        <v>0</v>
      </c>
      <c r="M86" s="3">
        <f t="shared" si="33"/>
        <v>0</v>
      </c>
      <c r="N86" s="3">
        <f t="shared" si="33"/>
        <v>0</v>
      </c>
      <c r="O86" s="3">
        <f t="shared" si="33"/>
        <v>0</v>
      </c>
    </row>
    <row r="87" spans="2:15" s="180" customFormat="1">
      <c r="B87" s="191"/>
      <c r="C87" t="str">
        <f t="shared" si="26"/>
        <v>AR(1)</v>
      </c>
      <c r="D87" s="213">
        <f>+((D53-D22)*D$24)</f>
        <v>0</v>
      </c>
      <c r="E87" s="213">
        <f t="shared" ref="E87:O87" si="34">+((E53-E22)*E$24)</f>
        <v>0</v>
      </c>
      <c r="F87" s="213">
        <f t="shared" si="34"/>
        <v>0</v>
      </c>
      <c r="G87" s="213">
        <f t="shared" si="34"/>
        <v>0</v>
      </c>
      <c r="H87" s="213">
        <f t="shared" si="34"/>
        <v>0</v>
      </c>
      <c r="I87" s="213">
        <f t="shared" si="34"/>
        <v>0</v>
      </c>
      <c r="J87" s="213">
        <f t="shared" si="34"/>
        <v>0</v>
      </c>
      <c r="K87" s="213">
        <f t="shared" si="34"/>
        <v>0</v>
      </c>
      <c r="L87" s="213">
        <f t="shared" si="34"/>
        <v>0</v>
      </c>
      <c r="M87" s="213">
        <f t="shared" si="34"/>
        <v>0</v>
      </c>
      <c r="N87" s="213">
        <f t="shared" si="34"/>
        <v>0</v>
      </c>
      <c r="O87" s="213">
        <f t="shared" si="34"/>
        <v>0</v>
      </c>
    </row>
    <row r="88" spans="2:15" s="56" customFormat="1">
      <c r="B88" s="80"/>
      <c r="C88" s="169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</row>
    <row r="89" spans="2:15">
      <c r="C89" s="48" t="s">
        <v>12</v>
      </c>
      <c r="D89" s="3">
        <f>+D71*D67</f>
        <v>64.6770158750425</v>
      </c>
      <c r="E89" s="3">
        <f>+E71*E67</f>
        <v>38.240349048407275</v>
      </c>
      <c r="F89" s="3">
        <f t="shared" ref="F89:O89" si="35">+F71*F67</f>
        <v>3396.5067649171224</v>
      </c>
      <c r="G89" s="3">
        <f t="shared" si="35"/>
        <v>2733.5390326520105</v>
      </c>
      <c r="H89" s="3">
        <f t="shared" si="35"/>
        <v>-43.659562916453993</v>
      </c>
      <c r="I89" s="3">
        <f t="shared" si="35"/>
        <v>-5807.0204192802958</v>
      </c>
      <c r="J89" s="3">
        <f>+J71*J67</f>
        <v>-11110968.618810251</v>
      </c>
      <c r="K89" s="3">
        <f t="shared" si="35"/>
        <v>-11088953.027788598</v>
      </c>
      <c r="L89" s="3">
        <f t="shared" si="35"/>
        <v>-10281835.835194141</v>
      </c>
      <c r="M89" s="3">
        <f t="shared" si="35"/>
        <v>-9662477.6624148861</v>
      </c>
      <c r="N89" s="3">
        <f t="shared" si="35"/>
        <v>-8079383.8258087113</v>
      </c>
      <c r="O89" s="3">
        <f t="shared" si="35"/>
        <v>-8317093.7670826232</v>
      </c>
    </row>
    <row r="90" spans="2:15">
      <c r="C90" s="1" t="s">
        <v>42</v>
      </c>
      <c r="D90" s="3">
        <f t="shared" ref="D90:M90" si="36">+((D56-D25)*$B56)*D$24</f>
        <v>0</v>
      </c>
      <c r="E90" s="3">
        <f t="shared" si="36"/>
        <v>0</v>
      </c>
      <c r="F90" s="3">
        <f t="shared" si="36"/>
        <v>0</v>
      </c>
      <c r="G90" s="3">
        <f t="shared" si="36"/>
        <v>0</v>
      </c>
      <c r="H90" s="3">
        <f t="shared" si="36"/>
        <v>0</v>
      </c>
      <c r="I90" s="3">
        <f t="shared" si="36"/>
        <v>0</v>
      </c>
      <c r="J90" s="3">
        <f t="shared" si="36"/>
        <v>0</v>
      </c>
      <c r="K90" s="3">
        <f t="shared" si="36"/>
        <v>0</v>
      </c>
      <c r="L90" s="3">
        <f t="shared" si="36"/>
        <v>0</v>
      </c>
      <c r="M90" s="3">
        <f t="shared" si="36"/>
        <v>0</v>
      </c>
      <c r="N90" s="3"/>
      <c r="O90" s="3"/>
    </row>
    <row r="91" spans="2:15">
      <c r="C91" s="1" t="s">
        <v>43</v>
      </c>
      <c r="D91" s="3">
        <f t="shared" ref="D91:M91" si="37">+((D57-D26)*$B57)*D$24</f>
        <v>0</v>
      </c>
      <c r="E91" s="3">
        <f t="shared" si="37"/>
        <v>0</v>
      </c>
      <c r="F91" s="3">
        <f t="shared" si="37"/>
        <v>0</v>
      </c>
      <c r="G91" s="3">
        <f t="shared" si="37"/>
        <v>0</v>
      </c>
      <c r="H91" s="3">
        <f t="shared" si="37"/>
        <v>0</v>
      </c>
      <c r="I91" s="3">
        <f t="shared" si="37"/>
        <v>0</v>
      </c>
      <c r="J91" s="3">
        <f t="shared" si="37"/>
        <v>0</v>
      </c>
      <c r="K91" s="3">
        <f t="shared" si="37"/>
        <v>0</v>
      </c>
      <c r="L91" s="3">
        <f t="shared" si="37"/>
        <v>0</v>
      </c>
      <c r="M91" s="3">
        <f t="shared" si="37"/>
        <v>0</v>
      </c>
      <c r="N91" s="3"/>
    </row>
    <row r="92" spans="2:15">
      <c r="C92" s="1" t="s">
        <v>44</v>
      </c>
      <c r="D92" s="3">
        <f t="shared" ref="D92:M92" si="38">+((D58-D27)*$B58)*D$24</f>
        <v>0</v>
      </c>
      <c r="E92" s="3">
        <f t="shared" si="38"/>
        <v>0</v>
      </c>
      <c r="F92" s="3">
        <f t="shared" si="38"/>
        <v>0</v>
      </c>
      <c r="G92" s="3">
        <f t="shared" si="38"/>
        <v>0</v>
      </c>
      <c r="H92" s="3">
        <f t="shared" si="38"/>
        <v>0</v>
      </c>
      <c r="I92" s="3">
        <f t="shared" si="38"/>
        <v>0</v>
      </c>
      <c r="J92" s="3">
        <f t="shared" si="38"/>
        <v>0</v>
      </c>
      <c r="K92" s="3">
        <f t="shared" si="38"/>
        <v>0</v>
      </c>
      <c r="L92" s="3">
        <f t="shared" si="38"/>
        <v>0</v>
      </c>
      <c r="M92" s="3">
        <f t="shared" si="38"/>
        <v>0</v>
      </c>
      <c r="N92" s="3"/>
    </row>
    <row r="93" spans="2:15">
      <c r="C93" s="1" t="s">
        <v>37</v>
      </c>
      <c r="D93" s="3">
        <v>-140246.25105809141</v>
      </c>
      <c r="E93" s="3">
        <v>228742.115001522</v>
      </c>
      <c r="F93" s="3">
        <v>116379.24964179657</v>
      </c>
      <c r="G93" s="3">
        <v>40412.472626302297</v>
      </c>
      <c r="H93" s="3">
        <v>163989</v>
      </c>
      <c r="I93" s="3">
        <v>-27152</v>
      </c>
      <c r="J93" s="31"/>
      <c r="K93" s="31"/>
      <c r="L93" s="3"/>
      <c r="M93" s="3"/>
      <c r="N93" s="3"/>
    </row>
    <row r="94" spans="2:15">
      <c r="C94" s="177" t="s">
        <v>76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2:15">
      <c r="C95" s="48" t="s">
        <v>23</v>
      </c>
      <c r="D95" s="47">
        <f>SUM(D71:D94)</f>
        <v>7966538</v>
      </c>
      <c r="E95" s="47">
        <f>SUM(E71:E93)</f>
        <v>7695954</v>
      </c>
      <c r="F95" s="47">
        <f>SUM(F71:F93)</f>
        <v>8636166</v>
      </c>
      <c r="G95" s="47">
        <f>SUM(G71:G93)</f>
        <v>8505617</v>
      </c>
      <c r="H95" s="47">
        <f>SUM(H71:H93)</f>
        <v>9888775.6590438411</v>
      </c>
      <c r="I95" s="47">
        <f t="shared" ref="I95:O95" si="39">SUM(I71:I93)</f>
        <v>10236690.498303186</v>
      </c>
      <c r="J95" s="47">
        <f>SUM(J71:J94)</f>
        <v>-4384160.9101485815</v>
      </c>
      <c r="K95" s="47">
        <f>SUM(K71:K94)</f>
        <v>-4376273.0656345673</v>
      </c>
      <c r="L95" s="47">
        <f>SUM(L71:L93)</f>
        <v>-3743212.7147952802</v>
      </c>
      <c r="M95" s="47">
        <f t="shared" si="39"/>
        <v>-2650746.2220852925</v>
      </c>
      <c r="N95" s="3">
        <f t="shared" si="39"/>
        <v>-1090703.7362465588</v>
      </c>
      <c r="O95" s="3">
        <f t="shared" si="39"/>
        <v>-929993.67227961961</v>
      </c>
    </row>
    <row r="96" spans="2:15">
      <c r="C96" s="48" t="s">
        <v>53</v>
      </c>
      <c r="D96" s="47">
        <f>-D95+D62</f>
        <v>0</v>
      </c>
      <c r="E96" s="47">
        <f>-E95+E62</f>
        <v>0</v>
      </c>
      <c r="F96" s="47">
        <f>-F95+F62</f>
        <v>0</v>
      </c>
      <c r="G96" s="47">
        <f t="shared" ref="G96:O96" si="40">+G95-G62</f>
        <v>0</v>
      </c>
      <c r="H96" s="47">
        <f t="shared" si="40"/>
        <v>-0.34095615893602371</v>
      </c>
      <c r="I96" s="47">
        <f t="shared" si="40"/>
        <v>0.49830318614840508</v>
      </c>
      <c r="J96" s="47">
        <f t="shared" si="40"/>
        <v>-4384160.9101485815</v>
      </c>
      <c r="K96" s="47">
        <f t="shared" si="40"/>
        <v>-4376273.0656345673</v>
      </c>
      <c r="L96" s="3">
        <f t="shared" si="40"/>
        <v>-3743212.7147952802</v>
      </c>
      <c r="M96" s="3">
        <f t="shared" si="40"/>
        <v>-2650746.2220852925</v>
      </c>
      <c r="N96" s="3">
        <f t="shared" si="40"/>
        <v>-1090703.7362465588</v>
      </c>
      <c r="O96" s="3">
        <f t="shared" si="40"/>
        <v>-929993.67227961961</v>
      </c>
    </row>
    <row r="98" spans="2:16">
      <c r="C98" s="79" t="s">
        <v>48</v>
      </c>
      <c r="D98" s="81">
        <f>+D62</f>
        <v>7966538</v>
      </c>
      <c r="E98" s="81">
        <f t="shared" ref="E98:K98" si="41">+E62</f>
        <v>7695954</v>
      </c>
      <c r="F98" s="81">
        <f t="shared" si="41"/>
        <v>8636166</v>
      </c>
      <c r="G98" s="81">
        <f t="shared" si="41"/>
        <v>8505617</v>
      </c>
      <c r="H98" s="81">
        <f t="shared" si="41"/>
        <v>9888776</v>
      </c>
      <c r="I98" s="81">
        <f t="shared" si="41"/>
        <v>10236690</v>
      </c>
      <c r="J98" s="81">
        <f t="shared" si="41"/>
        <v>0</v>
      </c>
      <c r="K98" s="81">
        <f t="shared" si="41"/>
        <v>0</v>
      </c>
      <c r="L98" s="81">
        <f>+L62</f>
        <v>0</v>
      </c>
      <c r="M98" s="81">
        <f>+M62</f>
        <v>0</v>
      </c>
    </row>
    <row r="99" spans="2:16" s="85" customFormat="1">
      <c r="B99" s="82"/>
      <c r="C99" s="83" t="s">
        <v>49</v>
      </c>
      <c r="D99" s="84">
        <f>+D98-D72-D73-D74</f>
        <v>8144040.6771975327</v>
      </c>
      <c r="E99" s="84">
        <f t="shared" ref="E99:L99" si="42">+E98-E72-E73-E74</f>
        <v>7651900.0400396418</v>
      </c>
      <c r="F99" s="84">
        <f t="shared" si="42"/>
        <v>8445494.9916918632</v>
      </c>
      <c r="G99" s="84">
        <f t="shared" si="42"/>
        <v>8547924.7341514993</v>
      </c>
      <c r="H99" s="84">
        <f t="shared" si="42"/>
        <v>9964803.8735417482</v>
      </c>
      <c r="I99" s="84">
        <f t="shared" si="42"/>
        <v>10181945.137721449</v>
      </c>
      <c r="J99" s="84">
        <f t="shared" si="42"/>
        <v>4384160.9101485815</v>
      </c>
      <c r="K99" s="84">
        <f t="shared" si="42"/>
        <v>4376273.0656345673</v>
      </c>
      <c r="L99" s="84">
        <f t="shared" si="42"/>
        <v>3743212.7147952807</v>
      </c>
      <c r="M99" s="84">
        <f>+M98-M72-M73-M74</f>
        <v>2650746.2220852925</v>
      </c>
    </row>
    <row r="100" spans="2:16">
      <c r="C100" t="s">
        <v>54</v>
      </c>
      <c r="D100" s="121">
        <f>+D72+D73+D74</f>
        <v>-177502.67719753337</v>
      </c>
      <c r="E100" s="121">
        <f t="shared" ref="E100:M100" si="43">+E72+E73+E74</f>
        <v>44053.959960358508</v>
      </c>
      <c r="F100" s="121">
        <f t="shared" si="43"/>
        <v>190671.00830813774</v>
      </c>
      <c r="G100" s="121">
        <f t="shared" si="43"/>
        <v>-42307.734151500226</v>
      </c>
      <c r="H100" s="121">
        <f>+H72+H73+H74</f>
        <v>-76027.873541747555</v>
      </c>
      <c r="I100" s="121">
        <f>+I72+I73+I74</f>
        <v>54744.862278550943</v>
      </c>
      <c r="J100" s="121">
        <f t="shared" si="43"/>
        <v>-4384160.9101485815</v>
      </c>
      <c r="K100" s="121">
        <f t="shared" si="43"/>
        <v>-4376273.0656345673</v>
      </c>
      <c r="L100" s="121">
        <f t="shared" si="43"/>
        <v>-3743212.7147952807</v>
      </c>
      <c r="M100" s="121">
        <f t="shared" si="43"/>
        <v>-2650746.2220852925</v>
      </c>
    </row>
    <row r="101" spans="2:16">
      <c r="E101" s="1"/>
      <c r="F101" s="1"/>
      <c r="G101" s="1"/>
      <c r="H101" s="1"/>
      <c r="I101" s="711">
        <f>+I98/I99-1</f>
        <v>5.3766605042622206E-3</v>
      </c>
      <c r="J101" s="1"/>
      <c r="K101" s="1"/>
      <c r="L101" s="1"/>
      <c r="M101" s="1"/>
      <c r="N101" s="4"/>
      <c r="O101" s="4"/>
      <c r="P101" s="4"/>
    </row>
    <row r="102" spans="2:16">
      <c r="C102" s="1"/>
      <c r="D102" s="3"/>
      <c r="E102" s="3"/>
      <c r="H102" s="97"/>
      <c r="J102" s="5"/>
      <c r="K102" s="131"/>
    </row>
    <row r="103" spans="2:16">
      <c r="C103" s="1"/>
      <c r="D103" s="81"/>
      <c r="E103" s="131"/>
      <c r="F103" s="97"/>
    </row>
    <row r="104" spans="2:16">
      <c r="C104" s="1"/>
      <c r="D104" s="131">
        <f>D93/D71</f>
        <v>-1.6935540202653015E-2</v>
      </c>
      <c r="E104" s="131">
        <f>E93/E71</f>
        <v>3.0865125324582351E-2</v>
      </c>
      <c r="F104" s="131"/>
      <c r="G104" s="131"/>
      <c r="H104" s="131"/>
      <c r="I104" s="131"/>
      <c r="J104" s="131"/>
      <c r="K104" s="131"/>
    </row>
    <row r="105" spans="2:16">
      <c r="D105" s="5"/>
      <c r="I105" s="132"/>
    </row>
    <row r="106" spans="2:16">
      <c r="J106" s="131">
        <f>SUM(D93:J93)/SUM(D71:J71)</f>
        <v>6.0090848845635149E-3</v>
      </c>
    </row>
    <row r="107" spans="2:16">
      <c r="C107" s="45" t="s">
        <v>121</v>
      </c>
      <c r="D107" s="81">
        <f>[16]calculation_WN_retail!$K$64</f>
        <v>7619667.7579499995</v>
      </c>
      <c r="E107" s="81">
        <f>[16]calculation_WN_retail!$K$65</f>
        <v>6823773.4127954738</v>
      </c>
      <c r="F107" s="81">
        <f>[16]calculation_WN_retail!$K$66</f>
        <v>7690004.825303521</v>
      </c>
      <c r="G107" s="81">
        <f>[16]calculation_WN_retail!$K$67</f>
        <v>7795631.8137212293</v>
      </c>
      <c r="H107" s="81">
        <f>[16]calculation_WN_retail!$K$68</f>
        <v>8898818.4208626878</v>
      </c>
      <c r="I107" s="81">
        <f>[16]calculation_WN_retail!$K$69</f>
        <v>9394500.5609653965</v>
      </c>
      <c r="J107" s="81">
        <f>[16]calculation_WN_retail!$K$70</f>
        <v>10136606.51374303</v>
      </c>
      <c r="K107" s="81">
        <f>[16]calculation_WN_retail!$K$71</f>
        <v>10141327.767899016</v>
      </c>
      <c r="L107" s="81">
        <f>[16]calculation_WN_retail!$K$72</f>
        <v>9358601.7415905092</v>
      </c>
      <c r="M107" s="81">
        <f>[16]calculation_WN_retail!$K$73</f>
        <v>8816668.4823664725</v>
      </c>
      <c r="N107" s="81">
        <f>[16]calculation_WN_retail!$K$74</f>
        <v>7409206.457252481</v>
      </c>
      <c r="O107" s="81">
        <f>[16]calculation_WN_retail!$K$75</f>
        <v>7672046.7099064216</v>
      </c>
    </row>
    <row r="108" spans="2:16">
      <c r="C108" s="232" t="s">
        <v>148</v>
      </c>
      <c r="D108" s="268">
        <f>+[27]Revenue!$FR$54</f>
        <v>7358778.4931979077</v>
      </c>
      <c r="E108" s="268">
        <f>+[28]Revenue!$FS$54</f>
        <v>7121778.1245228592</v>
      </c>
      <c r="F108" s="268">
        <f>+[29]Revenue!$FT$54</f>
        <v>7968720.2680297131</v>
      </c>
      <c r="G108" s="268">
        <f>[3]Retail!$O$9</f>
        <v>7842299.5860000001</v>
      </c>
      <c r="H108" s="268">
        <f>[3]Retail!$O$10</f>
        <v>9116431.287363667</v>
      </c>
      <c r="I108" s="268">
        <f>[3]Retail!$O$11</f>
        <v>9440381.8751888722</v>
      </c>
    </row>
    <row r="109" spans="2:16">
      <c r="D109" s="97"/>
    </row>
    <row r="110" spans="2:16">
      <c r="E110" s="131">
        <f>E93/E71</f>
        <v>3.0865125324582351E-2</v>
      </c>
    </row>
  </sheetData>
  <phoneticPr fontId="2" type="noConversion"/>
  <printOptions headings="1" gridLines="1"/>
  <pageMargins left="0.75" right="0.75" top="1" bottom="1" header="0.5" footer="0.5"/>
  <pageSetup scale="62" orientation="portrait" r:id="rId1"/>
  <headerFooter alignWithMargins="0">
    <oddHeader>&amp;C&amp;A</oddHeader>
    <oddFooter>&amp;R&amp;F</oddFooter>
  </headerFooter>
  <rowBreaks count="1" manualBreakCount="1">
    <brk id="64" max="16383" man="1"/>
  </rowBreaks>
  <colBreaks count="2" manualBreakCount="2">
    <brk id="2" max="1048575" man="1"/>
    <brk id="10" max="1048575" man="1"/>
  </col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workbookViewId="0">
      <selection activeCell="B1" sqref="B1"/>
    </sheetView>
  </sheetViews>
  <sheetFormatPr defaultColWidth="9.109375" defaultRowHeight="13.2"/>
  <cols>
    <col min="1" max="1" width="4.6640625" customWidth="1"/>
    <col min="2" max="2" width="33.33203125" customWidth="1"/>
    <col min="3" max="3" width="12.88671875" bestFit="1" customWidth="1"/>
    <col min="4" max="4" width="10.109375" bestFit="1" customWidth="1"/>
    <col min="9" max="9" width="30.88671875" bestFit="1" customWidth="1"/>
    <col min="10" max="10" width="13.33203125" customWidth="1"/>
  </cols>
  <sheetData>
    <row r="1" spans="1:12" ht="42" customHeight="1">
      <c r="B1" s="780" t="s">
        <v>489</v>
      </c>
    </row>
    <row r="3" spans="1:12">
      <c r="C3" s="448">
        <v>41061</v>
      </c>
      <c r="J3" s="411">
        <f>+C3</f>
        <v>41061</v>
      </c>
    </row>
    <row r="4" spans="1:12">
      <c r="A4" s="411"/>
      <c r="B4" s="705" t="s">
        <v>439</v>
      </c>
      <c r="C4" s="541">
        <f>SUM('[26]Daily Log (Levelized)'!$C$160:$C$189)</f>
        <v>10236690</v>
      </c>
      <c r="D4" s="232" t="s">
        <v>356</v>
      </c>
      <c r="J4" s="5">
        <f>+C4</f>
        <v>10236690</v>
      </c>
    </row>
    <row r="5" spans="1:12">
      <c r="C5" s="232" t="s">
        <v>440</v>
      </c>
    </row>
    <row r="6" spans="1:12">
      <c r="C6" s="448">
        <v>40695</v>
      </c>
      <c r="J6" s="411">
        <f>+C6</f>
        <v>40695</v>
      </c>
    </row>
    <row r="7" spans="1:12">
      <c r="A7" s="411"/>
      <c r="B7" s="448" t="s">
        <v>439</v>
      </c>
      <c r="C7" s="5">
        <f>SUM('[30]Daily Log (Levelized)'!$C$166:$C$195)</f>
        <v>10539641</v>
      </c>
      <c r="E7" s="183">
        <f>C$4/C7-1</f>
        <v>-2.8743958167076089E-2</v>
      </c>
      <c r="I7" s="411" t="str">
        <f>+B7</f>
        <v>sum dailies (6/1 - 6/30)</v>
      </c>
      <c r="J7" s="5">
        <f>+C7</f>
        <v>10539641</v>
      </c>
      <c r="L7" s="183">
        <f>J$4/J7-1</f>
        <v>-2.8743958167076089E-2</v>
      </c>
    </row>
    <row r="8" spans="1:12">
      <c r="A8" s="411"/>
      <c r="B8" s="448" t="s">
        <v>441</v>
      </c>
      <c r="C8" s="5">
        <f>SUM('[30]Daily Log (Levelized)'!$C$163:$C$193)</f>
        <v>10922522</v>
      </c>
      <c r="E8" s="183">
        <f>C$4/C8-1</f>
        <v>-6.2790626560422558E-2</v>
      </c>
      <c r="F8" s="415">
        <f>E8-E7</f>
        <v>-3.4046668393346469E-2</v>
      </c>
      <c r="I8" s="630" t="s">
        <v>442</v>
      </c>
      <c r="J8" s="5">
        <f>+C8+C48</f>
        <v>10539641</v>
      </c>
      <c r="L8" s="183">
        <f>J$4/J8-1</f>
        <v>-2.8743958167076089E-2</v>
      </c>
    </row>
    <row r="9" spans="1:12">
      <c r="A9" s="411"/>
      <c r="B9" s="448" t="s">
        <v>264</v>
      </c>
      <c r="C9" s="5">
        <f>+'[31]JUN(F) '!$F$54</f>
        <v>10923683</v>
      </c>
      <c r="E9" s="183">
        <f>C$4/C9-1</f>
        <v>-6.2890235829802132E-2</v>
      </c>
      <c r="I9" s="630" t="s">
        <v>443</v>
      </c>
      <c r="J9" s="5">
        <f>+C8+C51</f>
        <v>10716265.307850495</v>
      </c>
      <c r="L9" s="183">
        <f>J$4/J9-1</f>
        <v>-4.4752093576777008E-2</v>
      </c>
    </row>
    <row r="10" spans="1:12">
      <c r="A10" s="411"/>
      <c r="B10" s="527" t="s">
        <v>444</v>
      </c>
    </row>
    <row r="11" spans="1:12">
      <c r="A11" s="411"/>
      <c r="B11" s="448" t="s">
        <v>445</v>
      </c>
      <c r="C11" s="5">
        <f>[3]Retail!$N$11</f>
        <v>10107182.301000001</v>
      </c>
    </row>
    <row r="12" spans="1:12">
      <c r="A12" s="411"/>
      <c r="B12" s="448" t="s">
        <v>446</v>
      </c>
      <c r="C12" s="544">
        <f>[3]Retail!$O$11</f>
        <v>9440381.8751888722</v>
      </c>
      <c r="D12" s="232" t="s">
        <v>363</v>
      </c>
    </row>
    <row r="13" spans="1:12">
      <c r="A13" s="411"/>
      <c r="B13" s="411"/>
      <c r="C13" s="5">
        <f>C12-C11</f>
        <v>-666800.42581112869</v>
      </c>
      <c r="I13" s="411"/>
    </row>
    <row r="14" spans="1:12">
      <c r="A14" s="411"/>
      <c r="B14" s="411"/>
      <c r="C14" s="183">
        <f>C12/C11-1</f>
        <v>-6.5972929541911585E-2</v>
      </c>
      <c r="I14" s="630"/>
    </row>
    <row r="15" spans="1:12">
      <c r="A15" s="411"/>
      <c r="B15" s="411"/>
      <c r="C15" s="183"/>
      <c r="I15" s="630"/>
    </row>
    <row r="16" spans="1:12">
      <c r="A16" s="411"/>
      <c r="B16" s="630" t="s">
        <v>447</v>
      </c>
      <c r="C16" s="5">
        <f>C11*C7/C8</f>
        <v>9752882.4363177251</v>
      </c>
    </row>
    <row r="17" spans="1:5">
      <c r="A17" s="411"/>
      <c r="B17" s="630" t="s">
        <v>448</v>
      </c>
      <c r="C17" s="544">
        <f>[3]Retail!$O$11</f>
        <v>9440381.8751888722</v>
      </c>
      <c r="D17" s="232" t="s">
        <v>363</v>
      </c>
    </row>
    <row r="18" spans="1:5">
      <c r="A18" s="411"/>
      <c r="B18" s="411"/>
      <c r="C18" s="5">
        <f>C17-C16</f>
        <v>-312500.56112885289</v>
      </c>
    </row>
    <row r="19" spans="1:5">
      <c r="A19" s="411"/>
      <c r="B19" s="411"/>
      <c r="C19" s="183">
        <f>C17/C16-1</f>
        <v>-3.2041866921840967E-2</v>
      </c>
    </row>
    <row r="20" spans="1:5">
      <c r="A20" s="411"/>
      <c r="B20" s="411"/>
    </row>
    <row r="21" spans="1:5">
      <c r="A21" s="411"/>
      <c r="B21" s="411" t="s">
        <v>83</v>
      </c>
      <c r="C21" s="415">
        <f>C14-C19</f>
        <v>-3.3931062620070618E-2</v>
      </c>
    </row>
    <row r="22" spans="1:5">
      <c r="A22" s="411"/>
      <c r="B22" s="411"/>
    </row>
    <row r="23" spans="1:5">
      <c r="A23" s="411"/>
      <c r="B23" s="411"/>
    </row>
    <row r="24" spans="1:5">
      <c r="A24" s="411"/>
      <c r="B24" s="411"/>
      <c r="C24" s="5"/>
    </row>
    <row r="25" spans="1:5">
      <c r="A25" s="411"/>
      <c r="B25" s="411"/>
    </row>
    <row r="26" spans="1:5">
      <c r="A26" s="411"/>
      <c r="B26" s="411"/>
    </row>
    <row r="27" spans="1:5">
      <c r="A27" s="411"/>
      <c r="B27" s="411"/>
    </row>
    <row r="28" spans="1:5">
      <c r="A28" s="411"/>
      <c r="B28" s="411"/>
    </row>
    <row r="29" spans="1:5">
      <c r="A29" s="411"/>
      <c r="B29" s="411"/>
    </row>
    <row r="30" spans="1:5">
      <c r="A30" s="411"/>
      <c r="B30" s="411"/>
    </row>
    <row r="31" spans="1:5">
      <c r="A31" s="411"/>
      <c r="B31" s="527" t="s">
        <v>444</v>
      </c>
    </row>
    <row r="32" spans="1:5">
      <c r="A32" s="417"/>
      <c r="B32" s="631">
        <v>40692</v>
      </c>
      <c r="C32" s="35">
        <f>+'[30]Daily Log (Levelized)'!$C163</f>
        <v>330212</v>
      </c>
      <c r="D32" s="631">
        <v>41058</v>
      </c>
      <c r="E32" s="632">
        <f>+'[26]Daily Log (Levelized)'!$C157</f>
        <v>338234</v>
      </c>
    </row>
    <row r="33" spans="1:7">
      <c r="A33" s="417"/>
      <c r="B33" s="631">
        <f>+B32+1</f>
        <v>40693</v>
      </c>
      <c r="C33" s="35">
        <f>+'[30]Daily Log (Levelized)'!$C164</f>
        <v>334159</v>
      </c>
      <c r="D33" s="631">
        <f>+D32+1</f>
        <v>41059</v>
      </c>
      <c r="E33" s="632">
        <f>+'[26]Daily Log (Levelized)'!$C158</f>
        <v>361469</v>
      </c>
    </row>
    <row r="34" spans="1:7">
      <c r="A34" s="417"/>
      <c r="B34" s="631">
        <f>+B33+1</f>
        <v>40694</v>
      </c>
      <c r="C34" s="35">
        <f>+'[30]Daily Log (Levelized)'!$C165</f>
        <v>348842</v>
      </c>
      <c r="D34" s="631">
        <f>+D33+1</f>
        <v>41060</v>
      </c>
      <c r="E34" s="632">
        <f>+'[26]Daily Log (Levelized)'!$C159</f>
        <v>340733</v>
      </c>
      <c r="F34" s="130"/>
    </row>
    <row r="35" spans="1:7">
      <c r="A35" s="411"/>
      <c r="B35" s="411"/>
      <c r="C35" s="632">
        <f>SUM(C32:C34)</f>
        <v>1013213</v>
      </c>
      <c r="D35" s="45"/>
      <c r="E35" s="632">
        <f>SUM(E32:E34)</f>
        <v>1040436</v>
      </c>
      <c r="G35" s="5">
        <f>E35-C35</f>
        <v>27223</v>
      </c>
    </row>
    <row r="36" spans="1:7">
      <c r="A36" s="419"/>
      <c r="B36" s="419" t="s">
        <v>269</v>
      </c>
      <c r="C36" s="632">
        <f>+'[32]june_data (2)'!R5</f>
        <v>878833.21328225173</v>
      </c>
      <c r="D36" s="81" t="s">
        <v>449</v>
      </c>
      <c r="E36" s="35"/>
      <c r="G36" s="5"/>
    </row>
    <row r="37" spans="1:7">
      <c r="A37" s="411"/>
      <c r="B37" s="411"/>
      <c r="C37" s="34"/>
      <c r="E37" s="34"/>
      <c r="G37" s="5"/>
    </row>
    <row r="38" spans="1:7">
      <c r="A38" s="417"/>
      <c r="B38" s="631">
        <v>40723</v>
      </c>
      <c r="C38" s="35">
        <f>+'[30]Daily Log (Levelized)'!$C194</f>
        <v>319168</v>
      </c>
      <c r="D38" s="631">
        <v>41089</v>
      </c>
      <c r="E38" s="632">
        <f>+'[26]Daily Log (Levelized)'!$C188</f>
        <v>365596</v>
      </c>
      <c r="G38" s="5"/>
    </row>
    <row r="39" spans="1:7">
      <c r="A39" s="417"/>
      <c r="B39" s="631">
        <f>+B38+1</f>
        <v>40724</v>
      </c>
      <c r="C39" s="35">
        <f>+'[30]Daily Log (Levelized)'!$C195</f>
        <v>311164</v>
      </c>
      <c r="D39" s="631">
        <f>+B39</f>
        <v>40724</v>
      </c>
      <c r="E39" s="632">
        <f>+'[26]Daily Log (Levelized)'!$C189</f>
        <v>367555</v>
      </c>
      <c r="G39" s="5"/>
    </row>
    <row r="40" spans="1:7">
      <c r="A40" s="417"/>
      <c r="B40" s="631"/>
      <c r="C40" s="35"/>
      <c r="D40" s="631"/>
      <c r="E40" s="632"/>
      <c r="G40" s="5"/>
    </row>
    <row r="41" spans="1:7">
      <c r="C41" s="633">
        <f>SUM(C38:C40)</f>
        <v>630332</v>
      </c>
      <c r="E41" s="634">
        <f>SUM(E38:E40)</f>
        <v>733151</v>
      </c>
      <c r="G41" s="5">
        <f>E41-C41</f>
        <v>102819</v>
      </c>
    </row>
    <row r="42" spans="1:7">
      <c r="A42" s="421"/>
      <c r="B42" s="421" t="s">
        <v>269</v>
      </c>
      <c r="C42" s="632">
        <f>+'[32]june_data (2)'!R36</f>
        <v>672576.52113274683</v>
      </c>
      <c r="D42" s="81" t="s">
        <v>450</v>
      </c>
      <c r="E42" s="634">
        <v>808797</v>
      </c>
      <c r="F42" s="5"/>
      <c r="G42" s="5"/>
    </row>
    <row r="43" spans="1:7">
      <c r="C43" s="34"/>
    </row>
    <row r="44" spans="1:7">
      <c r="C44" s="34"/>
    </row>
    <row r="45" spans="1:7">
      <c r="C45" s="635">
        <f>C41-C35</f>
        <v>-382881</v>
      </c>
      <c r="D45" s="233"/>
      <c r="E45" s="233">
        <f>E41-E35</f>
        <v>-307285</v>
      </c>
      <c r="F45" s="233"/>
      <c r="G45" s="233">
        <f>G41-G35</f>
        <v>75596</v>
      </c>
    </row>
    <row r="46" spans="1:7">
      <c r="C46" s="34"/>
    </row>
    <row r="47" spans="1:7">
      <c r="C47" s="34"/>
    </row>
    <row r="48" spans="1:7">
      <c r="B48" s="45" t="s">
        <v>83</v>
      </c>
      <c r="C48" s="636">
        <f>C41-C35</f>
        <v>-382881</v>
      </c>
      <c r="E48" t="s">
        <v>270</v>
      </c>
    </row>
    <row r="49" spans="2:5">
      <c r="C49" s="637">
        <f>C48/C7</f>
        <v>-3.6327707936162149E-2</v>
      </c>
    </row>
    <row r="50" spans="2:5">
      <c r="C50" s="34"/>
      <c r="E50" t="s">
        <v>271</v>
      </c>
    </row>
    <row r="51" spans="2:5">
      <c r="B51" t="s">
        <v>272</v>
      </c>
      <c r="C51" s="35">
        <f>C42-C36</f>
        <v>-206256.6921495049</v>
      </c>
    </row>
    <row r="52" spans="2:5">
      <c r="B52" t="s">
        <v>54</v>
      </c>
      <c r="C52" s="35">
        <f>C48-C51</f>
        <v>-176624.3078504951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4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.109375" defaultRowHeight="13.2"/>
  <cols>
    <col min="1" max="1" width="36.6640625" style="180" customWidth="1"/>
    <col min="2" max="2" width="10.5546875" style="180" customWidth="1"/>
    <col min="3" max="3" width="11.33203125" style="180" customWidth="1"/>
    <col min="4" max="4" width="8.44140625" style="180" customWidth="1"/>
    <col min="5" max="5" width="9.33203125" style="180" customWidth="1"/>
    <col min="6" max="6" width="9.6640625" style="180" customWidth="1"/>
    <col min="7" max="7" width="10.88671875" style="180" customWidth="1"/>
    <col min="8" max="8" width="2.6640625" style="180" customWidth="1"/>
    <col min="9" max="10" width="9.109375" style="180" customWidth="1"/>
    <col min="11" max="11" width="9.5546875" style="180" customWidth="1"/>
    <col min="12" max="12" width="10.109375" style="180" customWidth="1"/>
    <col min="13" max="13" width="7.109375" style="180" customWidth="1"/>
    <col min="14" max="14" width="7.6640625" style="180" customWidth="1"/>
    <col min="15" max="15" width="10.109375" style="180" customWidth="1"/>
    <col min="16" max="16" width="12.6640625" style="180" customWidth="1"/>
    <col min="17" max="17" width="9.109375" style="180" customWidth="1"/>
    <col min="18" max="18" width="9.5546875" style="180" customWidth="1"/>
    <col min="19" max="16384" width="9.109375" style="272"/>
  </cols>
  <sheetData>
    <row r="1" spans="1:19" ht="60.75" customHeight="1">
      <c r="A1" s="783" t="s">
        <v>490</v>
      </c>
    </row>
    <row r="2" spans="1:19" ht="39.6">
      <c r="A2" s="706">
        <v>40664</v>
      </c>
      <c r="B2" s="269" t="s">
        <v>78</v>
      </c>
      <c r="C2" s="423" t="s">
        <v>79</v>
      </c>
      <c r="D2" s="269" t="s">
        <v>149</v>
      </c>
      <c r="E2" s="423" t="s">
        <v>274</v>
      </c>
      <c r="F2" s="269" t="s">
        <v>150</v>
      </c>
      <c r="G2" s="269" t="s">
        <v>151</v>
      </c>
      <c r="H2" s="270"/>
      <c r="I2" s="271" t="s">
        <v>80</v>
      </c>
      <c r="J2" s="271" t="s">
        <v>152</v>
      </c>
      <c r="K2" s="271" t="s">
        <v>153</v>
      </c>
      <c r="L2" s="271" t="s">
        <v>81</v>
      </c>
      <c r="M2" s="271" t="s">
        <v>154</v>
      </c>
      <c r="N2" s="271" t="s">
        <v>155</v>
      </c>
      <c r="O2" s="271" t="s">
        <v>82</v>
      </c>
      <c r="P2" s="271" t="s">
        <v>156</v>
      </c>
      <c r="Q2" s="271" t="s">
        <v>48</v>
      </c>
      <c r="R2" s="271" t="s">
        <v>275</v>
      </c>
    </row>
    <row r="3" spans="1:19">
      <c r="A3" s="617">
        <v>40692</v>
      </c>
      <c r="B3" s="414">
        <f>+'[18]Daily Actuals vs Daily Normals'!$B173</f>
        <v>10.000916056775489</v>
      </c>
      <c r="C3" s="618">
        <f>+'[18]Daily Actuals vs Daily Normals'!$C$169/30</f>
        <v>6.4008331866910133</v>
      </c>
      <c r="D3" s="414">
        <f>+'[18]Daily Actuals vs Daily Normals'!$I139</f>
        <v>0</v>
      </c>
      <c r="E3" s="618">
        <v>0</v>
      </c>
      <c r="F3" s="414">
        <v>0</v>
      </c>
      <c r="G3" s="619">
        <f>+'[33]Variance Plan'!$E$6/28</f>
        <v>0</v>
      </c>
      <c r="H3" s="620"/>
      <c r="I3" s="275">
        <f>B3-C3</f>
        <v>3.600082870084476</v>
      </c>
      <c r="J3" s="275">
        <f>D3-E3</f>
        <v>0</v>
      </c>
      <c r="K3" s="275">
        <f>F3-G3</f>
        <v>0</v>
      </c>
      <c r="L3" s="273">
        <f>I3*$B$11*$C$28</f>
        <v>48081.229363704813</v>
      </c>
      <c r="M3" s="273">
        <f>J3*$B$12*$C$28</f>
        <v>0</v>
      </c>
      <c r="N3" s="273">
        <f>K3*$B$10*$C$28</f>
        <v>0</v>
      </c>
      <c r="O3" s="621">
        <f>SUM(L3:N3)</f>
        <v>48081.229363704813</v>
      </c>
      <c r="P3" s="273">
        <f>SUM(O$2:O3)</f>
        <v>48081.229363704813</v>
      </c>
      <c r="Q3" s="622">
        <f>+'[30]Daily Log (Levelized)'!$C163</f>
        <v>330212</v>
      </c>
      <c r="R3" s="276">
        <f>+Q3-O3</f>
        <v>282130.7706362952</v>
      </c>
      <c r="S3" s="617">
        <f>+A3</f>
        <v>40692</v>
      </c>
    </row>
    <row r="4" spans="1:19">
      <c r="A4" s="617">
        <f>+A3+1</f>
        <v>40693</v>
      </c>
      <c r="B4" s="414">
        <f>+'[18]Daily Actuals vs Daily Normals'!$B174</f>
        <v>9.7506217898269671</v>
      </c>
      <c r="C4" s="618">
        <f>+C3</f>
        <v>6.4008331866910133</v>
      </c>
      <c r="D4" s="414">
        <f>+'[18]Daily Actuals vs Daily Normals'!$I140</f>
        <v>0</v>
      </c>
      <c r="E4" s="618">
        <v>0</v>
      </c>
      <c r="F4" s="414">
        <v>0</v>
      </c>
      <c r="G4" s="619">
        <f>+G3</f>
        <v>0</v>
      </c>
      <c r="H4" s="620"/>
      <c r="I4" s="275">
        <f>B4-C4</f>
        <v>3.3497886031359538</v>
      </c>
      <c r="J4" s="275">
        <f>D4-E4</f>
        <v>0</v>
      </c>
      <c r="K4" s="275">
        <f>F4-G4</f>
        <v>0</v>
      </c>
      <c r="L4" s="273">
        <f>I4*$B$11*$C$28</f>
        <v>44738.40185337868</v>
      </c>
      <c r="M4" s="273">
        <f>J4*$B$12*$C$28</f>
        <v>0</v>
      </c>
      <c r="N4" s="273">
        <f>K4*$B$10*$C$28</f>
        <v>0</v>
      </c>
      <c r="O4" s="621">
        <f>SUM(L4:N4)</f>
        <v>44738.40185337868</v>
      </c>
      <c r="P4" s="273">
        <f>SUM(O$2:O4)</f>
        <v>92819.631217083486</v>
      </c>
      <c r="Q4" s="622">
        <f>+'[30]Daily Log (Levelized)'!$C164</f>
        <v>334159</v>
      </c>
      <c r="R4" s="276">
        <f>+Q4-O4</f>
        <v>289420.59814662131</v>
      </c>
      <c r="S4" s="617">
        <f>+A4</f>
        <v>40693</v>
      </c>
    </row>
    <row r="5" spans="1:19">
      <c r="A5" s="617">
        <f>+A4+1</f>
        <v>40694</v>
      </c>
      <c r="B5" s="414">
        <f>+'[18]Daily Actuals vs Daily Normals'!$B175</f>
        <v>9.5126505398665646</v>
      </c>
      <c r="C5" s="618">
        <f>+C4</f>
        <v>6.4008331866910133</v>
      </c>
      <c r="D5" s="414">
        <f>+'[18]Daily Actuals vs Daily Normals'!$I141</f>
        <v>0</v>
      </c>
      <c r="E5" s="618">
        <v>0</v>
      </c>
      <c r="F5" s="414">
        <v>0</v>
      </c>
      <c r="G5" s="619">
        <f>+G4</f>
        <v>0</v>
      </c>
      <c r="H5" s="623"/>
      <c r="I5" s="275">
        <f>B5-C5</f>
        <v>3.1118173531755513</v>
      </c>
      <c r="J5" s="275">
        <f>D5-E5</f>
        <v>0</v>
      </c>
      <c r="K5" s="275">
        <f>F5-G5</f>
        <v>0</v>
      </c>
      <c r="L5" s="273">
        <f>I5*$B$11*$C$28</f>
        <v>41560.15550066482</v>
      </c>
      <c r="M5" s="273">
        <f>J5*$B$12*$C$28</f>
        <v>0</v>
      </c>
      <c r="N5" s="273">
        <f>K5*$B$10*$C$28</f>
        <v>0</v>
      </c>
      <c r="O5" s="621">
        <f>SUM(L5:N5)</f>
        <v>41560.15550066482</v>
      </c>
      <c r="P5" s="273">
        <f>SUM(O$2:O5)</f>
        <v>134379.7867177483</v>
      </c>
      <c r="Q5" s="622">
        <f>+'[30]Daily Log (Levelized)'!$C165</f>
        <v>348842</v>
      </c>
      <c r="R5" s="276">
        <f>+Q5-O5</f>
        <v>307281.84449933516</v>
      </c>
      <c r="S5" s="617">
        <f>+A5</f>
        <v>40694</v>
      </c>
    </row>
    <row r="6" spans="1:19">
      <c r="A6" s="707" t="s">
        <v>451</v>
      </c>
      <c r="C6" s="180">
        <v>30</v>
      </c>
      <c r="L6" s="273"/>
      <c r="O6" s="624">
        <f>SUM(O3:O5)</f>
        <v>134379.7867177483</v>
      </c>
      <c r="P6" s="459">
        <f>SUM(P3:P5)</f>
        <v>275280.64729853661</v>
      </c>
      <c r="Q6" s="459">
        <f>SUM(Q3:Q5)</f>
        <v>1013213</v>
      </c>
      <c r="R6" s="459">
        <f>SUM(R3:R5)</f>
        <v>878833.21328225173</v>
      </c>
    </row>
    <row r="7" spans="1:19">
      <c r="C7" s="708" t="s">
        <v>452</v>
      </c>
      <c r="L7" s="273"/>
      <c r="O7" s="191"/>
      <c r="R7" s="426"/>
    </row>
    <row r="8" spans="1:19">
      <c r="A8" s="239" t="s">
        <v>157</v>
      </c>
      <c r="B8" s="180" t="s">
        <v>19</v>
      </c>
      <c r="O8" s="191"/>
    </row>
    <row r="9" spans="1:19">
      <c r="A9" t="s">
        <v>84</v>
      </c>
      <c r="B9" s="625">
        <v>1.548202048113029</v>
      </c>
      <c r="O9" s="191"/>
    </row>
    <row r="10" spans="1:19">
      <c r="A10" s="412" t="s">
        <v>85</v>
      </c>
      <c r="B10" s="625">
        <v>1.7438085153939766E-2</v>
      </c>
      <c r="O10" s="191"/>
    </row>
    <row r="11" spans="1:19">
      <c r="A11" s="412" t="s">
        <v>86</v>
      </c>
      <c r="B11" s="625">
        <v>2.9354163517797079E-3</v>
      </c>
      <c r="O11" s="191"/>
    </row>
    <row r="12" spans="1:19">
      <c r="A12" s="412" t="s">
        <v>87</v>
      </c>
      <c r="B12" s="625">
        <v>1.2133267139738657E-3</v>
      </c>
      <c r="O12" s="191"/>
    </row>
    <row r="13" spans="1:19">
      <c r="A13" t="s">
        <v>88</v>
      </c>
      <c r="B13" s="625">
        <v>-2.6984927541592394</v>
      </c>
      <c r="O13" s="191"/>
    </row>
    <row r="14" spans="1:19">
      <c r="A14" t="s">
        <v>89</v>
      </c>
      <c r="B14" s="625">
        <v>-1.7962555069603001</v>
      </c>
      <c r="O14" s="191"/>
    </row>
    <row r="15" spans="1:19">
      <c r="A15" t="s">
        <v>90</v>
      </c>
      <c r="B15" s="625">
        <v>2.2062176858550154E-2</v>
      </c>
      <c r="O15" s="191"/>
    </row>
    <row r="16" spans="1:19">
      <c r="A16" t="s">
        <v>91</v>
      </c>
      <c r="B16" s="625">
        <v>9.8040700862934496E-2</v>
      </c>
      <c r="O16" s="191"/>
    </row>
    <row r="17" spans="1:15">
      <c r="A17" t="s">
        <v>22</v>
      </c>
      <c r="B17" s="625">
        <v>-0.14680895291551435</v>
      </c>
      <c r="O17" s="191"/>
    </row>
    <row r="18" spans="1:15">
      <c r="A18" t="s">
        <v>92</v>
      </c>
      <c r="B18" s="625">
        <v>-3.6304981975131996E-2</v>
      </c>
      <c r="O18" s="191"/>
    </row>
    <row r="19" spans="1:15">
      <c r="A19" t="s">
        <v>93</v>
      </c>
      <c r="B19" s="625">
        <v>-5.4592407450387181E-2</v>
      </c>
      <c r="O19" s="191"/>
    </row>
    <row r="20" spans="1:15">
      <c r="A20" t="s">
        <v>94</v>
      </c>
      <c r="B20" s="625">
        <v>-5.1858489753623678E-2</v>
      </c>
      <c r="O20" s="191"/>
    </row>
    <row r="21" spans="1:15">
      <c r="A21" t="s">
        <v>95</v>
      </c>
      <c r="B21" s="625">
        <v>0.11149920037514183</v>
      </c>
      <c r="O21" s="191"/>
    </row>
    <row r="22" spans="1:15">
      <c r="A22" t="s">
        <v>96</v>
      </c>
      <c r="B22" s="625">
        <v>-5.6538730487937831E-2</v>
      </c>
      <c r="O22" s="191"/>
    </row>
    <row r="23" spans="1:15">
      <c r="A23" t="s">
        <v>97</v>
      </c>
      <c r="B23" s="625">
        <v>0.10606078306781035</v>
      </c>
      <c r="O23" s="191"/>
    </row>
    <row r="24" spans="1:15">
      <c r="A24" t="s">
        <v>98</v>
      </c>
      <c r="B24" s="625">
        <v>-3.7732034739855242E-4</v>
      </c>
      <c r="O24" s="191"/>
    </row>
    <row r="25" spans="1:15">
      <c r="A25" t="s">
        <v>99</v>
      </c>
      <c r="B25" s="625">
        <v>0.32325220069960209</v>
      </c>
      <c r="O25" s="191"/>
    </row>
    <row r="26" spans="1:15">
      <c r="O26" s="191"/>
    </row>
    <row r="27" spans="1:15">
      <c r="C27" s="708"/>
      <c r="O27" s="191"/>
    </row>
    <row r="28" spans="1:15">
      <c r="A28" s="180" t="s">
        <v>12</v>
      </c>
      <c r="B28" s="617">
        <v>40664</v>
      </c>
      <c r="C28" s="626">
        <f>+'[20]System - Monthly'!$I$561</f>
        <v>4549811</v>
      </c>
      <c r="O28" s="191"/>
    </row>
    <row r="29" spans="1:15">
      <c r="B29" s="617">
        <v>40695</v>
      </c>
      <c r="C29" s="626">
        <f>+'[20]System - Monthly'!$I$562</f>
        <v>4549338</v>
      </c>
      <c r="O29" s="191"/>
    </row>
    <row r="30" spans="1:15">
      <c r="O30" s="191"/>
    </row>
    <row r="31" spans="1:15">
      <c r="B31" s="627" t="s">
        <v>397</v>
      </c>
      <c r="O31" s="191"/>
    </row>
    <row r="32" spans="1:15">
      <c r="O32" s="191"/>
    </row>
    <row r="33" spans="1:19" ht="39.6">
      <c r="A33" s="628" t="s">
        <v>453</v>
      </c>
      <c r="B33" s="269" t="s">
        <v>78</v>
      </c>
      <c r="C33" s="423" t="s">
        <v>79</v>
      </c>
      <c r="D33" s="269" t="s">
        <v>149</v>
      </c>
      <c r="E33" s="423" t="s">
        <v>274</v>
      </c>
      <c r="F33" s="269" t="s">
        <v>150</v>
      </c>
      <c r="G33" s="269" t="s">
        <v>151</v>
      </c>
      <c r="H33"/>
      <c r="I33" s="271" t="s">
        <v>80</v>
      </c>
      <c r="J33" s="271" t="s">
        <v>152</v>
      </c>
      <c r="K33" s="271" t="s">
        <v>153</v>
      </c>
      <c r="L33" s="271" t="s">
        <v>81</v>
      </c>
      <c r="M33" s="271" t="s">
        <v>154</v>
      </c>
      <c r="N33" s="271" t="s">
        <v>155</v>
      </c>
      <c r="O33" s="271" t="s">
        <v>82</v>
      </c>
      <c r="P33" s="271" t="s">
        <v>156</v>
      </c>
      <c r="Q33" s="271" t="s">
        <v>48</v>
      </c>
      <c r="R33" s="271" t="s">
        <v>275</v>
      </c>
    </row>
    <row r="34" spans="1:19">
      <c r="A34" s="617">
        <v>40723</v>
      </c>
      <c r="B34" s="618">
        <f>+'[18]Daily Actuals vs Daily Normals'!$B208</f>
        <v>7.9765432814914341</v>
      </c>
      <c r="C34" s="618">
        <f>+'[18]Daily Actuals vs Daily Normals'!$C$204/31</f>
        <v>8.8765458790721325</v>
      </c>
      <c r="D34" s="618">
        <f>+'[18]Daily Actuals vs Daily Normals'!$I104</f>
        <v>0</v>
      </c>
      <c r="E34" s="618">
        <v>0</v>
      </c>
      <c r="F34" s="414">
        <v>0</v>
      </c>
      <c r="G34" s="618">
        <f>+'[33]Variance Plan'!$F$6/31</f>
        <v>0</v>
      </c>
      <c r="H34"/>
      <c r="I34" s="275">
        <f>B34-C34</f>
        <v>-0.90000259758069845</v>
      </c>
      <c r="J34" s="275">
        <f>D34-E34</f>
        <v>0</v>
      </c>
      <c r="K34" s="275">
        <f>F34-G34</f>
        <v>0</v>
      </c>
      <c r="L34" s="273">
        <f>I34*$B$11*$C$29</f>
        <v>-12018.815728090678</v>
      </c>
      <c r="M34" s="273">
        <f>J34*$B$12*$C$29</f>
        <v>0</v>
      </c>
      <c r="N34" s="273">
        <f>K34*$B$10*$C$29</f>
        <v>0</v>
      </c>
      <c r="O34" s="621">
        <f>SUM(L34:N34)</f>
        <v>-12018.815728090678</v>
      </c>
      <c r="P34" s="273">
        <f>+O34</f>
        <v>-12018.815728090678</v>
      </c>
      <c r="Q34" s="181">
        <f>+'[30]Daily Log (Levelized)'!$C194</f>
        <v>319168</v>
      </c>
      <c r="R34" s="276">
        <f>+Q34-O34</f>
        <v>331186.8157280907</v>
      </c>
      <c r="S34" s="617">
        <f>+A34</f>
        <v>40723</v>
      </c>
    </row>
    <row r="35" spans="1:19">
      <c r="A35" s="617">
        <f>+A34+1</f>
        <v>40724</v>
      </c>
      <c r="B35" s="618">
        <f>+'[18]Daily Actuals vs Daily Normals'!$B209</f>
        <v>6.6131603681087325</v>
      </c>
      <c r="C35" s="618">
        <f>+C34</f>
        <v>8.8765458790721325</v>
      </c>
      <c r="D35" s="618">
        <f>+'[18]Daily Actuals vs Daily Normals'!$I105</f>
        <v>0</v>
      </c>
      <c r="E35" s="618">
        <f>+E34</f>
        <v>0</v>
      </c>
      <c r="F35" s="414">
        <v>0</v>
      </c>
      <c r="G35" s="618">
        <f>+'[33]Variance Plan'!$F$6/31</f>
        <v>0</v>
      </c>
      <c r="H35"/>
      <c r="I35" s="275">
        <f>B35-C35</f>
        <v>-2.2633855109634</v>
      </c>
      <c r="J35" s="275">
        <f>D35-E35</f>
        <v>0</v>
      </c>
      <c r="K35" s="275">
        <f>F35-G35</f>
        <v>0</v>
      </c>
      <c r="L35" s="273">
        <f>I35*$B$11*$C$29</f>
        <v>-30225.705404656121</v>
      </c>
      <c r="M35" s="273">
        <f>J35*$B$12*$C$29</f>
        <v>0</v>
      </c>
      <c r="N35" s="273">
        <f>K35*$B$10*$C$29</f>
        <v>0</v>
      </c>
      <c r="O35" s="621">
        <f>SUM(L35:N35)</f>
        <v>-30225.705404656121</v>
      </c>
      <c r="P35" s="273">
        <f>+P34+O35</f>
        <v>-42244.521132746799</v>
      </c>
      <c r="Q35" s="181">
        <f>+'[30]Daily Log (Levelized)'!$C195</f>
        <v>311164</v>
      </c>
      <c r="R35" s="276">
        <f>+Q35-O35</f>
        <v>341389.70540465612</v>
      </c>
      <c r="S35" s="617">
        <f>+A35</f>
        <v>40724</v>
      </c>
    </row>
    <row r="36" spans="1:19">
      <c r="A36" s="617"/>
      <c r="B36" s="618"/>
      <c r="C36" s="618"/>
      <c r="D36" s="618"/>
      <c r="E36" s="618"/>
      <c r="F36" s="414"/>
      <c r="G36" s="618"/>
      <c r="H36"/>
      <c r="I36" s="275">
        <f>B36-C36</f>
        <v>0</v>
      </c>
      <c r="J36" s="275">
        <f>D36-E36</f>
        <v>0</v>
      </c>
      <c r="K36" s="275">
        <f>F36-G36</f>
        <v>0</v>
      </c>
      <c r="L36" s="273">
        <f>I36*$B$11*$C$29</f>
        <v>0</v>
      </c>
      <c r="M36" s="273">
        <f>J36*$B$12*$C$29</f>
        <v>0</v>
      </c>
      <c r="N36" s="273">
        <f>K36*$B$10*$C$29</f>
        <v>0</v>
      </c>
      <c r="O36" s="621">
        <f>SUM(L36:N36)</f>
        <v>0</v>
      </c>
      <c r="P36" s="709"/>
      <c r="Q36" s="709"/>
      <c r="R36" s="276">
        <f>+Q36-O36</f>
        <v>0</v>
      </c>
      <c r="S36" s="710" t="s">
        <v>454</v>
      </c>
    </row>
    <row r="37" spans="1:19">
      <c r="B37" s="708"/>
      <c r="H37"/>
      <c r="L37" s="273"/>
      <c r="O37" s="629">
        <f>SUM(O34:O36)</f>
        <v>-42244.521132746799</v>
      </c>
      <c r="P37" s="426">
        <f>SUM(P34:P36)</f>
        <v>-54263.336860837473</v>
      </c>
      <c r="Q37" s="426">
        <f>SUM(Q34:Q36)</f>
        <v>630332</v>
      </c>
      <c r="R37" s="459">
        <f>SUM(R34:R36)</f>
        <v>672576.52113274683</v>
      </c>
    </row>
    <row r="38" spans="1:19">
      <c r="H38"/>
      <c r="L38" s="273"/>
      <c r="R38" s="426"/>
    </row>
    <row r="39" spans="1:19">
      <c r="H39"/>
    </row>
    <row r="40" spans="1:19">
      <c r="H40"/>
      <c r="O40" s="426">
        <f>O37-O6</f>
        <v>-176624.3078504951</v>
      </c>
    </row>
    <row r="41" spans="1:19">
      <c r="H41"/>
    </row>
    <row r="42" spans="1:19">
      <c r="H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workbookViewId="0">
      <selection activeCell="B1" sqref="B1"/>
    </sheetView>
  </sheetViews>
  <sheetFormatPr defaultColWidth="9.109375" defaultRowHeight="13.2"/>
  <cols>
    <col min="1" max="1" width="10.88671875" customWidth="1"/>
    <col min="2" max="2" width="33.33203125" customWidth="1"/>
    <col min="3" max="3" width="12.88671875" bestFit="1" customWidth="1"/>
    <col min="4" max="4" width="10.109375" bestFit="1" customWidth="1"/>
    <col min="9" max="9" width="30.88671875" bestFit="1" customWidth="1"/>
    <col min="10" max="10" width="13.33203125" customWidth="1"/>
  </cols>
  <sheetData>
    <row r="1" spans="1:12" ht="60" customHeight="1">
      <c r="B1" s="780" t="s">
        <v>491</v>
      </c>
    </row>
    <row r="3" spans="1:12">
      <c r="C3" s="448">
        <v>41030</v>
      </c>
      <c r="J3" s="411">
        <f>+C3</f>
        <v>41030</v>
      </c>
    </row>
    <row r="4" spans="1:12">
      <c r="A4" s="411"/>
      <c r="B4" s="448" t="s">
        <v>399</v>
      </c>
      <c r="C4" s="541">
        <f>SUM('[26]Daily Log (Levelized)'!$C$129:$C$159)</f>
        <v>9888776</v>
      </c>
      <c r="D4" s="232" t="s">
        <v>356</v>
      </c>
      <c r="J4" s="5">
        <f>+C4</f>
        <v>9888776</v>
      </c>
    </row>
    <row r="5" spans="1:12">
      <c r="C5" s="232" t="s">
        <v>400</v>
      </c>
    </row>
    <row r="6" spans="1:12">
      <c r="C6" s="448">
        <v>40664</v>
      </c>
      <c r="J6" s="411">
        <f>+C6</f>
        <v>40664</v>
      </c>
    </row>
    <row r="7" spans="1:12">
      <c r="A7" s="411"/>
      <c r="B7" s="448" t="s">
        <v>399</v>
      </c>
      <c r="C7" s="5">
        <f>SUM('[30]Daily Log (Levelized)'!$C$135:$C$165)</f>
        <v>10098308</v>
      </c>
      <c r="E7" s="183">
        <f>C$4/C7-1</f>
        <v>-2.0749218581964435E-2</v>
      </c>
      <c r="I7" s="411" t="str">
        <f>+B7</f>
        <v>sum dailies (5/1 - 5/31)</v>
      </c>
      <c r="J7" s="5">
        <f>+C7</f>
        <v>10098308</v>
      </c>
      <c r="L7" s="183">
        <f>J$4/J7-1</f>
        <v>-2.0749218581964435E-2</v>
      </c>
    </row>
    <row r="8" spans="1:12">
      <c r="A8" s="411"/>
      <c r="B8" s="448" t="s">
        <v>401</v>
      </c>
      <c r="C8" s="5">
        <f>SUM('[30]Daily Log (Levelized)'!$C$133:$C$162)</f>
        <v>9715118</v>
      </c>
      <c r="E8" s="183">
        <f>C$4/C8-1</f>
        <v>1.7875027354274042E-2</v>
      </c>
      <c r="F8" s="415">
        <f>E8-E7</f>
        <v>3.8624245936238477E-2</v>
      </c>
      <c r="I8" s="630" t="s">
        <v>402</v>
      </c>
      <c r="J8" s="5">
        <f>+C8+C48</f>
        <v>10098308</v>
      </c>
      <c r="L8" s="183">
        <f>J$4/J8-1</f>
        <v>-2.0749218581964435E-2</v>
      </c>
    </row>
    <row r="9" spans="1:12">
      <c r="A9" s="411"/>
      <c r="B9" s="448" t="s">
        <v>264</v>
      </c>
      <c r="C9" s="5">
        <f>+'[31]APR(F) '!$F$54</f>
        <v>9729978</v>
      </c>
      <c r="E9" s="183">
        <f>C$4/C9-1</f>
        <v>1.6320489111075087E-2</v>
      </c>
      <c r="I9" s="630" t="s">
        <v>403</v>
      </c>
      <c r="J9" s="5">
        <f>+C8+C51</f>
        <v>10040813.797222547</v>
      </c>
      <c r="L9" s="183">
        <f>J$4/J9-1</f>
        <v>-1.514197955394847E-2</v>
      </c>
    </row>
    <row r="10" spans="1:12">
      <c r="A10" s="411"/>
      <c r="B10" s="527" t="s">
        <v>404</v>
      </c>
    </row>
    <row r="11" spans="1:12">
      <c r="A11" s="411"/>
      <c r="B11" s="448" t="s">
        <v>405</v>
      </c>
      <c r="C11" s="5">
        <f>[3]Retail!$N$10</f>
        <v>8843049.5600000005</v>
      </c>
    </row>
    <row r="12" spans="1:12">
      <c r="A12" s="411"/>
      <c r="B12" s="448" t="s">
        <v>406</v>
      </c>
      <c r="C12" s="544">
        <f>[3]Retail!$O$10</f>
        <v>9116431.287363667</v>
      </c>
      <c r="D12" s="232" t="s">
        <v>363</v>
      </c>
    </row>
    <row r="13" spans="1:12">
      <c r="A13" s="411"/>
      <c r="B13" s="411"/>
      <c r="C13" s="5">
        <f>C12-C11</f>
        <v>273381.72736366652</v>
      </c>
      <c r="I13" s="411"/>
    </row>
    <row r="14" spans="1:12">
      <c r="A14" s="411"/>
      <c r="B14" s="411"/>
      <c r="C14" s="183">
        <f>C12/C11-1</f>
        <v>3.0914869978820647E-2</v>
      </c>
      <c r="I14" s="630"/>
    </row>
    <row r="15" spans="1:12">
      <c r="A15" s="411"/>
      <c r="B15" s="411"/>
      <c r="C15" s="183"/>
      <c r="I15" s="630"/>
    </row>
    <row r="16" spans="1:12">
      <c r="A16" s="411"/>
      <c r="B16" s="630" t="s">
        <v>424</v>
      </c>
      <c r="C16" s="5">
        <f>C11*C7/C8</f>
        <v>9191842.8696537167</v>
      </c>
    </row>
    <row r="17" spans="1:5">
      <c r="A17" s="411"/>
      <c r="B17" s="630" t="s">
        <v>407</v>
      </c>
      <c r="C17" s="544">
        <f>[3]Retail!$O$10</f>
        <v>9116431.287363667</v>
      </c>
      <c r="D17" s="232" t="s">
        <v>363</v>
      </c>
    </row>
    <row r="18" spans="1:5">
      <c r="A18" s="411"/>
      <c r="B18" s="411"/>
      <c r="C18" s="5">
        <f>C17-C16</f>
        <v>-75411.582290049642</v>
      </c>
    </row>
    <row r="19" spans="1:5">
      <c r="A19" s="411"/>
      <c r="B19" s="411"/>
      <c r="C19" s="183">
        <f>C17/C16-1</f>
        <v>-8.204185315114132E-3</v>
      </c>
    </row>
    <row r="20" spans="1:5">
      <c r="A20" s="411"/>
      <c r="B20" s="411"/>
    </row>
    <row r="21" spans="1:5">
      <c r="A21" s="411"/>
      <c r="B21" s="411" t="s">
        <v>83</v>
      </c>
      <c r="C21" s="415">
        <f>C14-C19</f>
        <v>3.9119055293934779E-2</v>
      </c>
    </row>
    <row r="22" spans="1:5">
      <c r="A22" s="411"/>
      <c r="B22" s="411"/>
    </row>
    <row r="23" spans="1:5">
      <c r="A23" s="411"/>
      <c r="B23" s="411"/>
    </row>
    <row r="24" spans="1:5">
      <c r="A24" s="411"/>
      <c r="B24" s="411"/>
      <c r="C24" s="5"/>
    </row>
    <row r="25" spans="1:5">
      <c r="A25" s="411"/>
      <c r="B25" s="411"/>
    </row>
    <row r="26" spans="1:5">
      <c r="A26" s="411"/>
      <c r="B26" s="411"/>
    </row>
    <row r="27" spans="1:5">
      <c r="A27" s="411"/>
      <c r="B27" s="411"/>
    </row>
    <row r="28" spans="1:5">
      <c r="A28" s="411"/>
      <c r="B28" s="411"/>
    </row>
    <row r="29" spans="1:5">
      <c r="A29" s="411"/>
      <c r="B29" s="411"/>
    </row>
    <row r="30" spans="1:5">
      <c r="A30" s="411"/>
      <c r="B30" s="411"/>
    </row>
    <row r="31" spans="1:5">
      <c r="A31" s="411"/>
      <c r="B31" s="527" t="s">
        <v>408</v>
      </c>
    </row>
    <row r="32" spans="1:5">
      <c r="A32" s="417"/>
      <c r="B32" s="631">
        <v>40662</v>
      </c>
      <c r="C32" s="35">
        <f>+'[26]Daily Log (Levelized)'!$Q127</f>
        <v>330875</v>
      </c>
      <c r="D32" s="631">
        <v>41028</v>
      </c>
      <c r="E32" s="632">
        <f>+'[26]Daily Log (Levelized)'!$C127</f>
        <v>261848</v>
      </c>
    </row>
    <row r="33" spans="1:7">
      <c r="A33" s="417"/>
      <c r="B33" s="631">
        <f>+B32+1</f>
        <v>40663</v>
      </c>
      <c r="C33" s="35">
        <f>+'[26]Daily Log (Levelized)'!$Q128</f>
        <v>299148</v>
      </c>
      <c r="D33" s="631">
        <v>41029</v>
      </c>
      <c r="E33" s="632">
        <f>+'[26]Daily Log (Levelized)'!$C128</f>
        <v>276495</v>
      </c>
    </row>
    <row r="34" spans="1:7">
      <c r="A34" s="417"/>
      <c r="B34" s="631"/>
      <c r="C34" s="35"/>
      <c r="D34" s="631"/>
      <c r="E34" s="632"/>
      <c r="F34" s="130"/>
    </row>
    <row r="35" spans="1:7">
      <c r="A35" s="411"/>
      <c r="B35" s="411"/>
      <c r="C35" s="632">
        <f>SUM(C32:C34)</f>
        <v>630023</v>
      </c>
      <c r="D35" s="45"/>
      <c r="E35" s="632">
        <f>SUM(E32:E34)</f>
        <v>538343</v>
      </c>
      <c r="G35" s="5">
        <f>E35-C35</f>
        <v>-91680</v>
      </c>
    </row>
    <row r="36" spans="1:7">
      <c r="A36" s="419"/>
      <c r="B36" s="419" t="s">
        <v>269</v>
      </c>
      <c r="C36" s="632">
        <f>+'[32]may_data (2)'!R5</f>
        <v>553137.41605970508</v>
      </c>
      <c r="D36" s="81" t="s">
        <v>409</v>
      </c>
      <c r="E36" s="35"/>
      <c r="G36" s="5"/>
    </row>
    <row r="37" spans="1:7">
      <c r="A37" s="411"/>
      <c r="B37" s="411"/>
      <c r="C37" s="34"/>
      <c r="E37" s="34"/>
      <c r="G37" s="5"/>
    </row>
    <row r="38" spans="1:7">
      <c r="A38" s="417"/>
      <c r="B38" s="631">
        <v>40692</v>
      </c>
      <c r="C38" s="35">
        <f>+'[30]Daily Log (Levelized)'!$C163</f>
        <v>330212</v>
      </c>
      <c r="D38" s="631">
        <v>41058</v>
      </c>
      <c r="E38" s="632">
        <f>+'[26]Daily Log (Levelized)'!$C157</f>
        <v>338234</v>
      </c>
      <c r="G38" s="5"/>
    </row>
    <row r="39" spans="1:7">
      <c r="A39" s="417"/>
      <c r="B39" s="631">
        <f>+B38+1</f>
        <v>40693</v>
      </c>
      <c r="C39" s="35">
        <f>+'[30]Daily Log (Levelized)'!$C164</f>
        <v>334159</v>
      </c>
      <c r="D39" s="631">
        <f>+B39</f>
        <v>40693</v>
      </c>
      <c r="E39" s="632">
        <f>+'[26]Daily Log (Levelized)'!$C158</f>
        <v>361469</v>
      </c>
      <c r="G39" s="5"/>
    </row>
    <row r="40" spans="1:7">
      <c r="A40" s="417"/>
      <c r="B40" s="631">
        <f>+B39+1</f>
        <v>40694</v>
      </c>
      <c r="C40" s="35">
        <f>+'[30]Daily Log (Levelized)'!$C165</f>
        <v>348842</v>
      </c>
      <c r="D40" s="631">
        <f>+B40</f>
        <v>40694</v>
      </c>
      <c r="E40" s="632">
        <f>+'[26]Daily Log (Levelized)'!$C159</f>
        <v>340733</v>
      </c>
      <c r="G40" s="5"/>
    </row>
    <row r="41" spans="1:7">
      <c r="C41" s="633">
        <f>SUM(C38:C40)</f>
        <v>1013213</v>
      </c>
      <c r="E41" s="634">
        <f>SUM(E38:E40)</f>
        <v>1040436</v>
      </c>
      <c r="G41" s="5">
        <f>E41-C41</f>
        <v>27223</v>
      </c>
    </row>
    <row r="42" spans="1:7">
      <c r="A42" s="421"/>
      <c r="B42" s="421" t="s">
        <v>269</v>
      </c>
      <c r="C42" s="632">
        <f>+'[32]may_data (2)'!R36</f>
        <v>878833.21328225173</v>
      </c>
      <c r="D42" s="81" t="s">
        <v>410</v>
      </c>
      <c r="E42" s="634">
        <v>808797</v>
      </c>
      <c r="F42" s="5"/>
      <c r="G42" s="5"/>
    </row>
    <row r="43" spans="1:7">
      <c r="C43" s="34"/>
    </row>
    <row r="44" spans="1:7">
      <c r="C44" s="34"/>
    </row>
    <row r="45" spans="1:7">
      <c r="C45" s="635">
        <f>C41-C35</f>
        <v>383190</v>
      </c>
      <c r="D45" s="233"/>
      <c r="E45" s="233">
        <f>E41-E35</f>
        <v>502093</v>
      </c>
      <c r="F45" s="233"/>
      <c r="G45" s="233">
        <f>G41-G35</f>
        <v>118903</v>
      </c>
    </row>
    <row r="46" spans="1:7">
      <c r="C46" s="34"/>
    </row>
    <row r="47" spans="1:7">
      <c r="C47" s="34"/>
    </row>
    <row r="48" spans="1:7">
      <c r="B48" s="45" t="s">
        <v>83</v>
      </c>
      <c r="C48" s="636">
        <f>C41-C35</f>
        <v>383190</v>
      </c>
      <c r="E48" t="s">
        <v>270</v>
      </c>
    </row>
    <row r="49" spans="2:5">
      <c r="C49" s="637">
        <f>C48/C7</f>
        <v>3.7945960848094554E-2</v>
      </c>
    </row>
    <row r="50" spans="2:5">
      <c r="C50" s="34"/>
      <c r="E50" t="s">
        <v>271</v>
      </c>
    </row>
    <row r="51" spans="2:5">
      <c r="B51" t="s">
        <v>272</v>
      </c>
      <c r="C51" s="35">
        <f>C42-C36</f>
        <v>325695.79722254665</v>
      </c>
    </row>
    <row r="52" spans="2:5">
      <c r="B52" t="s">
        <v>54</v>
      </c>
      <c r="C52" s="35">
        <f>C48-C51</f>
        <v>57494.202777453349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4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3.2"/>
  <cols>
    <col min="1" max="1" width="36.6640625" style="180" customWidth="1"/>
    <col min="2" max="2" width="10.5546875" style="180" customWidth="1"/>
    <col min="3" max="3" width="11.33203125" style="180" customWidth="1"/>
    <col min="4" max="4" width="8.44140625" style="180" customWidth="1"/>
    <col min="5" max="5" width="9.33203125" style="180" customWidth="1"/>
    <col min="6" max="6" width="9.6640625" style="180" customWidth="1"/>
    <col min="7" max="7" width="10.88671875" style="180" customWidth="1"/>
    <col min="8" max="8" width="2.6640625" style="180" customWidth="1"/>
    <col min="9" max="10" width="9.109375" style="180" customWidth="1"/>
    <col min="11" max="11" width="9.5546875" style="180" customWidth="1"/>
    <col min="12" max="12" width="10.109375" style="180" customWidth="1"/>
    <col min="13" max="13" width="7.109375" style="180" customWidth="1"/>
    <col min="14" max="14" width="7.6640625" style="180" customWidth="1"/>
    <col min="15" max="15" width="10.109375" style="180" customWidth="1"/>
    <col min="16" max="16" width="12.6640625" style="180" customWidth="1"/>
    <col min="17" max="17" width="9.109375" style="180" customWidth="1"/>
    <col min="18" max="18" width="9.5546875" style="180" customWidth="1"/>
    <col min="19" max="16384" width="9.109375" style="272"/>
  </cols>
  <sheetData>
    <row r="1" spans="1:19" ht="52.5" customHeight="1">
      <c r="A1" s="783" t="s">
        <v>492</v>
      </c>
    </row>
    <row r="2" spans="1:19" ht="39.6">
      <c r="A2" s="616">
        <v>40634</v>
      </c>
      <c r="B2" s="269" t="s">
        <v>78</v>
      </c>
      <c r="C2" s="423" t="s">
        <v>79</v>
      </c>
      <c r="D2" s="269" t="s">
        <v>149</v>
      </c>
      <c r="E2" s="423" t="s">
        <v>274</v>
      </c>
      <c r="F2" s="269" t="s">
        <v>150</v>
      </c>
      <c r="G2" s="269" t="s">
        <v>151</v>
      </c>
      <c r="H2" s="270"/>
      <c r="I2" s="271" t="s">
        <v>80</v>
      </c>
      <c r="J2" s="271" t="s">
        <v>152</v>
      </c>
      <c r="K2" s="271" t="s">
        <v>153</v>
      </c>
      <c r="L2" s="271" t="s">
        <v>81</v>
      </c>
      <c r="M2" s="271" t="s">
        <v>154</v>
      </c>
      <c r="N2" s="271" t="s">
        <v>155</v>
      </c>
      <c r="O2" s="271" t="s">
        <v>82</v>
      </c>
      <c r="P2" s="271" t="s">
        <v>156</v>
      </c>
      <c r="Q2" s="271" t="s">
        <v>48</v>
      </c>
      <c r="R2" s="271" t="s">
        <v>275</v>
      </c>
    </row>
    <row r="3" spans="1:19">
      <c r="A3" s="617">
        <v>40662</v>
      </c>
      <c r="B3" s="414">
        <f>+'[18]Daily Actuals vs Daily Normals'!$B139</f>
        <v>7.0332682922257916</v>
      </c>
      <c r="C3" s="618">
        <f>+'[18]Daily Actuals vs Daily Normals'!$C$135/31</f>
        <v>3.5347661158224923</v>
      </c>
      <c r="D3" s="414">
        <f>+'[18]Daily Actuals vs Daily Normals'!I69</f>
        <v>0</v>
      </c>
      <c r="E3" s="618">
        <v>0</v>
      </c>
      <c r="F3" s="414">
        <v>0</v>
      </c>
      <c r="G3" s="619">
        <f>+'[33]Variance Plan'!$E$6/28</f>
        <v>0</v>
      </c>
      <c r="H3" s="620"/>
      <c r="I3" s="275">
        <f>B3-C3</f>
        <v>3.4985021764032993</v>
      </c>
      <c r="J3" s="275">
        <f>D3-E3</f>
        <v>0</v>
      </c>
      <c r="K3" s="275">
        <f>F3-G3</f>
        <v>0</v>
      </c>
      <c r="L3" s="273">
        <f>I3*$B$11*$C$28</f>
        <v>46729.10872221351</v>
      </c>
      <c r="M3" s="273">
        <f>J3*$B$12*$C$28</f>
        <v>0</v>
      </c>
      <c r="N3" s="273">
        <f>K3*$B$10*$C$28</f>
        <v>0</v>
      </c>
      <c r="O3" s="621">
        <f>SUM(L3:N3)</f>
        <v>46729.10872221351</v>
      </c>
      <c r="P3" s="273">
        <f>SUM(O$2:O3)</f>
        <v>46729.10872221351</v>
      </c>
      <c r="Q3" s="622">
        <f>+'[30]Daily Log (Levelized)'!$C133</f>
        <v>330875</v>
      </c>
      <c r="R3" s="276">
        <f>+Q3-O3</f>
        <v>284145.89127778646</v>
      </c>
      <c r="S3" s="617">
        <v>40662</v>
      </c>
    </row>
    <row r="4" spans="1:19">
      <c r="A4" s="617">
        <f>+A3+1</f>
        <v>40663</v>
      </c>
      <c r="B4" s="414">
        <f>+'[18]Daily Actuals vs Daily Normals'!$B140</f>
        <v>5.7925128836943456</v>
      </c>
      <c r="C4" s="618">
        <f>+C3</f>
        <v>3.5347661158224923</v>
      </c>
      <c r="D4" s="414">
        <f>+'[18]Daily Actuals vs Daily Normals'!I70</f>
        <v>0</v>
      </c>
      <c r="E4" s="618">
        <v>0</v>
      </c>
      <c r="F4" s="414">
        <v>0</v>
      </c>
      <c r="G4" s="619">
        <f>+'[33]Variance Plan'!$E$6/28</f>
        <v>0</v>
      </c>
      <c r="H4" s="620"/>
      <c r="I4" s="275">
        <f>B4-C4</f>
        <v>2.2577467678718532</v>
      </c>
      <c r="J4" s="275">
        <f>D4-E4</f>
        <v>0</v>
      </c>
      <c r="K4" s="275">
        <f>F4-G4</f>
        <v>0</v>
      </c>
      <c r="L4" s="273">
        <f>I4*$B$11*$C$28</f>
        <v>30156.47521808141</v>
      </c>
      <c r="M4" s="273">
        <f>J4*$B$12*$C$28</f>
        <v>0</v>
      </c>
      <c r="N4" s="273">
        <f>K4*$B$10*$C$28</f>
        <v>0</v>
      </c>
      <c r="O4" s="621">
        <f>SUM(L4:N4)</f>
        <v>30156.47521808141</v>
      </c>
      <c r="P4" s="273">
        <f>SUM(O$2:O4)</f>
        <v>76885.58394029492</v>
      </c>
      <c r="Q4" s="622">
        <f>+'[30]Daily Log (Levelized)'!$C134</f>
        <v>299148</v>
      </c>
      <c r="R4" s="276">
        <f>+Q4-O4</f>
        <v>268991.52478191862</v>
      </c>
      <c r="S4" s="617">
        <f>+S3+1</f>
        <v>40663</v>
      </c>
    </row>
    <row r="5" spans="1:19">
      <c r="A5" s="617"/>
      <c r="B5" s="414"/>
      <c r="C5" s="618"/>
      <c r="D5" s="414"/>
      <c r="E5" s="618"/>
      <c r="F5" s="414"/>
      <c r="G5" s="619"/>
      <c r="H5" s="623"/>
      <c r="I5" s="275"/>
      <c r="J5" s="275"/>
      <c r="K5" s="275"/>
      <c r="L5" s="273"/>
      <c r="M5" s="273"/>
      <c r="N5" s="273"/>
      <c r="O5" s="621"/>
      <c r="P5" s="273"/>
      <c r="Q5" s="181"/>
      <c r="R5" s="276"/>
      <c r="S5" s="617"/>
    </row>
    <row r="6" spans="1:19">
      <c r="C6" s="180">
        <v>31</v>
      </c>
      <c r="L6" s="273"/>
      <c r="O6" s="624">
        <f>SUM(O3:O5)</f>
        <v>76885.58394029492</v>
      </c>
      <c r="P6" s="459">
        <f>SUM(P3:P5)</f>
        <v>123614.69266250843</v>
      </c>
      <c r="Q6" s="459">
        <f>SUM(Q3:Q5)</f>
        <v>630023</v>
      </c>
      <c r="R6" s="459">
        <f>SUM(R3:R5)</f>
        <v>553137.41605970508</v>
      </c>
    </row>
    <row r="7" spans="1:19">
      <c r="L7" s="273"/>
      <c r="O7" s="191"/>
      <c r="R7" s="426"/>
    </row>
    <row r="8" spans="1:19">
      <c r="A8" s="239" t="s">
        <v>157</v>
      </c>
      <c r="B8" s="180" t="s">
        <v>19</v>
      </c>
      <c r="O8" s="191"/>
    </row>
    <row r="9" spans="1:19">
      <c r="A9" t="s">
        <v>84</v>
      </c>
      <c r="B9" s="625">
        <v>1.548202048113029</v>
      </c>
      <c r="O9" s="191"/>
    </row>
    <row r="10" spans="1:19">
      <c r="A10" s="412" t="s">
        <v>85</v>
      </c>
      <c r="B10" s="625">
        <v>1.7438085153939766E-2</v>
      </c>
      <c r="O10" s="191"/>
    </row>
    <row r="11" spans="1:19">
      <c r="A11" s="412" t="s">
        <v>86</v>
      </c>
      <c r="B11" s="625">
        <v>2.9354163517797079E-3</v>
      </c>
      <c r="O11" s="191"/>
    </row>
    <row r="12" spans="1:19">
      <c r="A12" s="412" t="s">
        <v>87</v>
      </c>
      <c r="B12" s="625">
        <v>1.2133267139738657E-3</v>
      </c>
      <c r="O12" s="191"/>
    </row>
    <row r="13" spans="1:19">
      <c r="A13" t="s">
        <v>88</v>
      </c>
      <c r="B13" s="625">
        <v>-2.6984927541592394</v>
      </c>
      <c r="O13" s="191"/>
    </row>
    <row r="14" spans="1:19">
      <c r="A14" t="s">
        <v>89</v>
      </c>
      <c r="B14" s="625">
        <v>-1.7962555069603001</v>
      </c>
      <c r="O14" s="191"/>
    </row>
    <row r="15" spans="1:19">
      <c r="A15" t="s">
        <v>90</v>
      </c>
      <c r="B15" s="625">
        <v>2.2062176858550154E-2</v>
      </c>
      <c r="O15" s="191"/>
    </row>
    <row r="16" spans="1:19">
      <c r="A16" t="s">
        <v>91</v>
      </c>
      <c r="B16" s="625">
        <v>9.8040700862934496E-2</v>
      </c>
      <c r="O16" s="191"/>
    </row>
    <row r="17" spans="1:15">
      <c r="A17" t="s">
        <v>22</v>
      </c>
      <c r="B17" s="625">
        <v>-0.14680895291551435</v>
      </c>
      <c r="O17" s="191"/>
    </row>
    <row r="18" spans="1:15">
      <c r="A18" t="s">
        <v>92</v>
      </c>
      <c r="B18" s="625">
        <v>-3.6304981975131996E-2</v>
      </c>
      <c r="O18" s="191"/>
    </row>
    <row r="19" spans="1:15">
      <c r="A19" t="s">
        <v>93</v>
      </c>
      <c r="B19" s="625">
        <v>-5.4592407450387181E-2</v>
      </c>
      <c r="O19" s="191"/>
    </row>
    <row r="20" spans="1:15">
      <c r="A20" t="s">
        <v>94</v>
      </c>
      <c r="B20" s="625">
        <v>-5.1858489753623678E-2</v>
      </c>
      <c r="O20" s="191"/>
    </row>
    <row r="21" spans="1:15">
      <c r="A21" t="s">
        <v>95</v>
      </c>
      <c r="B21" s="625">
        <v>0.11149920037514183</v>
      </c>
      <c r="O21" s="191"/>
    </row>
    <row r="22" spans="1:15">
      <c r="A22" t="s">
        <v>96</v>
      </c>
      <c r="B22" s="625">
        <v>-5.6538730487937831E-2</v>
      </c>
      <c r="O22" s="191"/>
    </row>
    <row r="23" spans="1:15">
      <c r="A23" t="s">
        <v>97</v>
      </c>
      <c r="B23" s="625">
        <v>0.10606078306781035</v>
      </c>
      <c r="O23" s="191"/>
    </row>
    <row r="24" spans="1:15">
      <c r="A24" t="s">
        <v>98</v>
      </c>
      <c r="B24" s="625">
        <v>-3.7732034739855242E-4</v>
      </c>
      <c r="O24" s="191"/>
    </row>
    <row r="25" spans="1:15">
      <c r="A25" t="s">
        <v>99</v>
      </c>
      <c r="B25" s="625">
        <v>0.32325220069960209</v>
      </c>
      <c r="O25" s="191"/>
    </row>
    <row r="26" spans="1:15">
      <c r="O26" s="191"/>
    </row>
    <row r="27" spans="1:15">
      <c r="O27" s="191"/>
    </row>
    <row r="28" spans="1:15">
      <c r="A28" s="180" t="s">
        <v>12</v>
      </c>
      <c r="B28" s="617">
        <v>40634</v>
      </c>
      <c r="C28" s="626">
        <f>+'[20]System - Monthly'!$I$560</f>
        <v>4550254</v>
      </c>
      <c r="O28" s="191"/>
    </row>
    <row r="29" spans="1:15">
      <c r="B29" s="617">
        <v>40664</v>
      </c>
      <c r="C29" s="626">
        <f>+'[20]System - Monthly'!$I$561</f>
        <v>4549811</v>
      </c>
      <c r="O29" s="191"/>
    </row>
    <row r="30" spans="1:15">
      <c r="O30" s="191"/>
    </row>
    <row r="31" spans="1:15">
      <c r="B31" s="627" t="s">
        <v>397</v>
      </c>
      <c r="O31" s="191"/>
    </row>
    <row r="32" spans="1:15">
      <c r="O32" s="191"/>
    </row>
    <row r="33" spans="1:19" ht="39.6">
      <c r="A33" s="628" t="s">
        <v>398</v>
      </c>
      <c r="B33" s="269" t="s">
        <v>78</v>
      </c>
      <c r="C33" s="423" t="s">
        <v>79</v>
      </c>
      <c r="D33" s="269" t="s">
        <v>149</v>
      </c>
      <c r="E33" s="423" t="s">
        <v>274</v>
      </c>
      <c r="F33" s="269" t="s">
        <v>150</v>
      </c>
      <c r="G33" s="269" t="s">
        <v>151</v>
      </c>
      <c r="H33"/>
      <c r="I33" s="271" t="s">
        <v>80</v>
      </c>
      <c r="J33" s="271" t="s">
        <v>152</v>
      </c>
      <c r="K33" s="271" t="s">
        <v>153</v>
      </c>
      <c r="L33" s="271" t="s">
        <v>81</v>
      </c>
      <c r="M33" s="271" t="s">
        <v>154</v>
      </c>
      <c r="N33" s="271" t="s">
        <v>155</v>
      </c>
      <c r="O33" s="271" t="s">
        <v>82</v>
      </c>
      <c r="P33" s="271" t="s">
        <v>156</v>
      </c>
      <c r="Q33" s="271" t="s">
        <v>48</v>
      </c>
      <c r="R33" s="271" t="s">
        <v>275</v>
      </c>
    </row>
    <row r="34" spans="1:19">
      <c r="A34" s="617">
        <v>40692</v>
      </c>
      <c r="B34" s="618">
        <f>+'[18]Daily Actuals vs Daily Normals'!$B173</f>
        <v>10.000916056775489</v>
      </c>
      <c r="C34" s="618">
        <f>+'[18]Daily Actuals vs Daily Normals'!$C$169/30</f>
        <v>6.4008331866910133</v>
      </c>
      <c r="D34" s="618">
        <f>+'[18]Daily Actuals vs Daily Normals'!$I104</f>
        <v>0</v>
      </c>
      <c r="E34" s="618">
        <v>0</v>
      </c>
      <c r="F34" s="414">
        <v>0</v>
      </c>
      <c r="G34" s="618">
        <f>+'[33]Variance Plan'!$F$6/31</f>
        <v>0</v>
      </c>
      <c r="H34"/>
      <c r="I34" s="275">
        <f>B34-C34</f>
        <v>3.600082870084476</v>
      </c>
      <c r="J34" s="275">
        <f>D34-E34</f>
        <v>0</v>
      </c>
      <c r="K34" s="275">
        <f>F34-G34</f>
        <v>0</v>
      </c>
      <c r="L34" s="273">
        <f>I34*$B$11*$C$29</f>
        <v>48081.229363704813</v>
      </c>
      <c r="M34" s="273">
        <f>J34*$B$12*$C$29</f>
        <v>0</v>
      </c>
      <c r="N34" s="273">
        <f>K34*$B$10*$C$29</f>
        <v>0</v>
      </c>
      <c r="O34" s="621">
        <f>SUM(L34:N34)</f>
        <v>48081.229363704813</v>
      </c>
      <c r="P34" s="273">
        <f>SUM(O$34:O34)</f>
        <v>48081.229363704813</v>
      </c>
      <c r="Q34" s="181">
        <f>+'[30]Daily Log (Levelized)'!$C163</f>
        <v>330212</v>
      </c>
      <c r="R34" s="276">
        <f>+Q34-O34</f>
        <v>282130.7706362952</v>
      </c>
      <c r="S34" s="617">
        <v>40692</v>
      </c>
    </row>
    <row r="35" spans="1:19">
      <c r="A35" s="617">
        <f>+A34+1</f>
        <v>40693</v>
      </c>
      <c r="B35" s="618">
        <f>+'[18]Daily Actuals vs Daily Normals'!$B174</f>
        <v>9.7506217898269671</v>
      </c>
      <c r="C35" s="618">
        <f>+C34</f>
        <v>6.4008331866910133</v>
      </c>
      <c r="D35" s="618">
        <f>+'[18]Daily Actuals vs Daily Normals'!$I105</f>
        <v>0</v>
      </c>
      <c r="E35" s="618">
        <f>+E34</f>
        <v>0</v>
      </c>
      <c r="F35" s="414">
        <v>0</v>
      </c>
      <c r="G35" s="618">
        <f>+'[33]Variance Plan'!$F$6/31</f>
        <v>0</v>
      </c>
      <c r="H35"/>
      <c r="I35" s="275">
        <f>B35-C35</f>
        <v>3.3497886031359538</v>
      </c>
      <c r="J35" s="275">
        <f>D35-E35</f>
        <v>0</v>
      </c>
      <c r="K35" s="275">
        <f>F35-G35</f>
        <v>0</v>
      </c>
      <c r="L35" s="273">
        <f>I35*$B$11*$C$29</f>
        <v>44738.40185337868</v>
      </c>
      <c r="M35" s="273">
        <f>J35*$B$12*$C$29</f>
        <v>0</v>
      </c>
      <c r="N35" s="273">
        <f>K35*$B$10*$C$29</f>
        <v>0</v>
      </c>
      <c r="O35" s="621">
        <f>SUM(L35:N35)</f>
        <v>44738.40185337868</v>
      </c>
      <c r="P35" s="273">
        <f>SUM(O$34:O35)</f>
        <v>92819.631217083486</v>
      </c>
      <c r="Q35" s="181">
        <f>+'[30]Daily Log (Levelized)'!$C164</f>
        <v>334159</v>
      </c>
      <c r="R35" s="276">
        <f>+Q35-O35</f>
        <v>289420.59814662131</v>
      </c>
      <c r="S35" s="617">
        <f>+S34+1</f>
        <v>40693</v>
      </c>
    </row>
    <row r="36" spans="1:19">
      <c r="A36" s="617">
        <f>+A35+1</f>
        <v>40694</v>
      </c>
      <c r="B36" s="618">
        <f>+'[18]Daily Actuals vs Daily Normals'!$B175</f>
        <v>9.5126505398665646</v>
      </c>
      <c r="C36" s="618">
        <f>+C35</f>
        <v>6.4008331866910133</v>
      </c>
      <c r="D36" s="618">
        <f>+'[18]Daily Actuals vs Daily Normals'!$I106</f>
        <v>0</v>
      </c>
      <c r="E36" s="618">
        <f>+E35</f>
        <v>0</v>
      </c>
      <c r="F36" s="414">
        <v>0</v>
      </c>
      <c r="G36" s="618">
        <f>+'[33]Variance Plan'!$F$6/31</f>
        <v>0</v>
      </c>
      <c r="H36"/>
      <c r="I36" s="275">
        <f>B36-C36</f>
        <v>3.1118173531755513</v>
      </c>
      <c r="J36" s="275">
        <f>D36-E36</f>
        <v>0</v>
      </c>
      <c r="K36" s="275">
        <f>F36-G36</f>
        <v>0</v>
      </c>
      <c r="L36" s="273">
        <f>I36*$B$11*$C$29</f>
        <v>41560.15550066482</v>
      </c>
      <c r="M36" s="273">
        <f>J36*$B$12*$C$29</f>
        <v>0</v>
      </c>
      <c r="N36" s="273">
        <f>K36*$B$10*$C$29</f>
        <v>0</v>
      </c>
      <c r="O36" s="621">
        <f>SUM(L36:N36)</f>
        <v>41560.15550066482</v>
      </c>
      <c r="P36" s="273">
        <f>SUM(O$34:O36)</f>
        <v>134379.7867177483</v>
      </c>
      <c r="Q36" s="181">
        <f>+'[30]Daily Log (Levelized)'!$C165</f>
        <v>348842</v>
      </c>
      <c r="R36" s="276">
        <f>+Q36-O36</f>
        <v>307281.84449933516</v>
      </c>
      <c r="S36" s="617">
        <f>+S35+1</f>
        <v>40694</v>
      </c>
    </row>
    <row r="37" spans="1:19">
      <c r="H37"/>
      <c r="L37" s="273"/>
      <c r="O37" s="629">
        <f>SUM(O34:O36)</f>
        <v>134379.7867177483</v>
      </c>
      <c r="P37" s="426">
        <f>SUM(P34:P36)</f>
        <v>275280.64729853661</v>
      </c>
      <c r="Q37" s="426">
        <f>SUM(Q34:Q36)</f>
        <v>1013213</v>
      </c>
      <c r="R37" s="459">
        <f>SUM(R34:R36)</f>
        <v>878833.21328225173</v>
      </c>
    </row>
    <row r="38" spans="1:19">
      <c r="H38"/>
      <c r="L38" s="273"/>
      <c r="R38" s="426"/>
    </row>
    <row r="39" spans="1:19">
      <c r="H39"/>
    </row>
    <row r="40" spans="1:19">
      <c r="H40"/>
      <c r="O40" s="426">
        <f>O37-O6</f>
        <v>57494.202777453378</v>
      </c>
    </row>
    <row r="41" spans="1:19">
      <c r="H41"/>
    </row>
    <row r="42" spans="1:19">
      <c r="H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B1:L52"/>
  <sheetViews>
    <sheetView workbookViewId="0">
      <selection activeCell="B1" sqref="B1"/>
    </sheetView>
  </sheetViews>
  <sheetFormatPr defaultRowHeight="13.2"/>
  <cols>
    <col min="2" max="2" width="33.33203125" customWidth="1"/>
    <col min="3" max="3" width="12.88671875" bestFit="1" customWidth="1"/>
    <col min="4" max="4" width="10.109375" bestFit="1" customWidth="1"/>
    <col min="9" max="9" width="27.6640625" bestFit="1" customWidth="1"/>
  </cols>
  <sheetData>
    <row r="1" spans="2:12" ht="50.25" customHeight="1">
      <c r="B1" s="780" t="s">
        <v>493</v>
      </c>
    </row>
    <row r="3" spans="2:12">
      <c r="C3" s="411">
        <v>40909</v>
      </c>
      <c r="J3" s="411">
        <f>+C3</f>
        <v>40909</v>
      </c>
    </row>
    <row r="4" spans="2:12">
      <c r="B4" s="411" t="s">
        <v>261</v>
      </c>
      <c r="C4" s="5">
        <f>SUM('[26]Daily Log (Levelized)'!$C$8:$C$38)</f>
        <v>7966538</v>
      </c>
      <c r="J4" s="5">
        <f>+C4</f>
        <v>7966538</v>
      </c>
    </row>
    <row r="6" spans="2:12">
      <c r="C6" s="411">
        <v>40544</v>
      </c>
      <c r="J6" s="411">
        <f>+C6</f>
        <v>40544</v>
      </c>
    </row>
    <row r="7" spans="2:12">
      <c r="B7" s="411" t="s">
        <v>261</v>
      </c>
      <c r="C7" s="5">
        <f>SUM('[30]Daily Log (Levelized)'!$C$15:$C$45)</f>
        <v>7922768</v>
      </c>
      <c r="E7" s="183">
        <f>C$4/C7-1</f>
        <v>5.5245843371911629E-3</v>
      </c>
      <c r="I7" s="411" t="str">
        <f>+B7</f>
        <v>sum dailies (1/1 - 1/31)</v>
      </c>
      <c r="J7" s="5">
        <f>+C7</f>
        <v>7922768</v>
      </c>
      <c r="L7" s="183">
        <f>J$4/J7-1</f>
        <v>5.5245843371911629E-3</v>
      </c>
    </row>
    <row r="8" spans="2:12">
      <c r="B8" s="411" t="s">
        <v>262</v>
      </c>
      <c r="C8" s="5">
        <f>SUM('[30]Daily Log (Levelized)'!$C$12:$C$42)</f>
        <v>8020027</v>
      </c>
      <c r="E8" s="183">
        <f>C$4/C8-1</f>
        <v>-6.6694289183814037E-3</v>
      </c>
      <c r="F8" s="415">
        <f>E8-E7</f>
        <v>-1.2194013255572567E-2</v>
      </c>
      <c r="I8" s="411" t="s">
        <v>263</v>
      </c>
      <c r="J8" s="5">
        <f>+C8+C48</f>
        <v>7922768</v>
      </c>
      <c r="L8" s="183">
        <f>J$4/J8-1</f>
        <v>5.5245843371911629E-3</v>
      </c>
    </row>
    <row r="9" spans="2:12">
      <c r="B9" s="411" t="s">
        <v>264</v>
      </c>
      <c r="C9" s="5">
        <f>'[31]JAN (F) REV'!$F$55</f>
        <v>8060821</v>
      </c>
      <c r="E9" s="183">
        <f>C$4/C9-1</f>
        <v>-1.1696451267184771E-2</v>
      </c>
      <c r="I9" s="416" t="s">
        <v>265</v>
      </c>
      <c r="J9" s="5">
        <f>+C8+C51</f>
        <v>7923780.7785075121</v>
      </c>
      <c r="L9" s="183">
        <f>J$4/J9-1</f>
        <v>5.3960631531431158E-3</v>
      </c>
    </row>
    <row r="10" spans="2:12">
      <c r="B10" s="411"/>
    </row>
    <row r="11" spans="2:12">
      <c r="B11" s="411" t="s">
        <v>266</v>
      </c>
      <c r="C11" s="5">
        <f>[3]Retail!$N$6</f>
        <v>7428031.5939999996</v>
      </c>
    </row>
    <row r="12" spans="2:12">
      <c r="B12" s="411" t="s">
        <v>267</v>
      </c>
      <c r="C12" s="5">
        <f>[3]Retail!$O$6</f>
        <v>7358778.4931979077</v>
      </c>
    </row>
    <row r="13" spans="2:12">
      <c r="B13" s="411"/>
      <c r="C13" s="5">
        <f>C12-C11</f>
        <v>-69253.100802091882</v>
      </c>
    </row>
    <row r="14" spans="2:12">
      <c r="B14" s="411"/>
      <c r="C14" s="183">
        <f>C12/C11-1</f>
        <v>-9.323210318334052E-3</v>
      </c>
    </row>
    <row r="15" spans="2:12">
      <c r="B15" s="411"/>
      <c r="C15" s="183"/>
    </row>
    <row r="16" spans="2:12">
      <c r="B16" s="411" t="s">
        <v>268</v>
      </c>
      <c r="C16" s="233">
        <f>C11*C7/C8</f>
        <v>7337951.7320742421</v>
      </c>
    </row>
    <row r="17" spans="2:5">
      <c r="B17" s="411" t="s">
        <v>267</v>
      </c>
      <c r="C17" s="5">
        <f>[3]Retail!$O$6</f>
        <v>7358778.4931979077</v>
      </c>
    </row>
    <row r="18" spans="2:5">
      <c r="B18" s="411"/>
      <c r="C18" s="5">
        <f>C17-C16</f>
        <v>20826.761123665608</v>
      </c>
    </row>
    <row r="19" spans="2:5">
      <c r="B19" s="411"/>
      <c r="C19" s="183">
        <f>C17/C16-1</f>
        <v>2.8382254182228728E-3</v>
      </c>
    </row>
    <row r="20" spans="2:5">
      <c r="B20" s="411"/>
    </row>
    <row r="21" spans="2:5">
      <c r="B21" s="411" t="s">
        <v>83</v>
      </c>
      <c r="C21" s="415">
        <f>C14-C19</f>
        <v>-1.2161435736556925E-2</v>
      </c>
    </row>
    <row r="22" spans="2:5">
      <c r="B22" s="411"/>
    </row>
    <row r="23" spans="2:5">
      <c r="B23" s="411"/>
    </row>
    <row r="24" spans="2:5">
      <c r="B24" s="411"/>
      <c r="C24" s="5"/>
    </row>
    <row r="25" spans="2:5">
      <c r="B25" s="411"/>
    </row>
    <row r="26" spans="2:5">
      <c r="B26" s="411"/>
    </row>
    <row r="27" spans="2:5">
      <c r="B27" s="411"/>
    </row>
    <row r="28" spans="2:5">
      <c r="B28" s="411"/>
    </row>
    <row r="29" spans="2:5">
      <c r="B29" s="411"/>
    </row>
    <row r="30" spans="2:5">
      <c r="B30" s="411"/>
    </row>
    <row r="31" spans="2:5">
      <c r="B31" s="411"/>
    </row>
    <row r="32" spans="2:5">
      <c r="B32" s="417">
        <v>40541</v>
      </c>
      <c r="C32" s="5">
        <f>'[30]Daily Log (Levelized)'!$C12</f>
        <v>341336</v>
      </c>
      <c r="D32" s="417">
        <v>40906</v>
      </c>
      <c r="E32" s="5">
        <f>'[30]Daily Log (Levelized)'!$C377</f>
        <v>245289</v>
      </c>
    </row>
    <row r="33" spans="2:7">
      <c r="B33" s="417">
        <v>40542</v>
      </c>
      <c r="C33" s="5">
        <f>'[30]Daily Log (Levelized)'!$C13</f>
        <v>269403</v>
      </c>
      <c r="D33" s="417">
        <v>40907</v>
      </c>
      <c r="E33" s="5">
        <f>'[30]Daily Log (Levelized)'!$C378</f>
        <v>243039</v>
      </c>
    </row>
    <row r="34" spans="2:7">
      <c r="B34" s="417">
        <v>40543</v>
      </c>
      <c r="C34" s="5">
        <f>'[30]Daily Log (Levelized)'!$C14</f>
        <v>237279</v>
      </c>
      <c r="D34" s="417">
        <v>40908</v>
      </c>
      <c r="E34" s="5">
        <f>'[30]Daily Log (Levelized)'!$C379</f>
        <v>241481</v>
      </c>
    </row>
    <row r="35" spans="2:7">
      <c r="B35" s="411"/>
      <c r="C35" s="418">
        <f>SUM(C32:C34)</f>
        <v>848018</v>
      </c>
      <c r="E35" s="5">
        <f>SUM(E32:E34)</f>
        <v>729809</v>
      </c>
      <c r="G35" s="5">
        <f>E35-C35</f>
        <v>-118209</v>
      </c>
    </row>
    <row r="36" spans="2:7">
      <c r="B36" s="419" t="s">
        <v>269</v>
      </c>
      <c r="C36" s="418">
        <f ca="1">'jan_data (2)'!R6</f>
        <v>851228.50832182704</v>
      </c>
      <c r="D36" s="5"/>
      <c r="E36" s="5"/>
      <c r="G36" s="5"/>
    </row>
    <row r="37" spans="2:7">
      <c r="B37" s="411"/>
      <c r="G37" s="5"/>
    </row>
    <row r="38" spans="2:7">
      <c r="B38" s="417">
        <v>40572</v>
      </c>
      <c r="C38" s="5">
        <f>'[30]Daily Log (Levelized)'!$C43</f>
        <v>261851</v>
      </c>
      <c r="D38" s="417">
        <v>40937</v>
      </c>
      <c r="E38" s="5">
        <f>'[26]Daily Log (Levelized)'!$C36</f>
        <v>241168</v>
      </c>
      <c r="G38" s="5"/>
    </row>
    <row r="39" spans="2:7">
      <c r="B39" s="417">
        <v>40573</v>
      </c>
      <c r="C39" s="5">
        <f>'[30]Daily Log (Levelized)'!$C44</f>
        <v>243158</v>
      </c>
      <c r="D39" s="417">
        <v>40938</v>
      </c>
      <c r="E39" s="5">
        <f>'[26]Daily Log (Levelized)'!$C37</f>
        <v>253341</v>
      </c>
      <c r="G39" s="5"/>
    </row>
    <row r="40" spans="2:7">
      <c r="B40" s="417">
        <v>40574</v>
      </c>
      <c r="C40" s="5">
        <f>'[30]Daily Log (Levelized)'!$C45</f>
        <v>245750</v>
      </c>
      <c r="D40" s="417">
        <v>40939</v>
      </c>
      <c r="E40" s="5">
        <f>'[26]Daily Log (Levelized)'!$C38</f>
        <v>255407</v>
      </c>
      <c r="G40" s="5"/>
    </row>
    <row r="41" spans="2:7">
      <c r="C41" s="418">
        <f>SUM(C38:C40)</f>
        <v>750759</v>
      </c>
      <c r="E41" s="420">
        <f>SUM(E38:E40)</f>
        <v>749916</v>
      </c>
      <c r="G41" s="5">
        <f>E41-C41</f>
        <v>-843</v>
      </c>
    </row>
    <row r="42" spans="2:7">
      <c r="B42" s="421" t="s">
        <v>269</v>
      </c>
      <c r="C42" s="418">
        <f ca="1">'jan_data (2)'!R37</f>
        <v>754982.28682933934</v>
      </c>
      <c r="E42" s="420">
        <v>808797</v>
      </c>
      <c r="F42" s="5"/>
      <c r="G42" s="5"/>
    </row>
    <row r="45" spans="2:7">
      <c r="C45" s="233">
        <f>C41-C35</f>
        <v>-97259</v>
      </c>
      <c r="D45" s="233"/>
      <c r="E45" s="233">
        <f>E41-E35</f>
        <v>20107</v>
      </c>
      <c r="F45" s="233"/>
      <c r="G45" s="233">
        <f>G41-G35</f>
        <v>117366</v>
      </c>
    </row>
    <row r="48" spans="2:7">
      <c r="B48" t="s">
        <v>83</v>
      </c>
      <c r="C48" s="5">
        <f>C41-C35</f>
        <v>-97259</v>
      </c>
      <c r="E48" t="s">
        <v>270</v>
      </c>
    </row>
    <row r="49" spans="2:5">
      <c r="C49" s="183">
        <f>C48/C7</f>
        <v>-1.2275886407376816E-2</v>
      </c>
    </row>
    <row r="50" spans="2:5">
      <c r="E50" t="s">
        <v>271</v>
      </c>
    </row>
    <row r="51" spans="2:5">
      <c r="B51" t="s">
        <v>272</v>
      </c>
      <c r="C51" s="5">
        <f>C42-C36</f>
        <v>-96246.221492487704</v>
      </c>
    </row>
    <row r="52" spans="2:5">
      <c r="B52" t="s">
        <v>54</v>
      </c>
      <c r="C52" s="5">
        <f>C48-C51</f>
        <v>-1012.7785075122956</v>
      </c>
    </row>
  </sheetData>
  <phoneticPr fontId="2" type="noConversion"/>
  <pageMargins left="0.75" right="0.75" top="1" bottom="1" header="0.5" footer="0.5"/>
  <pageSetup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53"/>
  <sheetViews>
    <sheetView topLeftCell="B1" workbookViewId="0">
      <selection activeCell="B1" sqref="B1"/>
    </sheetView>
  </sheetViews>
  <sheetFormatPr defaultRowHeight="13.2"/>
  <cols>
    <col min="1" max="1" width="27.109375" customWidth="1"/>
    <col min="2" max="2" width="33.33203125" customWidth="1"/>
    <col min="3" max="3" width="12.88671875" bestFit="1" customWidth="1"/>
    <col min="4" max="4" width="14.33203125" customWidth="1"/>
    <col min="9" max="9" width="27.6640625" bestFit="1" customWidth="1"/>
  </cols>
  <sheetData>
    <row r="1" spans="1:12" ht="58.5" customHeight="1">
      <c r="B1" s="780" t="s">
        <v>494</v>
      </c>
    </row>
    <row r="3" spans="1:12">
      <c r="B3" s="94">
        <v>2012</v>
      </c>
      <c r="C3" s="448">
        <v>40940</v>
      </c>
      <c r="J3" s="411">
        <f>+C3</f>
        <v>40940</v>
      </c>
    </row>
    <row r="4" spans="1:12">
      <c r="A4" s="411"/>
      <c r="B4" s="411" t="s">
        <v>295</v>
      </c>
      <c r="C4" s="81">
        <f>SUM('[26]Daily Log (Levelized)'!$C$39:$C$67)</f>
        <v>7695954</v>
      </c>
      <c r="D4" s="232" t="s">
        <v>296</v>
      </c>
      <c r="J4" s="5">
        <f>+C4</f>
        <v>7695954</v>
      </c>
    </row>
    <row r="6" spans="1:12">
      <c r="B6" s="449">
        <v>2011</v>
      </c>
      <c r="C6" s="450">
        <v>40575</v>
      </c>
      <c r="J6" s="411">
        <f>+C6</f>
        <v>40575</v>
      </c>
    </row>
    <row r="7" spans="1:12">
      <c r="A7" s="411"/>
      <c r="B7" s="411" t="s">
        <v>297</v>
      </c>
      <c r="C7" s="226">
        <f>SUM('[30]Daily Log (Levelized)'!$C$46:$C$73)</f>
        <v>7253717</v>
      </c>
      <c r="E7" s="183">
        <f>C$4/C7-1</f>
        <v>6.0966949772096157E-2</v>
      </c>
      <c r="I7" s="411" t="str">
        <f>+B7</f>
        <v>sum dailies (2/1 - 2/28)</v>
      </c>
      <c r="J7" s="5">
        <f>+C7</f>
        <v>7253717</v>
      </c>
      <c r="L7" s="183">
        <f>J$4/J7-1</f>
        <v>6.0966949772096157E-2</v>
      </c>
    </row>
    <row r="8" spans="1:12">
      <c r="A8" s="411"/>
      <c r="B8" s="411" t="s">
        <v>298</v>
      </c>
      <c r="C8" s="226">
        <f>SUM('[30]Daily Log (Levelized)'!$C$43:$C$73)</f>
        <v>8004476</v>
      </c>
      <c r="E8" s="183">
        <f>C$4/C8-1</f>
        <v>-3.8543684808349687E-2</v>
      </c>
      <c r="F8" s="415">
        <f>E8-E7</f>
        <v>-9.9510634580445845E-2</v>
      </c>
      <c r="I8" s="411" t="s">
        <v>299</v>
      </c>
      <c r="J8" s="5">
        <f>+C8+C49</f>
        <v>8058143</v>
      </c>
      <c r="L8" s="183">
        <f>J$4/J8-1</f>
        <v>-4.4946956141135752E-2</v>
      </c>
    </row>
    <row r="9" spans="1:12">
      <c r="A9" s="411"/>
      <c r="B9" s="411" t="s">
        <v>264</v>
      </c>
      <c r="C9" s="226">
        <f>+'[31]FEB(F) '!$F$55</f>
        <v>7228180</v>
      </c>
      <c r="E9" s="183">
        <f>C$4/C9-1</f>
        <v>6.4715322529322661E-2</v>
      </c>
      <c r="I9" s="416" t="s">
        <v>300</v>
      </c>
      <c r="J9" s="5">
        <f>+C8+C52</f>
        <v>7937751.6951763416</v>
      </c>
      <c r="L9" s="183">
        <f>J$4/J9-1</f>
        <v>-3.0461735824172775E-2</v>
      </c>
    </row>
    <row r="10" spans="1:12">
      <c r="A10" s="411"/>
      <c r="B10" s="411"/>
    </row>
    <row r="11" spans="1:12">
      <c r="A11" s="411"/>
      <c r="B11" s="411" t="s">
        <v>301</v>
      </c>
      <c r="C11" s="5">
        <f>[3]Retail!$N$7</f>
        <v>6668738.3879999993</v>
      </c>
    </row>
    <row r="12" spans="1:12">
      <c r="A12" s="411"/>
      <c r="B12" s="448" t="s">
        <v>302</v>
      </c>
      <c r="C12" s="5">
        <f>+[3]Retail!$O$7</f>
        <v>7121778.1245228592</v>
      </c>
      <c r="D12" s="45" t="s">
        <v>303</v>
      </c>
    </row>
    <row r="13" spans="1:12">
      <c r="A13" s="411"/>
      <c r="B13" s="411" t="s">
        <v>304</v>
      </c>
      <c r="C13" s="5">
        <f>C12-C11</f>
        <v>453039.73652285989</v>
      </c>
      <c r="D13" s="232" t="s">
        <v>296</v>
      </c>
    </row>
    <row r="14" spans="1:12">
      <c r="A14" s="411"/>
      <c r="B14" s="411"/>
      <c r="C14" s="183">
        <f>C12/C11-1</f>
        <v>6.7934849166984668E-2</v>
      </c>
    </row>
    <row r="15" spans="1:12">
      <c r="A15" s="411"/>
      <c r="B15" s="411"/>
      <c r="C15" s="183"/>
    </row>
    <row r="16" spans="1:12">
      <c r="A16" s="411"/>
      <c r="B16" s="411" t="s">
        <v>305</v>
      </c>
      <c r="C16" s="233">
        <f>C11*C7/C8</f>
        <v>6043261.4219329515</v>
      </c>
    </row>
    <row r="17" spans="1:5">
      <c r="A17" s="411"/>
      <c r="B17" s="411" t="s">
        <v>306</v>
      </c>
      <c r="C17" s="233">
        <f>[3]Retail!$O$7</f>
        <v>7121778.1245228592</v>
      </c>
      <c r="D17" s="45" t="s">
        <v>303</v>
      </c>
    </row>
    <row r="18" spans="1:5">
      <c r="A18" s="411"/>
      <c r="B18" s="411"/>
      <c r="C18" s="5">
        <f>C17-C16</f>
        <v>1078516.7025899077</v>
      </c>
      <c r="D18" s="232" t="s">
        <v>296</v>
      </c>
    </row>
    <row r="19" spans="1:5">
      <c r="A19" s="411"/>
      <c r="B19" s="411"/>
      <c r="C19" s="183">
        <f>C17/C16-1</f>
        <v>0.17846600159900761</v>
      </c>
    </row>
    <row r="20" spans="1:5">
      <c r="A20" s="411"/>
      <c r="B20" s="411"/>
    </row>
    <row r="21" spans="1:5">
      <c r="A21" s="411"/>
      <c r="B21" s="451" t="s">
        <v>83</v>
      </c>
      <c r="C21" s="452">
        <f>C14-C19</f>
        <v>-0.11053115243202294</v>
      </c>
    </row>
    <row r="22" spans="1:5">
      <c r="B22" s="411"/>
    </row>
    <row r="23" spans="1:5">
      <c r="B23" s="411"/>
    </row>
    <row r="24" spans="1:5">
      <c r="B24" s="411"/>
      <c r="C24" s="5"/>
    </row>
    <row r="25" spans="1:5">
      <c r="B25" s="411"/>
    </row>
    <row r="26" spans="1:5">
      <c r="B26" s="411"/>
    </row>
    <row r="27" spans="1:5">
      <c r="B27" s="411"/>
    </row>
    <row r="28" spans="1:5">
      <c r="B28" s="411"/>
    </row>
    <row r="29" spans="1:5">
      <c r="B29" s="411"/>
    </row>
    <row r="30" spans="1:5">
      <c r="B30" s="411"/>
    </row>
    <row r="31" spans="1:5">
      <c r="B31" s="411"/>
      <c r="C31" s="94"/>
    </row>
    <row r="32" spans="1:5">
      <c r="A32" s="417"/>
      <c r="B32" s="453">
        <v>40572</v>
      </c>
      <c r="C32" s="5">
        <f>'[30]Daily Log (Levelized)'!$C43</f>
        <v>261851</v>
      </c>
      <c r="D32" s="417">
        <v>40937</v>
      </c>
      <c r="E32" s="5">
        <f>+'[26]Daily Log (Levelized)'!$C36</f>
        <v>241168</v>
      </c>
    </row>
    <row r="33" spans="1:7">
      <c r="A33" s="417"/>
      <c r="B33" s="453">
        <v>40573</v>
      </c>
      <c r="C33" s="5">
        <f>'[30]Daily Log (Levelized)'!$C44</f>
        <v>243158</v>
      </c>
      <c r="D33" s="417">
        <v>40938</v>
      </c>
      <c r="E33" s="5">
        <f>+'[26]Daily Log (Levelized)'!$C37</f>
        <v>253341</v>
      </c>
    </row>
    <row r="34" spans="1:7">
      <c r="A34" s="417"/>
      <c r="B34" s="453">
        <v>40574</v>
      </c>
      <c r="C34" s="5">
        <f>'[30]Daily Log (Levelized)'!$C45</f>
        <v>245750</v>
      </c>
      <c r="D34" s="417">
        <v>40939</v>
      </c>
      <c r="E34" s="5">
        <f>+'[26]Daily Log (Levelized)'!$C38</f>
        <v>255407</v>
      </c>
    </row>
    <row r="35" spans="1:7">
      <c r="A35" s="411"/>
      <c r="B35" s="411"/>
      <c r="C35" s="418">
        <f>SUM(C32:C34)</f>
        <v>750759</v>
      </c>
      <c r="E35" s="5">
        <f>SUM(E32:E34)</f>
        <v>749916</v>
      </c>
      <c r="G35" s="5">
        <f>E35-C35</f>
        <v>-843</v>
      </c>
    </row>
    <row r="36" spans="1:7">
      <c r="A36" s="419"/>
      <c r="B36" s="419" t="s">
        <v>269</v>
      </c>
      <c r="C36" s="418">
        <f>+'[34]Feb_data (2)'!S5</f>
        <v>769908.85359771666</v>
      </c>
      <c r="D36" s="81" t="s">
        <v>307</v>
      </c>
      <c r="E36" s="5"/>
      <c r="G36" s="5"/>
    </row>
    <row r="37" spans="1:7">
      <c r="A37" s="411"/>
      <c r="B37" s="411"/>
      <c r="G37" s="5"/>
    </row>
    <row r="38" spans="1:7">
      <c r="A38" s="417"/>
      <c r="B38" s="453">
        <v>40600</v>
      </c>
      <c r="C38" s="5">
        <f>'[30]Daily Log (Levelized)'!$C71</f>
        <v>258628</v>
      </c>
      <c r="D38" s="417">
        <v>40965</v>
      </c>
      <c r="E38" s="5">
        <f>+'[26]Daily Log (Levelized)'!$C64</f>
        <v>250705</v>
      </c>
      <c r="G38" s="5"/>
    </row>
    <row r="39" spans="1:7">
      <c r="A39" s="417"/>
      <c r="B39" s="453">
        <f>+B38+1</f>
        <v>40601</v>
      </c>
      <c r="C39" s="5">
        <f>'[30]Daily Log (Levelized)'!$C72</f>
        <v>262186</v>
      </c>
      <c r="D39" s="417">
        <v>40966</v>
      </c>
      <c r="E39" s="5">
        <f>+'[26]Daily Log (Levelized)'!$C65</f>
        <v>288646</v>
      </c>
      <c r="G39" s="5"/>
    </row>
    <row r="40" spans="1:7">
      <c r="A40" s="417"/>
      <c r="B40" s="453">
        <f>+B39+1</f>
        <v>40602</v>
      </c>
      <c r="C40" s="5">
        <f>'[30]Daily Log (Levelized)'!$C73</f>
        <v>283612</v>
      </c>
      <c r="D40" s="417">
        <v>40967</v>
      </c>
      <c r="E40" s="5">
        <f>+'[26]Daily Log (Levelized)'!$C66</f>
        <v>292525</v>
      </c>
      <c r="G40" s="5"/>
    </row>
    <row r="41" spans="1:7">
      <c r="A41" s="417"/>
      <c r="B41" s="453"/>
      <c r="C41" s="5"/>
      <c r="D41" s="454">
        <v>40968</v>
      </c>
      <c r="E41" s="5"/>
      <c r="F41" s="121">
        <f>+'[26]Daily Log (Levelized)'!$C$67</f>
        <v>295106</v>
      </c>
      <c r="G41" s="232" t="s">
        <v>308</v>
      </c>
    </row>
    <row r="42" spans="1:7">
      <c r="C42" s="418">
        <f>SUM(C38:C40)</f>
        <v>804426</v>
      </c>
      <c r="E42" s="420">
        <f>SUM(E38:E41)</f>
        <v>831876</v>
      </c>
      <c r="G42" s="5">
        <f>E42-C42</f>
        <v>27450</v>
      </c>
    </row>
    <row r="43" spans="1:7">
      <c r="A43" s="421"/>
      <c r="B43" s="421" t="s">
        <v>269</v>
      </c>
      <c r="C43" s="418">
        <f>+'[34]Feb_data (2)'!S36</f>
        <v>703184.54877405835</v>
      </c>
      <c r="D43" s="81" t="s">
        <v>307</v>
      </c>
      <c r="E43" s="420">
        <v>808797</v>
      </c>
      <c r="F43" s="5"/>
      <c r="G43" s="5"/>
    </row>
    <row r="46" spans="1:7">
      <c r="C46" s="233">
        <f>C42-C35</f>
        <v>53667</v>
      </c>
      <c r="D46" s="233"/>
      <c r="E46" s="233">
        <f>E42-E35</f>
        <v>81960</v>
      </c>
      <c r="F46" s="233"/>
      <c r="G46" s="233">
        <f>G42-G35</f>
        <v>28293</v>
      </c>
    </row>
    <row r="49" spans="2:5">
      <c r="B49" t="s">
        <v>83</v>
      </c>
      <c r="C49" s="5">
        <f>C42-C35</f>
        <v>53667</v>
      </c>
      <c r="E49" t="s">
        <v>270</v>
      </c>
    </row>
    <row r="50" spans="2:5">
      <c r="C50" s="183">
        <f>C49/C7</f>
        <v>7.39855166668344E-3</v>
      </c>
    </row>
    <row r="51" spans="2:5">
      <c r="E51" t="s">
        <v>271</v>
      </c>
    </row>
    <row r="52" spans="2:5">
      <c r="B52" t="s">
        <v>272</v>
      </c>
      <c r="C52" s="5">
        <f>C43-C36</f>
        <v>-66724.304823658313</v>
      </c>
    </row>
    <row r="53" spans="2:5">
      <c r="B53" t="s">
        <v>54</v>
      </c>
      <c r="C53" s="5">
        <f>C49-C52</f>
        <v>120391.30482365831</v>
      </c>
    </row>
  </sheetData>
  <phoneticPr fontId="2" type="noConversion"/>
  <pageMargins left="0.75" right="0.75" top="1" bottom="1" header="0.5" footer="0.5"/>
  <pageSetup scale="7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L52"/>
  <sheetViews>
    <sheetView workbookViewId="0">
      <selection activeCell="B1" sqref="B1"/>
    </sheetView>
  </sheetViews>
  <sheetFormatPr defaultRowHeight="13.2"/>
  <cols>
    <col min="1" max="1" width="10.88671875" customWidth="1"/>
    <col min="2" max="2" width="33.33203125" customWidth="1"/>
    <col min="3" max="3" width="12.88671875" bestFit="1" customWidth="1"/>
    <col min="4" max="4" width="10.109375" bestFit="1" customWidth="1"/>
    <col min="9" max="9" width="27.6640625" bestFit="1" customWidth="1"/>
  </cols>
  <sheetData>
    <row r="1" spans="1:12" ht="54.75" customHeight="1">
      <c r="B1" s="780" t="s">
        <v>495</v>
      </c>
    </row>
    <row r="3" spans="1:12">
      <c r="C3" s="448">
        <v>40969</v>
      </c>
      <c r="J3" s="411">
        <f>+C3</f>
        <v>40969</v>
      </c>
    </row>
    <row r="4" spans="1:12">
      <c r="A4" s="411"/>
      <c r="B4" s="448" t="s">
        <v>322</v>
      </c>
      <c r="C4" s="81">
        <f>SUM('[26]Daily Log (Levelized)'!$C$68:$C$98)</f>
        <v>8636166</v>
      </c>
      <c r="D4" s="232" t="s">
        <v>338</v>
      </c>
      <c r="J4" s="5">
        <f>+C4</f>
        <v>8636166</v>
      </c>
    </row>
    <row r="6" spans="1:12">
      <c r="C6" s="448">
        <v>40603</v>
      </c>
      <c r="J6" s="411">
        <f>+C6</f>
        <v>40603</v>
      </c>
    </row>
    <row r="7" spans="1:12">
      <c r="A7" s="411"/>
      <c r="B7" s="448" t="s">
        <v>322</v>
      </c>
      <c r="C7" s="5">
        <f>SUM('[30]Daily Log (Levelized)'!$C$74:$C$104)</f>
        <v>8196116.5</v>
      </c>
      <c r="E7" s="183">
        <f>C$4/C7-1</f>
        <v>5.369000062407614E-2</v>
      </c>
      <c r="I7" s="411" t="str">
        <f>+B7</f>
        <v>sum dailies (3/1 - 3/31)</v>
      </c>
      <c r="J7" s="5">
        <f>+C7</f>
        <v>8196116.5</v>
      </c>
      <c r="L7" s="183">
        <f>J$4/J7-1</f>
        <v>5.369000062407614E-2</v>
      </c>
    </row>
    <row r="8" spans="1:12">
      <c r="A8" s="411"/>
      <c r="B8" s="448" t="s">
        <v>323</v>
      </c>
      <c r="C8" s="5">
        <f>SUM('[30]Daily Log (Levelized)'!$C$71:$C$101)</f>
        <v>8088453.5</v>
      </c>
      <c r="E8" s="183">
        <f>C$4/C8-1</f>
        <v>6.7715354981023212E-2</v>
      </c>
      <c r="F8" s="415">
        <f>E8-E7</f>
        <v>1.4025354356947073E-2</v>
      </c>
      <c r="I8" s="411" t="s">
        <v>339</v>
      </c>
      <c r="J8" s="5">
        <f>+C8+C48</f>
        <v>8196116.5</v>
      </c>
      <c r="L8" s="183">
        <f>J$4/J8-1</f>
        <v>5.369000062407614E-2</v>
      </c>
    </row>
    <row r="9" spans="1:12">
      <c r="A9" s="411"/>
      <c r="B9" s="448" t="s">
        <v>264</v>
      </c>
      <c r="C9" s="5">
        <f>+'[31]MAR(F)'!$F$55</f>
        <v>8081883</v>
      </c>
      <c r="E9" s="183">
        <f>C$4/C9-1</f>
        <v>6.8583398200642076E-2</v>
      </c>
      <c r="I9" s="411" t="s">
        <v>340</v>
      </c>
      <c r="J9" s="5">
        <f>+C8+C51</f>
        <v>8113757.8680842891</v>
      </c>
      <c r="L9" s="183">
        <f>J$4/J9-1</f>
        <v>6.4385472232369567E-2</v>
      </c>
    </row>
    <row r="10" spans="1:12">
      <c r="A10" s="411"/>
      <c r="B10" s="411"/>
    </row>
    <row r="11" spans="1:12">
      <c r="A11" s="411"/>
      <c r="B11" s="448" t="s">
        <v>324</v>
      </c>
      <c r="C11" s="5">
        <f>[3]Retail!$N$8</f>
        <v>7482396.0779999997</v>
      </c>
    </row>
    <row r="12" spans="1:12">
      <c r="A12" s="411"/>
      <c r="B12" s="448" t="s">
        <v>325</v>
      </c>
      <c r="C12" s="5">
        <f>[3]Retail!$O$8</f>
        <v>7968720.2680297131</v>
      </c>
    </row>
    <row r="13" spans="1:12">
      <c r="A13" s="411"/>
      <c r="B13" s="411"/>
      <c r="C13" s="5">
        <f>C12-C11</f>
        <v>486324.19002971333</v>
      </c>
    </row>
    <row r="14" spans="1:12">
      <c r="A14" s="411"/>
      <c r="B14" s="411"/>
      <c r="C14" s="183">
        <f>C12/C11-1</f>
        <v>6.4995782762639509E-2</v>
      </c>
    </row>
    <row r="15" spans="1:12">
      <c r="A15" s="411"/>
      <c r="B15" s="411"/>
      <c r="C15" s="183"/>
    </row>
    <row r="16" spans="1:12">
      <c r="A16" s="411"/>
      <c r="B16" s="411" t="s">
        <v>326</v>
      </c>
      <c r="C16" s="434">
        <f>C11*C7/C8</f>
        <v>7581992.0278247362</v>
      </c>
    </row>
    <row r="17" spans="1:5">
      <c r="A17" s="411"/>
      <c r="B17" s="411" t="s">
        <v>325</v>
      </c>
      <c r="C17" s="434">
        <f>[3]Retail!$O$8</f>
        <v>7968720.2680297131</v>
      </c>
    </row>
    <row r="18" spans="1:5">
      <c r="A18" s="411"/>
      <c r="B18" s="411"/>
      <c r="C18" s="5">
        <f>C17-C16</f>
        <v>386728.24020497687</v>
      </c>
    </row>
    <row r="19" spans="1:5">
      <c r="A19" s="411"/>
      <c r="B19" s="411"/>
      <c r="C19" s="183">
        <f>C17/C16-1</f>
        <v>5.1006152312709441E-2</v>
      </c>
    </row>
    <row r="20" spans="1:5">
      <c r="A20" s="411"/>
      <c r="B20" s="411"/>
    </row>
    <row r="21" spans="1:5">
      <c r="A21" s="411"/>
      <c r="B21" s="411" t="s">
        <v>83</v>
      </c>
      <c r="C21" s="415">
        <f>C14-C19</f>
        <v>1.3989630449930068E-2</v>
      </c>
    </row>
    <row r="22" spans="1:5">
      <c r="A22" s="411"/>
      <c r="B22" s="411"/>
    </row>
    <row r="23" spans="1:5">
      <c r="A23" s="411"/>
      <c r="B23" s="411"/>
    </row>
    <row r="24" spans="1:5">
      <c r="A24" s="411"/>
      <c r="B24" s="411"/>
      <c r="C24" s="5"/>
    </row>
    <row r="25" spans="1:5">
      <c r="A25" s="411"/>
      <c r="B25" s="411"/>
    </row>
    <row r="26" spans="1:5">
      <c r="A26" s="411"/>
      <c r="B26" s="411"/>
    </row>
    <row r="27" spans="1:5">
      <c r="A27" s="411"/>
      <c r="B27" s="411"/>
    </row>
    <row r="28" spans="1:5">
      <c r="A28" s="411"/>
      <c r="B28" s="411"/>
    </row>
    <row r="29" spans="1:5">
      <c r="A29" s="411"/>
      <c r="B29" s="411"/>
    </row>
    <row r="30" spans="1:5">
      <c r="A30" s="411"/>
      <c r="B30" s="411"/>
    </row>
    <row r="31" spans="1:5">
      <c r="A31" s="411"/>
      <c r="B31" s="411"/>
    </row>
    <row r="32" spans="1:5">
      <c r="A32" s="417"/>
      <c r="B32" s="417">
        <v>40600</v>
      </c>
      <c r="C32" s="5">
        <f>+'[30]Daily Log (Levelized)'!$C71</f>
        <v>258628</v>
      </c>
      <c r="D32" s="417">
        <v>40965</v>
      </c>
      <c r="E32" s="5">
        <f>+'[26]Daily Log (Levelized)'!$C64</f>
        <v>250705</v>
      </c>
    </row>
    <row r="33" spans="1:7">
      <c r="A33" s="417"/>
      <c r="B33" s="417">
        <v>40601</v>
      </c>
      <c r="C33" s="5">
        <f>+'[30]Daily Log (Levelized)'!$C72</f>
        <v>262186</v>
      </c>
      <c r="D33" s="417">
        <v>40966</v>
      </c>
      <c r="E33" s="5">
        <f>+'[26]Daily Log (Levelized)'!$C65</f>
        <v>288646</v>
      </c>
    </row>
    <row r="34" spans="1:7">
      <c r="A34" s="417"/>
      <c r="B34" s="417">
        <v>40602</v>
      </c>
      <c r="C34" s="5">
        <f>+'[30]Daily Log (Levelized)'!$C73</f>
        <v>283612</v>
      </c>
      <c r="D34" s="417">
        <v>40967</v>
      </c>
      <c r="E34" s="5">
        <f>+'[26]Daily Log (Levelized)'!$C66</f>
        <v>292525</v>
      </c>
      <c r="F34" s="130"/>
    </row>
    <row r="35" spans="1:7">
      <c r="A35" s="411"/>
      <c r="B35" s="411"/>
      <c r="C35" s="418">
        <f>SUM(C32:C34)</f>
        <v>804426</v>
      </c>
      <c r="E35" s="5">
        <f>SUM(E32:E34)</f>
        <v>831876</v>
      </c>
      <c r="G35" s="5">
        <f>E35-C35</f>
        <v>27450</v>
      </c>
    </row>
    <row r="36" spans="1:7">
      <c r="A36" s="419"/>
      <c r="B36" s="419" t="s">
        <v>269</v>
      </c>
      <c r="C36" s="418">
        <f ca="1">+'mar_data (2)'!R6</f>
        <v>757507.70003308868</v>
      </c>
      <c r="D36" s="81" t="s">
        <v>334</v>
      </c>
      <c r="E36" s="5"/>
      <c r="G36" s="5"/>
    </row>
    <row r="37" spans="1:7">
      <c r="A37" s="411"/>
      <c r="B37" s="411"/>
      <c r="G37" s="5"/>
    </row>
    <row r="38" spans="1:7">
      <c r="A38" s="417"/>
      <c r="B38" s="417">
        <v>40631</v>
      </c>
      <c r="C38" s="5">
        <f>'[30]Daily Log (Levelized)'!$C102</f>
        <v>285970</v>
      </c>
      <c r="D38" s="417">
        <v>40997</v>
      </c>
      <c r="E38" s="5">
        <f>+'[26]Daily Log (Levelized)'!$C96</f>
        <v>287354</v>
      </c>
      <c r="G38" s="5"/>
    </row>
    <row r="39" spans="1:7">
      <c r="A39" s="417"/>
      <c r="B39" s="417">
        <v>40632</v>
      </c>
      <c r="C39" s="5">
        <f>'[30]Daily Log (Levelized)'!$C103</f>
        <v>311584</v>
      </c>
      <c r="D39" s="417">
        <f>+D38+1</f>
        <v>40998</v>
      </c>
      <c r="E39" s="484">
        <f>+'[26]Daily Log (Levelized)'!$C97</f>
        <v>284757</v>
      </c>
      <c r="G39" s="5"/>
    </row>
    <row r="40" spans="1:7">
      <c r="A40" s="417"/>
      <c r="B40" s="417">
        <v>40633</v>
      </c>
      <c r="C40" s="5">
        <f>'[30]Daily Log (Levelized)'!$C104</f>
        <v>314535</v>
      </c>
      <c r="D40" s="417">
        <f>+D39+1</f>
        <v>40999</v>
      </c>
      <c r="E40" s="484">
        <f>+'[26]Daily Log (Levelized)'!$C98</f>
        <v>280211</v>
      </c>
      <c r="G40" s="5"/>
    </row>
    <row r="41" spans="1:7">
      <c r="C41" s="418">
        <f>SUM(C38:C40)</f>
        <v>912089</v>
      </c>
      <c r="E41" s="420">
        <f>SUM(E38:E40)</f>
        <v>852322</v>
      </c>
      <c r="G41" s="5">
        <f>E41-C41</f>
        <v>-59767</v>
      </c>
    </row>
    <row r="42" spans="1:7">
      <c r="A42" s="421"/>
      <c r="B42" s="421" t="s">
        <v>269</v>
      </c>
      <c r="C42" s="418">
        <f ca="1">+'mar_data (2)'!R37</f>
        <v>782812.0681173777</v>
      </c>
      <c r="D42" s="81" t="s">
        <v>327</v>
      </c>
      <c r="E42" s="420">
        <v>808797</v>
      </c>
      <c r="F42" s="5"/>
      <c r="G42" s="5"/>
    </row>
    <row r="45" spans="1:7">
      <c r="C45" s="233">
        <f>C41-C35</f>
        <v>107663</v>
      </c>
      <c r="D45" s="233"/>
      <c r="E45" s="233">
        <f>E41-E35</f>
        <v>20446</v>
      </c>
      <c r="F45" s="233"/>
      <c r="G45" s="233">
        <f>G41-G35</f>
        <v>-87217</v>
      </c>
    </row>
    <row r="48" spans="1:7">
      <c r="B48" t="s">
        <v>83</v>
      </c>
      <c r="C48" s="5">
        <f>C41-C35</f>
        <v>107663</v>
      </c>
      <c r="E48" t="s">
        <v>270</v>
      </c>
    </row>
    <row r="49" spans="2:5">
      <c r="C49" s="183">
        <f>C48/C7</f>
        <v>1.3135855255351726E-2</v>
      </c>
    </row>
    <row r="50" spans="2:5">
      <c r="E50" t="s">
        <v>271</v>
      </c>
    </row>
    <row r="51" spans="2:5">
      <c r="B51" t="s">
        <v>272</v>
      </c>
      <c r="C51" s="5">
        <f>C42-C36</f>
        <v>25304.368084289017</v>
      </c>
    </row>
    <row r="52" spans="2:5">
      <c r="B52" t="s">
        <v>54</v>
      </c>
      <c r="C52" s="5">
        <f>C48-C51</f>
        <v>82358.631915710983</v>
      </c>
    </row>
  </sheetData>
  <phoneticPr fontId="2" type="noConversion"/>
  <pageMargins left="0.75" right="0.75" top="1" bottom="1" header="0.5" footer="0.5"/>
  <pageSetup scale="7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C1" sqref="C1"/>
    </sheetView>
  </sheetViews>
  <sheetFormatPr defaultRowHeight="13.2"/>
  <cols>
    <col min="2" max="2" width="34.109375" bestFit="1" customWidth="1"/>
    <col min="3" max="3" width="11.5546875" customWidth="1"/>
    <col min="8" max="8" width="5.33203125" customWidth="1"/>
    <col min="9" max="9" width="30.88671875" bestFit="1" customWidth="1"/>
    <col min="10" max="10" width="10.109375" bestFit="1" customWidth="1"/>
  </cols>
  <sheetData>
    <row r="1" spans="1:12" ht="42" customHeight="1">
      <c r="B1" s="780" t="s">
        <v>496</v>
      </c>
    </row>
    <row r="3" spans="1:12">
      <c r="C3" s="448">
        <v>41000</v>
      </c>
      <c r="J3" s="411">
        <f>+C3</f>
        <v>41000</v>
      </c>
    </row>
    <row r="4" spans="1:12">
      <c r="A4" s="411"/>
      <c r="B4" s="448" t="s">
        <v>355</v>
      </c>
      <c r="C4" s="541">
        <f>SUM('[26]Daily Log (Levelized)'!$C$99:$C$128)</f>
        <v>8505617</v>
      </c>
      <c r="D4" s="232" t="s">
        <v>356</v>
      </c>
      <c r="J4" s="5">
        <f>+C4</f>
        <v>8505617</v>
      </c>
    </row>
    <row r="6" spans="1:12">
      <c r="C6" s="448">
        <v>40634</v>
      </c>
      <c r="J6" s="411">
        <f>+C6</f>
        <v>40634</v>
      </c>
    </row>
    <row r="7" spans="1:12">
      <c r="A7" s="411"/>
      <c r="B7" s="448" t="s">
        <v>355</v>
      </c>
      <c r="C7" s="5">
        <f>SUM('[26]Daily Log (Levelized)'!$Q$99:$Q$128)</f>
        <v>9460285</v>
      </c>
      <c r="E7" s="542">
        <f>C$4/C7-1</f>
        <v>-0.10091323887176762</v>
      </c>
      <c r="I7" s="411" t="str">
        <f>+B7</f>
        <v>sum dailies (4/1 - 4/30)</v>
      </c>
      <c r="J7" s="5">
        <f>+C7</f>
        <v>9460285</v>
      </c>
      <c r="L7" s="542">
        <f>J$4/J7-1</f>
        <v>-0.10091323887176762</v>
      </c>
    </row>
    <row r="8" spans="1:12">
      <c r="A8" s="411"/>
      <c r="B8" s="448" t="s">
        <v>357</v>
      </c>
      <c r="C8" s="5">
        <f>SUM('[26]Daily Log (Levelized)'!$Q$96:$Q$128)</f>
        <v>10372374</v>
      </c>
      <c r="E8" s="542">
        <f>C$4/C8-1</f>
        <v>-0.17997393846384635</v>
      </c>
      <c r="F8" s="415">
        <f>E8-E7</f>
        <v>-7.9060699592078731E-2</v>
      </c>
      <c r="I8" s="543" t="s">
        <v>358</v>
      </c>
      <c r="J8" s="5">
        <f>+C8+C48</f>
        <v>10090308</v>
      </c>
      <c r="L8" s="542">
        <f>J$4/J8-1</f>
        <v>-0.15705080558492368</v>
      </c>
    </row>
    <row r="9" spans="1:12">
      <c r="A9" s="411"/>
      <c r="B9" s="448" t="s">
        <v>264</v>
      </c>
      <c r="C9" s="5">
        <f>+'[31]APR(F) '!$F$54</f>
        <v>9729978</v>
      </c>
      <c r="E9" s="542">
        <f>C$4/C9-1</f>
        <v>-0.12583389191630234</v>
      </c>
      <c r="I9" s="543" t="s">
        <v>359</v>
      </c>
      <c r="J9" s="5">
        <f>+C8+C51</f>
        <v>10372374</v>
      </c>
      <c r="L9" s="542">
        <f>J$4/J9-1</f>
        <v>-0.17997393846384635</v>
      </c>
    </row>
    <row r="10" spans="1:12">
      <c r="A10" s="411"/>
      <c r="B10" s="527" t="s">
        <v>360</v>
      </c>
    </row>
    <row r="11" spans="1:12">
      <c r="A11" s="411"/>
      <c r="B11" s="448" t="s">
        <v>361</v>
      </c>
      <c r="C11" s="5">
        <f>[3]Retail!$N$9</f>
        <v>9030384.3930000011</v>
      </c>
    </row>
    <row r="12" spans="1:12">
      <c r="A12" s="411"/>
      <c r="B12" s="448" t="s">
        <v>362</v>
      </c>
      <c r="C12" s="544">
        <f>[3]Retail!$O$9</f>
        <v>7842299.5860000001</v>
      </c>
      <c r="D12" s="232" t="s">
        <v>363</v>
      </c>
    </row>
    <row r="13" spans="1:12">
      <c r="A13" s="411"/>
      <c r="B13" s="411"/>
      <c r="C13" s="5">
        <f>C12-C11</f>
        <v>-1188084.807000001</v>
      </c>
      <c r="I13" s="411"/>
    </row>
    <row r="14" spans="1:12">
      <c r="A14" s="411"/>
      <c r="B14" s="411"/>
      <c r="C14" s="542">
        <f>C12/C11-1</f>
        <v>-0.13156525296098776</v>
      </c>
      <c r="I14" s="543"/>
    </row>
    <row r="15" spans="1:12">
      <c r="A15" s="411"/>
      <c r="B15" s="411"/>
      <c r="C15" s="542"/>
      <c r="I15" s="543"/>
    </row>
    <row r="16" spans="1:12">
      <c r="A16" s="411"/>
      <c r="B16" s="543" t="s">
        <v>364</v>
      </c>
      <c r="C16" s="5">
        <f>C11*C7/C8</f>
        <v>8236302.5106240883</v>
      </c>
    </row>
    <row r="17" spans="1:5">
      <c r="A17" s="411"/>
      <c r="B17" s="543" t="s">
        <v>362</v>
      </c>
      <c r="C17" s="544">
        <f>[3]Retail!$O$9</f>
        <v>7842299.5860000001</v>
      </c>
      <c r="D17" s="232" t="s">
        <v>363</v>
      </c>
    </row>
    <row r="18" spans="1:5">
      <c r="A18" s="411"/>
      <c r="B18" s="411"/>
      <c r="C18" s="5">
        <f>C17-C16</f>
        <v>-394002.92462408822</v>
      </c>
    </row>
    <row r="19" spans="1:5">
      <c r="A19" s="411"/>
      <c r="B19" s="411"/>
      <c r="C19" s="542">
        <f>C17/C16-1</f>
        <v>-4.7837354700833279E-2</v>
      </c>
    </row>
    <row r="20" spans="1:5">
      <c r="A20" s="411"/>
      <c r="B20" s="411"/>
    </row>
    <row r="21" spans="1:5">
      <c r="A21" s="411"/>
      <c r="B21" s="411" t="s">
        <v>83</v>
      </c>
      <c r="C21" s="415">
        <f>C14-C19</f>
        <v>-8.3727898260154476E-2</v>
      </c>
    </row>
    <row r="22" spans="1:5">
      <c r="A22" s="411"/>
      <c r="B22" s="411"/>
    </row>
    <row r="23" spans="1:5">
      <c r="A23" s="411"/>
      <c r="B23" s="411"/>
    </row>
    <row r="24" spans="1:5">
      <c r="A24" s="411"/>
      <c r="B24" s="411"/>
      <c r="C24" s="5"/>
    </row>
    <row r="25" spans="1:5">
      <c r="A25" s="411"/>
      <c r="B25" s="411"/>
    </row>
    <row r="26" spans="1:5">
      <c r="A26" s="411"/>
      <c r="B26" s="411"/>
    </row>
    <row r="27" spans="1:5">
      <c r="A27" s="411"/>
      <c r="B27" s="411"/>
    </row>
    <row r="28" spans="1:5">
      <c r="A28" s="411"/>
      <c r="B28" s="411"/>
    </row>
    <row r="29" spans="1:5">
      <c r="A29" s="411"/>
      <c r="B29" s="411"/>
    </row>
    <row r="30" spans="1:5">
      <c r="A30" s="411"/>
      <c r="B30" s="411"/>
    </row>
    <row r="31" spans="1:5">
      <c r="A31" s="411"/>
      <c r="B31" s="527" t="s">
        <v>360</v>
      </c>
    </row>
    <row r="32" spans="1:5">
      <c r="A32" s="417"/>
      <c r="B32" s="417">
        <v>40631</v>
      </c>
      <c r="C32" s="5">
        <f>+'[26]Daily Log (Levelized)'!$Q96</f>
        <v>285970</v>
      </c>
      <c r="D32" s="417">
        <v>40997</v>
      </c>
      <c r="E32" s="5">
        <f>+'[26]Daily Log (Levelized)'!$C96</f>
        <v>287354</v>
      </c>
    </row>
    <row r="33" spans="1:7">
      <c r="A33" s="417"/>
      <c r="B33" s="417">
        <f>+B32+1</f>
        <v>40632</v>
      </c>
      <c r="C33" s="5">
        <f>+'[26]Daily Log (Levelized)'!$Q97</f>
        <v>311584</v>
      </c>
      <c r="D33" s="417">
        <f>+D32+1</f>
        <v>40998</v>
      </c>
      <c r="E33" s="5">
        <f>+'[26]Daily Log (Levelized)'!$C97</f>
        <v>284757</v>
      </c>
    </row>
    <row r="34" spans="1:7">
      <c r="A34" s="417"/>
      <c r="B34" s="417">
        <f>+B33+1</f>
        <v>40633</v>
      </c>
      <c r="C34" s="5">
        <f>+'[26]Daily Log (Levelized)'!$Q98</f>
        <v>314535</v>
      </c>
      <c r="D34" s="417">
        <f>+D33+1</f>
        <v>40999</v>
      </c>
      <c r="E34" s="5">
        <f>+'[26]Daily Log (Levelized)'!$C98</f>
        <v>280211</v>
      </c>
      <c r="F34" s="545"/>
    </row>
    <row r="35" spans="1:7">
      <c r="A35" s="411"/>
      <c r="B35" s="411"/>
      <c r="C35" s="418">
        <f>SUM(C32:C34)</f>
        <v>912089</v>
      </c>
      <c r="E35" s="5">
        <f>SUM(E32:E34)</f>
        <v>852322</v>
      </c>
      <c r="G35" s="5">
        <f>E35-C35</f>
        <v>-59767</v>
      </c>
    </row>
    <row r="36" spans="1:7">
      <c r="A36" s="419"/>
      <c r="B36" s="419" t="s">
        <v>269</v>
      </c>
      <c r="C36" s="418">
        <f>SUM('[35]2011 Data'!$S90:$S92)</f>
        <v>0</v>
      </c>
      <c r="D36" s="81" t="s">
        <v>334</v>
      </c>
      <c r="E36" s="5"/>
      <c r="G36" s="5"/>
    </row>
    <row r="37" spans="1:7">
      <c r="A37" s="411"/>
      <c r="B37" s="411"/>
      <c r="G37" s="5"/>
    </row>
    <row r="38" spans="1:7">
      <c r="A38" s="417"/>
      <c r="B38" s="417">
        <v>40662</v>
      </c>
      <c r="C38" s="5">
        <f>+'[26]Daily Log (Levelized)'!$Q127</f>
        <v>330875</v>
      </c>
      <c r="D38" s="417">
        <v>41028</v>
      </c>
      <c r="E38" s="484">
        <f>+'[26]Daily Log (Levelized)'!$C127</f>
        <v>261848</v>
      </c>
      <c r="G38" s="5"/>
    </row>
    <row r="39" spans="1:7">
      <c r="A39" s="417"/>
      <c r="B39" s="417">
        <f>+B38+1</f>
        <v>40663</v>
      </c>
      <c r="C39" s="5">
        <f>+'[26]Daily Log (Levelized)'!$Q128</f>
        <v>299148</v>
      </c>
      <c r="D39" s="417">
        <f>+B39</f>
        <v>40663</v>
      </c>
      <c r="E39" s="484">
        <f>+'[26]Daily Log (Levelized)'!$C128</f>
        <v>276495</v>
      </c>
      <c r="G39" s="5"/>
    </row>
    <row r="40" spans="1:7">
      <c r="A40" s="417"/>
      <c r="B40" s="417"/>
      <c r="C40" s="5"/>
      <c r="D40" s="417"/>
      <c r="E40" s="484"/>
      <c r="G40" s="5"/>
    </row>
    <row r="41" spans="1:7">
      <c r="C41" s="418">
        <f>SUM(C38:C40)</f>
        <v>630023</v>
      </c>
      <c r="E41" s="420">
        <f>SUM(E38:E40)</f>
        <v>538343</v>
      </c>
      <c r="G41" s="5">
        <f>E41-C41</f>
        <v>-91680</v>
      </c>
    </row>
    <row r="42" spans="1:7">
      <c r="A42" s="421"/>
      <c r="B42" s="421" t="s">
        <v>269</v>
      </c>
      <c r="C42" s="418">
        <f>SUM('[35]2011 Data'!$S$121:$S$122)</f>
        <v>0</v>
      </c>
      <c r="D42" s="81" t="s">
        <v>327</v>
      </c>
      <c r="E42" s="420">
        <v>808797</v>
      </c>
      <c r="F42" s="5"/>
      <c r="G42" s="5"/>
    </row>
    <row r="45" spans="1:7">
      <c r="C45" s="546">
        <f>C41-C35</f>
        <v>-282066</v>
      </c>
      <c r="D45" s="546"/>
      <c r="E45" s="546">
        <f>E41-E35</f>
        <v>-313979</v>
      </c>
      <c r="F45" s="546"/>
      <c r="G45" s="546">
        <f>G41-G35</f>
        <v>-31913</v>
      </c>
    </row>
    <row r="48" spans="1:7">
      <c r="B48" t="s">
        <v>83</v>
      </c>
      <c r="C48" s="5">
        <f>C41-C35</f>
        <v>-282066</v>
      </c>
      <c r="E48" t="s">
        <v>270</v>
      </c>
    </row>
    <row r="49" spans="2:5">
      <c r="C49" s="542">
        <f>C48/C7</f>
        <v>-2.9815803646507478E-2</v>
      </c>
    </row>
    <row r="50" spans="2:5">
      <c r="E50" t="s">
        <v>271</v>
      </c>
    </row>
    <row r="51" spans="2:5">
      <c r="B51" t="s">
        <v>272</v>
      </c>
      <c r="C51" s="5">
        <f>C42-C36</f>
        <v>0</v>
      </c>
    </row>
    <row r="52" spans="2:5">
      <c r="B52" t="s">
        <v>54</v>
      </c>
      <c r="C52" s="5">
        <f>C48-C51</f>
        <v>-282066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66"/>
  <sheetViews>
    <sheetView workbookViewId="0"/>
  </sheetViews>
  <sheetFormatPr defaultRowHeight="13.2"/>
  <cols>
    <col min="1" max="1" width="33.5546875" customWidth="1"/>
    <col min="2" max="2" width="12.6640625" customWidth="1"/>
    <col min="4" max="4" width="13.5546875" customWidth="1"/>
    <col min="5" max="5" width="11.5546875" bestFit="1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</cols>
  <sheetData>
    <row r="1" spans="1:16" ht="49.5" customHeight="1">
      <c r="A1" s="780" t="s">
        <v>470</v>
      </c>
    </row>
    <row r="2" spans="1:16" ht="13.8">
      <c r="A2" s="436" t="s">
        <v>142</v>
      </c>
    </row>
    <row r="3" spans="1:16">
      <c r="J3" s="281"/>
    </row>
    <row r="4" spans="1:16">
      <c r="A4" s="1"/>
      <c r="B4" s="230" t="s">
        <v>2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6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</row>
    <row r="6" spans="1:16">
      <c r="A6" s="46" t="s">
        <v>141</v>
      </c>
      <c r="B6" s="47">
        <f ca="1">+'Summary Plan Retail Delivered'!D6</f>
        <v>7482396.0779999997</v>
      </c>
      <c r="I6" s="232" t="s">
        <v>147</v>
      </c>
    </row>
    <row r="7" spans="1:16">
      <c r="A7" s="1"/>
      <c r="B7" s="232"/>
      <c r="C7" s="232"/>
      <c r="O7" s="440">
        <f>+[3]Retail!$N$8</f>
        <v>7482396.0779999997</v>
      </c>
      <c r="P7" t="s">
        <v>133</v>
      </c>
    </row>
    <row r="8" spans="1:16">
      <c r="A8" s="1" t="s">
        <v>12</v>
      </c>
      <c r="B8" s="31">
        <f ca="1">+'Summary Plan Retail Delivered'!D8</f>
        <v>46535.24483196994</v>
      </c>
      <c r="C8" s="50">
        <f>O9</f>
        <v>39.675129363019536</v>
      </c>
      <c r="D8" s="234"/>
      <c r="I8" s="249" t="s">
        <v>281</v>
      </c>
      <c r="O8" s="250">
        <f ca="1">+Mar_Prices!E16</f>
        <v>296865.03233999998</v>
      </c>
      <c r="P8" t="s">
        <v>134</v>
      </c>
    </row>
    <row r="9" spans="1:16">
      <c r="A9" s="1"/>
      <c r="B9" s="3"/>
      <c r="C9" s="50"/>
      <c r="D9" s="234"/>
      <c r="O9" s="50">
        <f>O8/O7*1000</f>
        <v>39.675129363019536</v>
      </c>
    </row>
    <row r="10" spans="1:16">
      <c r="A10" s="1" t="s">
        <v>106</v>
      </c>
      <c r="B10" s="31">
        <f ca="1">+'Summary Plan Retail Delivered'!D10</f>
        <v>-4212.5342091126222</v>
      </c>
      <c r="C10" s="50">
        <f>C8</f>
        <v>39.675129363019536</v>
      </c>
      <c r="D10" s="431">
        <f>+C10*B10/1000</f>
        <v>-167.13283969268849</v>
      </c>
      <c r="E10" s="432">
        <f>D10</f>
        <v>-167.13283969268849</v>
      </c>
      <c r="F10" s="432">
        <f ca="1">E10+'P6 Summary Plan Forecast_Feb'!F10</f>
        <v>-1287.7481005520387</v>
      </c>
      <c r="G10" s="432">
        <f ca="1">+E10+'P6 Summary Plan Forecast_Feb'!G10</f>
        <v>-1287.7481005520387</v>
      </c>
      <c r="H10" s="238"/>
      <c r="I10" s="235"/>
      <c r="K10" s="236"/>
      <c r="P10" s="81"/>
    </row>
    <row r="11" spans="1:16">
      <c r="A11" s="1"/>
      <c r="B11" s="3"/>
      <c r="C11" s="50"/>
      <c r="D11" s="431"/>
      <c r="E11" s="432"/>
      <c r="F11" s="432"/>
      <c r="G11" s="432"/>
      <c r="H11" s="238"/>
      <c r="I11" s="235"/>
      <c r="K11" s="236"/>
      <c r="O11" s="5"/>
    </row>
    <row r="12" spans="1:16">
      <c r="A12" s="1" t="s">
        <v>13</v>
      </c>
      <c r="B12" s="31">
        <f ca="1">+'Summary Plan Retail Delivered'!D12</f>
        <v>25109.5329493758</v>
      </c>
      <c r="C12" s="50">
        <f>C10</f>
        <v>39.675129363019536</v>
      </c>
      <c r="D12" s="431">
        <f>+C12*B12/1000</f>
        <v>996.22396801148636</v>
      </c>
      <c r="E12" s="432">
        <f>D12</f>
        <v>996.22396801148636</v>
      </c>
      <c r="F12" s="432">
        <f ca="1">E12+'P6 Summary Plan Forecast_Feb'!F12</f>
        <v>3099.2528455002739</v>
      </c>
      <c r="G12" s="432">
        <f ca="1">+E12+'P6 Summary Plan Forecast_Feb'!G12</f>
        <v>3099.2528455002739</v>
      </c>
      <c r="H12" s="238"/>
      <c r="I12" s="235"/>
      <c r="K12" s="236"/>
      <c r="O12" s="5"/>
    </row>
    <row r="13" spans="1:16">
      <c r="A13" s="1"/>
      <c r="B13" s="3"/>
      <c r="C13" s="50"/>
      <c r="D13" s="431"/>
      <c r="E13" s="432"/>
      <c r="F13" s="432"/>
      <c r="G13" s="432"/>
      <c r="H13" s="238"/>
      <c r="I13" s="235"/>
      <c r="K13" s="236"/>
      <c r="O13" s="81"/>
    </row>
    <row r="14" spans="1:16">
      <c r="A14" s="1" t="s">
        <v>35</v>
      </c>
      <c r="B14" s="31">
        <f ca="1">+'Summary Plan Retail Delivered'!D14</f>
        <v>128862.51527712501</v>
      </c>
      <c r="C14" s="50">
        <f>C12</f>
        <v>39.675129363019536</v>
      </c>
      <c r="D14" s="431">
        <f>+C14*B14/1000</f>
        <v>5112.6369636640165</v>
      </c>
      <c r="E14" s="432">
        <f>D14</f>
        <v>5112.6369636640165</v>
      </c>
      <c r="F14" s="432">
        <f ca="1">E14+'P6 Summary Plan Forecast_Feb'!F14</f>
        <v>16068.501544563911</v>
      </c>
      <c r="G14" s="432">
        <f ca="1">+E14+'P6 Summary Plan Forecast_Feb'!G14</f>
        <v>16068.501544563911</v>
      </c>
      <c r="H14" s="238"/>
      <c r="I14" s="235"/>
      <c r="K14" s="236"/>
    </row>
    <row r="15" spans="1:16">
      <c r="A15" s="1"/>
      <c r="B15" s="3"/>
      <c r="C15" s="50"/>
      <c r="D15" s="431"/>
      <c r="E15" s="432"/>
      <c r="F15" s="432"/>
      <c r="G15" s="432"/>
      <c r="H15" s="238"/>
      <c r="I15" s="235"/>
      <c r="K15" s="236"/>
    </row>
    <row r="16" spans="1:16">
      <c r="A16" s="1" t="s">
        <v>36</v>
      </c>
      <c r="B16" s="31">
        <f ca="1">+'Summary Plan Retail Delivered'!D16</f>
        <v>-43537.881471690693</v>
      </c>
      <c r="C16" s="50">
        <f>C14</f>
        <v>39.675129363019536</v>
      </c>
      <c r="D16" s="431">
        <f>+C16*B16/1000</f>
        <v>-1727.3710795811396</v>
      </c>
      <c r="E16" s="432">
        <f>D16</f>
        <v>-1727.3710795811396</v>
      </c>
      <c r="F16" s="432">
        <f ca="1">E16+'P6 Summary Plan Forecast_Feb'!F16</f>
        <v>-11230.05540265602</v>
      </c>
      <c r="G16" s="432">
        <f ca="1">+E16+'P6 Summary Plan Forecast_Feb'!G16</f>
        <v>-11230.05540265602</v>
      </c>
      <c r="H16" s="238"/>
      <c r="I16" s="235"/>
      <c r="K16" s="236"/>
    </row>
    <row r="17" spans="1:19">
      <c r="A17" s="1"/>
      <c r="B17" s="3"/>
      <c r="C17" s="50"/>
      <c r="D17" s="431"/>
      <c r="E17" s="432"/>
      <c r="F17" s="432"/>
      <c r="G17" s="432"/>
      <c r="H17" s="238"/>
      <c r="I17" s="235"/>
      <c r="K17" s="236"/>
    </row>
    <row r="18" spans="1:19">
      <c r="A18" s="1" t="s">
        <v>135</v>
      </c>
      <c r="B18" s="31">
        <f ca="1">+'Summary Plan Retail Delivered'!D18</f>
        <v>-19015.924081089222</v>
      </c>
      <c r="C18" s="50">
        <f>C16</f>
        <v>39.675129363019536</v>
      </c>
      <c r="D18" s="431">
        <f>+C18*B18/1000</f>
        <v>-754.45924787457329</v>
      </c>
      <c r="E18" s="432">
        <f>D18</f>
        <v>-754.45924787457329</v>
      </c>
      <c r="F18" s="432">
        <f ca="1">E18+'P6 Summary Plan Forecast_Feb'!F18</f>
        <v>-1485.328593306509</v>
      </c>
      <c r="G18" s="432">
        <f ca="1">+E18+'P6 Summary Plan Forecast_Feb'!G18</f>
        <v>-1485.328593306509</v>
      </c>
      <c r="H18" s="238"/>
      <c r="I18" s="281"/>
      <c r="J18" s="160"/>
      <c r="K18" s="282"/>
      <c r="L18" s="160"/>
      <c r="M18" s="160"/>
      <c r="N18" s="160"/>
      <c r="P18" s="160"/>
      <c r="Q18" s="160"/>
      <c r="R18" s="160"/>
      <c r="S18" s="160"/>
    </row>
    <row r="19" spans="1:19">
      <c r="A19" s="1"/>
      <c r="B19" s="3"/>
      <c r="C19" s="50"/>
      <c r="D19" s="431"/>
      <c r="E19" s="432"/>
      <c r="F19" s="432"/>
      <c r="G19" s="432"/>
      <c r="H19" s="238"/>
      <c r="I19" s="284"/>
      <c r="J19" s="160"/>
      <c r="K19" s="282"/>
      <c r="L19" s="160"/>
      <c r="M19" s="160"/>
      <c r="N19" s="160"/>
      <c r="O19" s="160"/>
      <c r="P19" s="160"/>
      <c r="Q19" s="160"/>
      <c r="R19" s="160"/>
      <c r="S19" s="160"/>
    </row>
    <row r="20" spans="1:19">
      <c r="A20" s="1" t="s">
        <v>57</v>
      </c>
      <c r="B20" s="31">
        <f ca="1">+'Summary Plan Retail Delivered'!D20</f>
        <v>54159.033208439818</v>
      </c>
      <c r="C20" s="50">
        <f>C18</f>
        <v>39.675129363019536</v>
      </c>
      <c r="D20" s="431">
        <f>+C20*B20/1000</f>
        <v>2148.7666487209203</v>
      </c>
      <c r="E20" s="432">
        <f>D20</f>
        <v>2148.7666487209203</v>
      </c>
      <c r="F20" s="432">
        <f ca="1">E20+'P6 Summary Plan Forecast_Feb'!F20</f>
        <v>5996.5820824532384</v>
      </c>
      <c r="G20" s="432">
        <f ca="1">+E20+'P6 Summary Plan Forecast_Feb'!G20</f>
        <v>5996.5820824532384</v>
      </c>
      <c r="H20" s="238"/>
      <c r="I20" s="284"/>
      <c r="J20" s="160"/>
      <c r="K20" s="282"/>
      <c r="L20" s="160"/>
      <c r="M20" s="160"/>
      <c r="N20" s="160"/>
      <c r="O20" s="285"/>
      <c r="P20" s="160"/>
      <c r="Q20" s="160"/>
      <c r="R20" s="160"/>
      <c r="S20" s="160"/>
    </row>
    <row r="21" spans="1:19">
      <c r="A21" s="1"/>
      <c r="B21" s="3"/>
      <c r="C21" s="50"/>
      <c r="D21" s="431"/>
      <c r="E21" s="432"/>
      <c r="F21" s="432"/>
      <c r="G21" s="432"/>
      <c r="H21" s="238"/>
      <c r="I21" s="284"/>
      <c r="J21" s="160"/>
      <c r="K21" s="282"/>
      <c r="L21" s="160"/>
      <c r="M21" s="160"/>
      <c r="N21" s="160"/>
      <c r="O21" s="160"/>
      <c r="P21" s="160"/>
      <c r="Q21" s="160"/>
      <c r="R21" s="160"/>
      <c r="S21" s="160"/>
    </row>
    <row r="22" spans="1:19" ht="12" customHeight="1">
      <c r="A22" s="1" t="s">
        <v>83</v>
      </c>
      <c r="B22" s="3">
        <f ca="1">'Summary Plan Retail Delivered'!D22</f>
        <v>101591.19188392164</v>
      </c>
      <c r="C22" s="50">
        <f>C20</f>
        <v>39.675129363019536</v>
      </c>
      <c r="D22" s="431">
        <f>+C22*B22/1000</f>
        <v>4030.6436801379314</v>
      </c>
      <c r="E22" s="432">
        <f>D22</f>
        <v>4030.6436801379314</v>
      </c>
      <c r="F22" s="432">
        <f ca="1">E22+'P6 Summary Plan Forecast_Feb'!F22</f>
        <v>2352.0078511615502</v>
      </c>
      <c r="G22" s="432">
        <f ca="1">+E22+'P6 Summary Plan Forecast_Feb'!G22</f>
        <v>2352.0078511615502</v>
      </c>
      <c r="H22" s="238"/>
      <c r="I22" s="284"/>
      <c r="J22" s="160"/>
      <c r="K22" s="160"/>
      <c r="L22" s="160"/>
      <c r="M22" s="160"/>
      <c r="N22" s="160"/>
      <c r="O22" s="286"/>
      <c r="P22" s="160"/>
      <c r="Q22" s="160"/>
      <c r="R22" s="160"/>
      <c r="S22" s="160"/>
    </row>
    <row r="23" spans="1:19" ht="12" customHeight="1">
      <c r="A23" s="1"/>
      <c r="B23" s="3"/>
      <c r="C23" s="50"/>
      <c r="D23" s="431"/>
      <c r="E23" s="433"/>
      <c r="F23" s="432"/>
      <c r="G23" s="432"/>
      <c r="H23" s="238"/>
      <c r="I23" s="284"/>
      <c r="J23" s="160"/>
      <c r="K23" s="160"/>
      <c r="L23" s="160"/>
      <c r="M23" s="160"/>
      <c r="N23" s="160"/>
      <c r="O23" s="160"/>
      <c r="P23" s="160"/>
      <c r="Q23" s="160"/>
      <c r="R23" s="160"/>
      <c r="S23" s="160"/>
    </row>
    <row r="24" spans="1:19">
      <c r="A24" s="1" t="s">
        <v>14</v>
      </c>
      <c r="B24" s="31">
        <f ca="1">+'Summary Plan Retail Delivered'!D24</f>
        <v>196833.01164077315</v>
      </c>
      <c r="C24" s="50">
        <f>+C20</f>
        <v>39.675129363019536</v>
      </c>
      <c r="D24" s="431">
        <f>+C24*B24/1000</f>
        <v>7809.3751997604049</v>
      </c>
      <c r="E24" s="432">
        <f>D24</f>
        <v>7809.3751997604049</v>
      </c>
      <c r="F24" s="432">
        <f ca="1">E24+'P6 Summary Plan Forecast_Feb'!F24</f>
        <v>16040.372058900291</v>
      </c>
      <c r="G24" s="432">
        <f ca="1">+E24+'P6 Summary Plan Forecast_Feb'!G24</f>
        <v>16040.372058900291</v>
      </c>
      <c r="H24" s="238"/>
      <c r="I24" s="284"/>
      <c r="J24" s="160"/>
      <c r="K24" s="160"/>
      <c r="L24" s="160"/>
      <c r="M24" s="160"/>
      <c r="N24" s="160"/>
      <c r="O24" s="287"/>
      <c r="P24" s="160"/>
      <c r="Q24" s="160"/>
      <c r="R24" s="160"/>
      <c r="S24" s="160"/>
    </row>
    <row r="25" spans="1:19">
      <c r="A25" s="1"/>
      <c r="B25" s="3"/>
      <c r="C25" s="183"/>
      <c r="D25" s="433"/>
      <c r="E25" s="433"/>
      <c r="F25" s="432"/>
      <c r="G25" s="432"/>
      <c r="H25" s="238"/>
      <c r="I25" s="284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>
      <c r="A26" s="46" t="s">
        <v>144</v>
      </c>
      <c r="B26" s="47">
        <f>SUM(B6:B24)</f>
        <v>7968720.2680297131</v>
      </c>
      <c r="C26" s="50">
        <f>+C24</f>
        <v>39.675129363019536</v>
      </c>
      <c r="D26" s="431">
        <f>SUM(D10:D25)</f>
        <v>17448.683293146358</v>
      </c>
      <c r="E26" s="432">
        <f>SUM(E10:E25)</f>
        <v>17448.683293146358</v>
      </c>
      <c r="F26" s="439">
        <f>SUM(F10:F25)</f>
        <v>29553.584286064695</v>
      </c>
      <c r="G26" s="439">
        <f>SUM(G10:G25)</f>
        <v>29553.584286064695</v>
      </c>
      <c r="H26" s="234"/>
      <c r="I26" s="284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>
      <c r="A27" s="1"/>
      <c r="B27" s="3"/>
      <c r="F27" s="233"/>
    </row>
    <row r="28" spans="1:19">
      <c r="A28" s="239" t="s">
        <v>136</v>
      </c>
      <c r="B28" s="3">
        <f>B26-B6</f>
        <v>486324.19002971333</v>
      </c>
      <c r="E28" s="238"/>
      <c r="F28" s="238"/>
      <c r="G28" s="238"/>
    </row>
    <row r="29" spans="1:19">
      <c r="A29" s="1" t="s">
        <v>15</v>
      </c>
      <c r="B29" s="240">
        <f>B28/B6</f>
        <v>6.499578276263944E-2</v>
      </c>
    </row>
    <row r="31" spans="1:19">
      <c r="B31" s="5"/>
    </row>
    <row r="33" spans="1:14">
      <c r="B33" s="5"/>
      <c r="C33" s="5"/>
      <c r="D33" s="5"/>
      <c r="E33" s="5"/>
      <c r="F33" s="5"/>
    </row>
    <row r="34" spans="1:14" ht="13.8">
      <c r="A34" s="436" t="s">
        <v>143</v>
      </c>
    </row>
    <row r="36" spans="1:14">
      <c r="A36" s="1"/>
      <c r="B36" s="241"/>
    </row>
    <row r="37" spans="1:14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</row>
    <row r="38" spans="1:14">
      <c r="A38" s="46" t="s">
        <v>145</v>
      </c>
      <c r="B38" s="47">
        <f ca="1">+'Summary Plan Retail Delivered'!D38</f>
        <v>7690004.825303521</v>
      </c>
    </row>
    <row r="39" spans="1:14">
      <c r="A39" s="1"/>
      <c r="B39" s="3"/>
      <c r="C39" s="232"/>
    </row>
    <row r="40" spans="1:14">
      <c r="A40" s="1" t="s">
        <v>12</v>
      </c>
      <c r="B40" s="31">
        <f ca="1">+'Summary Plan Retail Delivered'!D40</f>
        <v>3204.9559318404031</v>
      </c>
      <c r="C40" s="237">
        <f>N53</f>
        <v>39.769335656812054</v>
      </c>
      <c r="D40" s="234"/>
    </row>
    <row r="41" spans="1:14">
      <c r="A41" s="1"/>
      <c r="B41" s="3"/>
      <c r="D41" s="234"/>
    </row>
    <row r="42" spans="1:14">
      <c r="A42" s="1" t="s">
        <v>106</v>
      </c>
      <c r="B42" s="31">
        <f ca="1">+'Summary Plan Retail Delivered'!D42</f>
        <v>-1566.9970147819226</v>
      </c>
      <c r="C42" s="50">
        <f>C40</f>
        <v>39.769335656812054</v>
      </c>
      <c r="D42" s="434">
        <f>+C42*B42/1000</f>
        <v>-62.318430254084767</v>
      </c>
      <c r="E42" s="432">
        <f>D42</f>
        <v>-62.318430254084767</v>
      </c>
      <c r="F42" s="432">
        <f ca="1">E42+'P6 Summary Plan Forecast_Feb'!F42</f>
        <v>-56.270362756900305</v>
      </c>
      <c r="G42" s="432">
        <f ca="1">+E42+'P6 Summary Plan Forecast_Feb'!G42</f>
        <v>-56.270362756900305</v>
      </c>
      <c r="H42" s="51"/>
      <c r="I42" s="234"/>
    </row>
    <row r="43" spans="1:14">
      <c r="A43" s="1"/>
      <c r="B43" s="3"/>
      <c r="C43" s="50"/>
      <c r="D43" s="431"/>
      <c r="E43" s="432"/>
      <c r="F43" s="432"/>
      <c r="G43" s="432"/>
      <c r="H43" s="51"/>
      <c r="I43" s="232"/>
    </row>
    <row r="44" spans="1:14">
      <c r="A44" s="1" t="s">
        <v>13</v>
      </c>
      <c r="B44" s="31">
        <f ca="1">+'Summary Plan Retail Delivered'!D44</f>
        <v>-4623.0956353189185</v>
      </c>
      <c r="C44" s="50">
        <f>C42</f>
        <v>39.769335656812054</v>
      </c>
      <c r="D44" s="434">
        <f>+C44*B44/1000</f>
        <v>-183.85744209454083</v>
      </c>
      <c r="E44" s="432">
        <f>D44</f>
        <v>-183.85744209454083</v>
      </c>
      <c r="F44" s="432">
        <f ca="1">E44+'P6 Summary Plan Forecast_Feb'!F44</f>
        <v>-565.17552157351429</v>
      </c>
      <c r="G44" s="432">
        <f ca="1">+E44+'P6 Summary Plan Forecast_Feb'!G44</f>
        <v>-565.17552157351429</v>
      </c>
      <c r="H44" s="51"/>
    </row>
    <row r="45" spans="1:14">
      <c r="A45" s="1"/>
      <c r="B45" s="3"/>
      <c r="C45" s="50"/>
      <c r="D45" s="431"/>
      <c r="E45" s="432"/>
      <c r="F45" s="432"/>
      <c r="G45" s="432"/>
      <c r="H45" s="51"/>
    </row>
    <row r="46" spans="1:14">
      <c r="A46" s="1" t="s">
        <v>35</v>
      </c>
      <c r="B46" s="31">
        <f ca="1">+'Summary Plan Retail Delivered'!D46</f>
        <v>310949.55532152252</v>
      </c>
      <c r="C46" s="50">
        <f>C44</f>
        <v>39.769335656812054</v>
      </c>
      <c r="D46" s="434">
        <f>+C46*B46/1000</f>
        <v>12366.257237918076</v>
      </c>
      <c r="E46" s="432">
        <f>D46</f>
        <v>12366.257237918076</v>
      </c>
      <c r="F46" s="432">
        <f ca="1">E46+'P6 Summary Plan Forecast_Feb'!F46</f>
        <v>22876.433591567504</v>
      </c>
      <c r="G46" s="432">
        <f ca="1">+E46+'P6 Summary Plan Forecast_Feb'!G46</f>
        <v>22876.433591567504</v>
      </c>
    </row>
    <row r="47" spans="1:14">
      <c r="A47" s="1"/>
      <c r="B47" s="3"/>
      <c r="C47" s="50"/>
      <c r="D47" s="431"/>
      <c r="E47" s="432"/>
      <c r="F47" s="432"/>
      <c r="G47" s="432"/>
      <c r="N47" s="233"/>
    </row>
    <row r="48" spans="1:14">
      <c r="A48" s="1" t="s">
        <v>36</v>
      </c>
      <c r="B48" s="31">
        <f ca="1">+'Summary Plan Retail Delivered'!D48</f>
        <v>-131031.70989892758</v>
      </c>
      <c r="C48" s="50">
        <f>C46</f>
        <v>39.769335656812054</v>
      </c>
      <c r="D48" s="434">
        <f>+C48*B48/1000</f>
        <v>-5211.0440526564735</v>
      </c>
      <c r="E48" s="432">
        <f>D48</f>
        <v>-5211.0440526564735</v>
      </c>
      <c r="F48" s="432">
        <f ca="1">E48+'P6 Summary Plan Forecast_Feb'!F48</f>
        <v>-21019.925031443199</v>
      </c>
      <c r="G48" s="432">
        <f ca="1">+E48+'P6 Summary Plan Forecast_Feb'!G48</f>
        <v>-21019.925031443199</v>
      </c>
      <c r="H48" s="51"/>
      <c r="I48" s="235"/>
      <c r="N48" s="233"/>
    </row>
    <row r="49" spans="1:15">
      <c r="A49" s="1"/>
      <c r="B49" s="3"/>
      <c r="C49" s="50"/>
      <c r="D49" s="431"/>
      <c r="E49" s="432"/>
      <c r="F49" s="432"/>
      <c r="G49" s="432"/>
      <c r="H49" s="51"/>
      <c r="I49" s="235"/>
      <c r="N49" s="144">
        <f ca="1">'Summary Plan Retail Delivered'!D38</f>
        <v>7690004.825303521</v>
      </c>
      <c r="O49" t="s">
        <v>137</v>
      </c>
    </row>
    <row r="50" spans="1:15">
      <c r="A50" t="s">
        <v>138</v>
      </c>
      <c r="B50" s="31">
        <f ca="1">+'Summary Plan Retail Delivered'!D50</f>
        <v>0</v>
      </c>
      <c r="C50" s="50">
        <f>C48</f>
        <v>39.769335656812054</v>
      </c>
      <c r="D50" s="434">
        <f>+C50*B50/1000</f>
        <v>0</v>
      </c>
      <c r="E50" s="432">
        <f>D50</f>
        <v>0</v>
      </c>
      <c r="F50" s="432">
        <f ca="1">E50+'P6 Summary Plan Forecast_Feb'!F50</f>
        <v>0</v>
      </c>
      <c r="G50" s="432">
        <f ca="1">+E50+'P6 Summary Plan Forecast_Feb'!G50</f>
        <v>0</v>
      </c>
      <c r="H50" s="51"/>
      <c r="I50" s="235"/>
    </row>
    <row r="51" spans="1:15">
      <c r="A51" s="1"/>
      <c r="B51" s="3"/>
      <c r="C51" s="50"/>
      <c r="D51" s="431"/>
      <c r="E51" s="432"/>
      <c r="F51" s="432"/>
      <c r="G51" s="432"/>
      <c r="H51" s="51"/>
      <c r="I51" s="235"/>
    </row>
    <row r="52" spans="1:15">
      <c r="A52" s="1" t="s">
        <v>57</v>
      </c>
      <c r="B52" s="31">
        <f ca="1">+'Summary Plan Retail Delivered'!D52</f>
        <v>23083.329448938497</v>
      </c>
      <c r="C52" s="50">
        <f>C48</f>
        <v>39.769335656812054</v>
      </c>
      <c r="D52" s="434">
        <f>+C52*B52/1000</f>
        <v>918.00867693160956</v>
      </c>
      <c r="E52" s="432">
        <f>D52</f>
        <v>918.00867693160956</v>
      </c>
      <c r="F52" s="432">
        <f ca="1">E52+'P6 Summary Plan Forecast_Feb'!F52</f>
        <v>1897.3877109115947</v>
      </c>
      <c r="G52" s="432">
        <f ca="1">+E52+'P6 Summary Plan Forecast_Feb'!G52</f>
        <v>1897.3877109115947</v>
      </c>
      <c r="H52" s="183"/>
      <c r="I52" s="249" t="s">
        <v>281</v>
      </c>
      <c r="N52" s="251">
        <f ca="1">+Mar_Prices!D16-Mar_Prices!D11</f>
        <v>305826.38310000004</v>
      </c>
      <c r="O52" t="s">
        <v>139</v>
      </c>
    </row>
    <row r="53" spans="1:15">
      <c r="A53" s="1"/>
      <c r="B53" s="3"/>
      <c r="C53" s="50"/>
      <c r="D53" s="431"/>
      <c r="E53" s="432"/>
      <c r="F53" s="432"/>
      <c r="G53" s="432"/>
      <c r="H53" s="51"/>
      <c r="I53" s="235"/>
      <c r="N53" s="237">
        <f>N52/N49*1000</f>
        <v>39.769335656812054</v>
      </c>
    </row>
    <row r="54" spans="1:15">
      <c r="A54" s="1" t="s">
        <v>83</v>
      </c>
      <c r="B54" s="31">
        <v>0</v>
      </c>
      <c r="C54" s="50">
        <f>C52</f>
        <v>39.769335656812054</v>
      </c>
      <c r="D54" s="434">
        <f>+C54*B54/1000</f>
        <v>0</v>
      </c>
      <c r="E54" s="432">
        <f>D54</f>
        <v>0</v>
      </c>
      <c r="F54" s="432">
        <f ca="1">E54+'P6 Summary Plan Forecast_Feb'!F54</f>
        <v>0</v>
      </c>
      <c r="G54" s="432">
        <f ca="1">+E54+'P6 Summary Plan Forecast_Feb'!G54</f>
        <v>0</v>
      </c>
      <c r="H54" s="51"/>
      <c r="I54" s="235"/>
    </row>
    <row r="55" spans="1:15">
      <c r="A55" s="1"/>
      <c r="B55" s="3"/>
      <c r="C55" s="50"/>
      <c r="D55" s="431"/>
      <c r="E55" s="432"/>
      <c r="F55" s="432"/>
      <c r="G55" s="432"/>
      <c r="H55" s="51"/>
      <c r="I55" s="235"/>
    </row>
    <row r="56" spans="1:15">
      <c r="A56" s="1" t="s">
        <v>14</v>
      </c>
      <c r="B56" s="31">
        <f ca="1">+'Summary Plan Retail Delivered'!D56</f>
        <v>78699.404572919011</v>
      </c>
      <c r="C56" s="50">
        <f>+C52</f>
        <v>39.769335656812054</v>
      </c>
      <c r="D56" s="434">
        <f>+C56*B56/1000</f>
        <v>3129.8230364516658</v>
      </c>
      <c r="E56" s="432">
        <f>D56</f>
        <v>3129.8230364516658</v>
      </c>
      <c r="F56" s="432">
        <f ca="1">E56+'P6 Summary Plan Forecast_Feb'!F56</f>
        <v>9410.2152839896426</v>
      </c>
      <c r="G56" s="432">
        <f ca="1">+E56+'P6 Summary Plan Forecast_Feb'!G56</f>
        <v>9410.2152839896426</v>
      </c>
      <c r="H56" s="51"/>
      <c r="I56" s="232"/>
    </row>
    <row r="57" spans="1:15">
      <c r="A57" s="1"/>
      <c r="B57" s="3"/>
      <c r="C57" s="50"/>
      <c r="D57" s="433"/>
      <c r="E57" s="432"/>
      <c r="F57" s="432"/>
      <c r="G57" s="432"/>
      <c r="H57" s="51"/>
      <c r="I57" s="234"/>
    </row>
    <row r="58" spans="1:15">
      <c r="A58" s="46" t="s">
        <v>144</v>
      </c>
      <c r="B58" s="47">
        <f>SUM(B38:B56)</f>
        <v>7968720.2680297131</v>
      </c>
      <c r="C58" s="50">
        <f>C56</f>
        <v>39.769335656812054</v>
      </c>
      <c r="D58" s="432">
        <f>SUM(D42:D57)</f>
        <v>10956.869026296252</v>
      </c>
      <c r="E58" s="432">
        <f>SUM(E42:E56)</f>
        <v>10956.869026296252</v>
      </c>
      <c r="F58" s="439">
        <f>SUM(F42:F56)</f>
        <v>12542.665670695125</v>
      </c>
      <c r="G58" s="439">
        <f>SUM(G42:G56)</f>
        <v>12542.665670695125</v>
      </c>
      <c r="H58" s="51"/>
      <c r="I58" s="234"/>
    </row>
    <row r="59" spans="1:15">
      <c r="A59" s="1"/>
      <c r="B59" s="3"/>
      <c r="C59" s="50"/>
      <c r="D59" s="5"/>
      <c r="E59" s="160"/>
      <c r="F59" s="242"/>
      <c r="G59" s="242"/>
      <c r="H59" s="160"/>
    </row>
    <row r="60" spans="1:15">
      <c r="A60" s="239" t="s">
        <v>140</v>
      </c>
      <c r="B60" s="3">
        <f>B58-B38</f>
        <v>278715.44272619206</v>
      </c>
      <c r="C60" s="50"/>
      <c r="D60" s="243"/>
      <c r="E60" s="242"/>
      <c r="F60" s="242"/>
      <c r="G60" s="242"/>
      <c r="H60" s="160"/>
    </row>
    <row r="61" spans="1:15">
      <c r="A61" s="1" t="s">
        <v>16</v>
      </c>
      <c r="B61" s="240">
        <f>(B58/B38)-1</f>
        <v>3.6243857976407945E-2</v>
      </c>
      <c r="E61" s="160"/>
      <c r="F61" s="242"/>
      <c r="G61" s="242"/>
      <c r="H61" s="160"/>
    </row>
    <row r="62" spans="1:15">
      <c r="B62" s="3"/>
      <c r="E62" s="160"/>
      <c r="F62" s="242"/>
      <c r="G62" s="242"/>
      <c r="H62" s="160"/>
    </row>
    <row r="63" spans="1:15">
      <c r="B63" s="3"/>
      <c r="E63" s="160"/>
      <c r="F63" s="160"/>
      <c r="G63" s="160"/>
      <c r="H63" s="160"/>
    </row>
    <row r="64" spans="1:15">
      <c r="B64" s="3"/>
    </row>
    <row r="65" spans="2:2">
      <c r="B65" s="430"/>
    </row>
    <row r="66" spans="2:2">
      <c r="B66" s="5"/>
    </row>
  </sheetData>
  <phoneticPr fontId="2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"/>
  <dimension ref="A1:AE90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3.2"/>
  <cols>
    <col min="2" max="2" width="12.33203125" style="548" customWidth="1"/>
    <col min="3" max="3" width="12.5546875" style="548" customWidth="1"/>
    <col min="5" max="5" width="8.109375" customWidth="1"/>
    <col min="6" max="6" width="13.33203125" style="548" customWidth="1"/>
    <col min="7" max="9" width="8.5546875" customWidth="1"/>
    <col min="10" max="10" width="13.5546875" customWidth="1"/>
    <col min="11" max="11" width="9.5546875" customWidth="1"/>
    <col min="12" max="14" width="13.44140625" customWidth="1"/>
    <col min="15" max="16" width="14.6640625" customWidth="1"/>
    <col min="17" max="17" width="6.88671875" customWidth="1"/>
    <col min="18" max="19" width="9.109375" style="180" customWidth="1"/>
    <col min="20" max="20" width="11.88671875" style="180" customWidth="1"/>
    <col min="21" max="21" width="10.44140625" style="180" customWidth="1"/>
    <col min="22" max="22" width="8" style="180" customWidth="1"/>
    <col min="23" max="23" width="8.109375" style="180" customWidth="1"/>
    <col min="24" max="24" width="8" style="180" customWidth="1"/>
    <col min="25" max="25" width="8.88671875" style="180"/>
    <col min="26" max="26" width="8.6640625" style="180" customWidth="1"/>
    <col min="27" max="28" width="9.109375" style="180" customWidth="1"/>
    <col min="29" max="29" width="8" style="180" customWidth="1"/>
    <col min="30" max="30" width="11.109375" customWidth="1"/>
  </cols>
  <sheetData>
    <row r="1" spans="1:29" ht="62.25" customHeight="1">
      <c r="B1" s="784" t="s">
        <v>497</v>
      </c>
    </row>
    <row r="2" spans="1:29" ht="39" customHeight="1">
      <c r="B2" s="547" t="s">
        <v>258</v>
      </c>
      <c r="C2" s="547" t="s">
        <v>259</v>
      </c>
      <c r="D2" s="413"/>
      <c r="E2" s="42" t="s">
        <v>278</v>
      </c>
      <c r="F2" s="547" t="s">
        <v>259</v>
      </c>
      <c r="H2" s="123" t="s">
        <v>344</v>
      </c>
      <c r="J2" s="605" t="s">
        <v>375</v>
      </c>
      <c r="L2" s="605" t="s">
        <v>376</v>
      </c>
      <c r="M2" s="605"/>
      <c r="N2" s="605" t="s">
        <v>438</v>
      </c>
      <c r="R2"/>
      <c r="S2"/>
      <c r="T2"/>
      <c r="U2"/>
      <c r="V2"/>
      <c r="W2"/>
      <c r="X2"/>
      <c r="Y2"/>
      <c r="Z2"/>
      <c r="AA2"/>
      <c r="AB2"/>
      <c r="AC2"/>
    </row>
    <row r="3" spans="1:29" ht="12.75" customHeight="1">
      <c r="A3" s="411">
        <v>40544</v>
      </c>
      <c r="B3" s="548">
        <v>7162.5808420223402</v>
      </c>
      <c r="C3" s="548">
        <v>7240.4</v>
      </c>
      <c r="D3">
        <f>C3/B3</f>
        <v>1.0108646812781645</v>
      </c>
      <c r="F3" s="548">
        <v>7240.4</v>
      </c>
      <c r="G3">
        <v>1.0108646812781645</v>
      </c>
      <c r="J3">
        <f t="shared" ref="J3:J16" si="0">C3/B3</f>
        <v>1.0108646812781645</v>
      </c>
      <c r="L3" s="606">
        <f>+$C3/$B3</f>
        <v>1.0108646812781645</v>
      </c>
      <c r="M3" s="606"/>
      <c r="N3" s="606">
        <f>+$C3/$B3</f>
        <v>1.0108646812781645</v>
      </c>
      <c r="R3"/>
      <c r="S3"/>
      <c r="T3"/>
      <c r="U3"/>
      <c r="V3"/>
      <c r="W3"/>
      <c r="X3"/>
      <c r="Y3"/>
      <c r="Z3"/>
      <c r="AA3"/>
      <c r="AB3"/>
      <c r="AC3"/>
    </row>
    <row r="4" spans="1:29">
      <c r="A4" s="411">
        <v>40575</v>
      </c>
      <c r="B4" s="548">
        <v>7180.1084081599402</v>
      </c>
      <c r="C4" s="548">
        <v>7235.6</v>
      </c>
      <c r="D4">
        <f t="shared" ref="D4:D14" si="1">C4/B4</f>
        <v>1.0077285172709922</v>
      </c>
      <c r="F4" s="548">
        <v>7235.6</v>
      </c>
      <c r="G4">
        <v>1.0077285172709922</v>
      </c>
      <c r="J4">
        <f t="shared" si="0"/>
        <v>1.0077285172709922</v>
      </c>
      <c r="L4" s="606">
        <f t="shared" ref="L4:L17" si="2">+$C4/$B4</f>
        <v>1.0077285172709922</v>
      </c>
      <c r="M4" s="606"/>
      <c r="N4" s="606">
        <f t="shared" ref="N4:N19" si="3">+$C4/$B4</f>
        <v>1.0077285172709922</v>
      </c>
      <c r="R4"/>
      <c r="S4"/>
      <c r="T4"/>
      <c r="U4"/>
      <c r="V4"/>
      <c r="W4"/>
      <c r="X4"/>
      <c r="Y4"/>
      <c r="Z4"/>
      <c r="AA4"/>
      <c r="AB4"/>
      <c r="AC4"/>
    </row>
    <row r="5" spans="1:29">
      <c r="A5" s="411">
        <v>40603</v>
      </c>
      <c r="B5" s="548">
        <v>7202.7107498177202</v>
      </c>
      <c r="C5" s="548">
        <v>7238.9</v>
      </c>
      <c r="D5">
        <f t="shared" si="1"/>
        <v>1.0050243930985561</v>
      </c>
      <c r="F5" s="548">
        <v>7238.9</v>
      </c>
      <c r="G5">
        <v>1.0050243930985561</v>
      </c>
      <c r="J5">
        <f t="shared" si="0"/>
        <v>1.0050243930985561</v>
      </c>
      <c r="L5" s="606">
        <f t="shared" si="2"/>
        <v>1.0050243930985561</v>
      </c>
      <c r="M5" s="606"/>
      <c r="N5" s="606">
        <f t="shared" si="3"/>
        <v>1.0050243930985561</v>
      </c>
      <c r="R5"/>
      <c r="S5"/>
      <c r="T5"/>
      <c r="U5"/>
      <c r="V5"/>
      <c r="W5"/>
      <c r="X5"/>
      <c r="Y5"/>
      <c r="Z5"/>
      <c r="AA5"/>
      <c r="AB5"/>
      <c r="AC5"/>
    </row>
    <row r="6" spans="1:29">
      <c r="A6" s="411">
        <v>40634</v>
      </c>
      <c r="B6" s="548">
        <v>7232.5656107250297</v>
      </c>
      <c r="C6" s="548">
        <v>7272.7</v>
      </c>
      <c r="D6">
        <f t="shared" si="1"/>
        <v>1.0055491220453576</v>
      </c>
      <c r="F6" s="548">
        <v>7272.7</v>
      </c>
      <c r="G6">
        <v>1.0055491220453576</v>
      </c>
      <c r="J6">
        <f t="shared" si="0"/>
        <v>1.0055491220453576</v>
      </c>
      <c r="L6" s="606">
        <f t="shared" si="2"/>
        <v>1.0055491220453576</v>
      </c>
      <c r="M6" s="606"/>
      <c r="N6" s="606">
        <f t="shared" si="3"/>
        <v>1.0055491220453576</v>
      </c>
      <c r="R6"/>
      <c r="S6"/>
      <c r="T6"/>
      <c r="U6"/>
      <c r="V6"/>
      <c r="W6"/>
      <c r="X6"/>
      <c r="Y6"/>
      <c r="Z6"/>
      <c r="AA6"/>
      <c r="AB6"/>
      <c r="AC6"/>
    </row>
    <row r="7" spans="1:29">
      <c r="A7" s="411">
        <v>40664</v>
      </c>
      <c r="B7" s="548">
        <v>7243.4751945478201</v>
      </c>
      <c r="C7" s="548">
        <v>7269.2</v>
      </c>
      <c r="D7">
        <f t="shared" si="1"/>
        <v>1.0035514452332968</v>
      </c>
      <c r="F7" s="548">
        <v>7269.2</v>
      </c>
      <c r="G7">
        <v>1.0035514452332968</v>
      </c>
      <c r="J7">
        <f t="shared" si="0"/>
        <v>1.0035514452332968</v>
      </c>
      <c r="L7" s="606">
        <f t="shared" si="2"/>
        <v>1.0035514452332968</v>
      </c>
      <c r="M7" s="606"/>
      <c r="N7" s="606">
        <f t="shared" si="3"/>
        <v>1.0035514452332968</v>
      </c>
      <c r="R7"/>
      <c r="S7"/>
      <c r="T7"/>
      <c r="U7"/>
      <c r="V7"/>
      <c r="W7"/>
      <c r="X7"/>
      <c r="Y7"/>
      <c r="Z7"/>
      <c r="AA7"/>
      <c r="AB7"/>
      <c r="AC7"/>
    </row>
    <row r="8" spans="1:29">
      <c r="A8" s="411">
        <v>40695</v>
      </c>
      <c r="B8" s="548">
        <v>7248.7178414791197</v>
      </c>
      <c r="C8" s="548">
        <v>7260.4</v>
      </c>
      <c r="D8">
        <f t="shared" si="1"/>
        <v>1.001611617223398</v>
      </c>
      <c r="F8" s="548">
        <v>7260.4</v>
      </c>
      <c r="G8">
        <v>1.001611617223398</v>
      </c>
      <c r="J8">
        <f t="shared" si="0"/>
        <v>1.001611617223398</v>
      </c>
      <c r="L8" s="606">
        <f t="shared" si="2"/>
        <v>1.001611617223398</v>
      </c>
      <c r="M8" s="606"/>
      <c r="N8" s="606">
        <f t="shared" si="3"/>
        <v>1.001611617223398</v>
      </c>
      <c r="R8"/>
      <c r="S8"/>
      <c r="T8"/>
      <c r="U8"/>
      <c r="V8"/>
      <c r="W8"/>
      <c r="X8"/>
      <c r="Y8"/>
      <c r="Z8"/>
      <c r="AA8"/>
      <c r="AB8"/>
      <c r="AC8"/>
    </row>
    <row r="9" spans="1:29">
      <c r="A9" s="411">
        <v>40725</v>
      </c>
      <c r="B9" s="548">
        <v>7252.9326323598398</v>
      </c>
      <c r="C9" s="548">
        <v>7261.5</v>
      </c>
      <c r="D9">
        <f t="shared" si="1"/>
        <v>1.0011812280734467</v>
      </c>
      <c r="F9" s="548">
        <v>7261.5</v>
      </c>
      <c r="G9">
        <v>1.0011812280734467</v>
      </c>
      <c r="J9">
        <f t="shared" si="0"/>
        <v>1.0011812280734467</v>
      </c>
      <c r="L9" s="606">
        <f t="shared" si="2"/>
        <v>1.0011812280734467</v>
      </c>
      <c r="M9" s="606"/>
      <c r="N9" s="606">
        <f t="shared" si="3"/>
        <v>1.0011812280734467</v>
      </c>
      <c r="R9"/>
      <c r="S9"/>
      <c r="T9"/>
      <c r="U9"/>
      <c r="V9"/>
      <c r="W9"/>
      <c r="X9"/>
      <c r="Y9"/>
      <c r="Z9"/>
      <c r="AA9"/>
      <c r="AB9"/>
      <c r="AC9"/>
    </row>
    <row r="10" spans="1:29">
      <c r="A10" s="411">
        <v>40756</v>
      </c>
      <c r="B10" s="548">
        <v>7261.56179485347</v>
      </c>
      <c r="C10" s="548">
        <v>7270.5</v>
      </c>
      <c r="D10">
        <f t="shared" si="1"/>
        <v>1.0012308929399822</v>
      </c>
      <c r="F10" s="548">
        <v>7270.5</v>
      </c>
      <c r="G10">
        <v>1.0012308929399822</v>
      </c>
      <c r="J10">
        <f t="shared" si="0"/>
        <v>1.0012308929399822</v>
      </c>
      <c r="L10" s="606">
        <f t="shared" si="2"/>
        <v>1.0012308929399822</v>
      </c>
      <c r="M10" s="606"/>
      <c r="N10" s="606">
        <f t="shared" si="3"/>
        <v>1.0012308929399822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>
      <c r="A11" s="411">
        <v>40787</v>
      </c>
      <c r="B11" s="548">
        <v>7273.3477610215396</v>
      </c>
      <c r="C11" s="548">
        <v>7286.3</v>
      </c>
      <c r="D11">
        <f t="shared" si="1"/>
        <v>1.0017807809284018</v>
      </c>
      <c r="F11" s="548">
        <v>7286.3</v>
      </c>
      <c r="G11">
        <v>1.0017807809284018</v>
      </c>
      <c r="J11">
        <f t="shared" si="0"/>
        <v>1.0017807809284018</v>
      </c>
      <c r="L11" s="606">
        <f t="shared" si="2"/>
        <v>1.0017807809284018</v>
      </c>
      <c r="M11" s="606"/>
      <c r="N11" s="606">
        <f t="shared" si="3"/>
        <v>1.0017807809284018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>
      <c r="A12" s="411">
        <v>40817</v>
      </c>
      <c r="B12" s="548">
        <v>7283.3347547240201</v>
      </c>
      <c r="C12" s="548">
        <v>7303.9</v>
      </c>
      <c r="D12">
        <f t="shared" si="1"/>
        <v>1.0028236029193414</v>
      </c>
      <c r="F12" s="548">
        <v>7303.9</v>
      </c>
      <c r="G12">
        <v>1.0028236029193414</v>
      </c>
      <c r="J12">
        <f t="shared" si="0"/>
        <v>1.0028236029193414</v>
      </c>
      <c r="L12" s="606">
        <f t="shared" si="2"/>
        <v>1.0028236029193414</v>
      </c>
      <c r="M12" s="606"/>
      <c r="N12" s="606">
        <f t="shared" si="3"/>
        <v>1.0028236029193414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>
      <c r="A13" s="411">
        <v>40848</v>
      </c>
      <c r="B13" s="548">
        <v>7296.37730561014</v>
      </c>
      <c r="C13" s="548">
        <v>7318.9</v>
      </c>
      <c r="D13">
        <f t="shared" si="1"/>
        <v>1.0030868324713063</v>
      </c>
      <c r="F13" s="548">
        <v>7318.9</v>
      </c>
      <c r="G13">
        <v>1.0030868324713063</v>
      </c>
      <c r="J13">
        <f t="shared" si="0"/>
        <v>1.0030868324713063</v>
      </c>
      <c r="L13" s="606">
        <f t="shared" si="2"/>
        <v>1.0030868324713063</v>
      </c>
      <c r="M13" s="606"/>
      <c r="N13" s="606">
        <f t="shared" si="3"/>
        <v>1.0030868324713063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1:29">
      <c r="A14" s="411">
        <v>40878</v>
      </c>
      <c r="B14" s="548">
        <v>7308.8756069087303</v>
      </c>
      <c r="C14" s="548">
        <v>7333.2</v>
      </c>
      <c r="D14">
        <f t="shared" si="1"/>
        <v>1.0033280622628571</v>
      </c>
      <c r="E14" s="494">
        <f>AVERAGE(D3:D14)</f>
        <v>1.0039800979787585</v>
      </c>
      <c r="F14" s="548">
        <v>7333.2</v>
      </c>
      <c r="G14">
        <v>1.0033280622628571</v>
      </c>
      <c r="J14">
        <f t="shared" si="0"/>
        <v>1.0033280622628571</v>
      </c>
      <c r="L14" s="606">
        <f t="shared" si="2"/>
        <v>1.0033280622628571</v>
      </c>
      <c r="M14" s="606"/>
      <c r="N14" s="606">
        <f t="shared" si="3"/>
        <v>1.0033280622628571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1:29">
      <c r="A15" s="411">
        <v>40909</v>
      </c>
      <c r="B15" s="548">
        <v>7322.5881962692802</v>
      </c>
      <c r="C15" s="548">
        <v>7297.8</v>
      </c>
      <c r="E15">
        <f>$B15*E14</f>
        <v>7351.7328147485323</v>
      </c>
      <c r="F15" s="548">
        <v>7297.8</v>
      </c>
      <c r="G15">
        <v>0.99661483131307194</v>
      </c>
      <c r="H15" s="494">
        <v>0.99661483131307194</v>
      </c>
      <c r="I15" t="s">
        <v>345</v>
      </c>
      <c r="J15">
        <f t="shared" si="0"/>
        <v>0.99661483131307194</v>
      </c>
      <c r="L15" s="606">
        <f t="shared" si="2"/>
        <v>0.99661483131307194</v>
      </c>
      <c r="M15" s="606"/>
      <c r="N15" s="606">
        <f t="shared" si="3"/>
        <v>0.99661483131307194</v>
      </c>
      <c r="R15"/>
      <c r="S15"/>
      <c r="T15"/>
      <c r="U15"/>
      <c r="V15"/>
      <c r="W15"/>
      <c r="X15"/>
      <c r="Y15"/>
      <c r="Z15"/>
      <c r="AA15"/>
      <c r="AB15"/>
      <c r="AC15"/>
    </row>
    <row r="16" spans="1:29">
      <c r="A16" s="411">
        <v>40940</v>
      </c>
      <c r="B16" s="548">
        <v>7333.6582509127302</v>
      </c>
      <c r="C16" s="548">
        <v>7317.9</v>
      </c>
      <c r="F16" s="548">
        <v>7307.9</v>
      </c>
      <c r="G16">
        <v>0.99648766685991608</v>
      </c>
      <c r="H16" s="494">
        <v>0.99648766685991608</v>
      </c>
      <c r="I16" t="s">
        <v>346</v>
      </c>
      <c r="J16">
        <f t="shared" si="0"/>
        <v>0.99785124280767112</v>
      </c>
      <c r="L16" s="606">
        <f t="shared" si="2"/>
        <v>0.99785124280767112</v>
      </c>
      <c r="M16" s="606"/>
      <c r="N16" s="606">
        <f t="shared" si="3"/>
        <v>0.99785124280767112</v>
      </c>
      <c r="R16"/>
      <c r="S16"/>
      <c r="T16"/>
      <c r="U16"/>
      <c r="V16"/>
      <c r="W16"/>
      <c r="X16"/>
      <c r="Y16"/>
      <c r="Z16"/>
      <c r="AA16"/>
      <c r="AB16"/>
      <c r="AC16"/>
    </row>
    <row r="17" spans="1:29">
      <c r="A17" s="411">
        <v>40969</v>
      </c>
      <c r="B17" s="548">
        <v>7344.3792049715303</v>
      </c>
      <c r="C17" s="548">
        <v>7328</v>
      </c>
      <c r="H17">
        <v>7307.9</v>
      </c>
      <c r="J17">
        <f>C17/B17</f>
        <v>0.9977698312526615</v>
      </c>
      <c r="L17" s="606">
        <f t="shared" si="2"/>
        <v>0.9977698312526615</v>
      </c>
      <c r="M17" s="606"/>
      <c r="N17" s="606">
        <f t="shared" si="3"/>
        <v>0.9977698312526615</v>
      </c>
      <c r="R17"/>
      <c r="S17"/>
      <c r="T17"/>
      <c r="U17"/>
      <c r="V17"/>
      <c r="W17"/>
      <c r="X17"/>
      <c r="Y17"/>
      <c r="Z17"/>
      <c r="AA17"/>
      <c r="AB17"/>
      <c r="AC17"/>
    </row>
    <row r="18" spans="1:29">
      <c r="A18" s="411">
        <v>41000</v>
      </c>
      <c r="B18" s="548">
        <v>7354.6517439066101</v>
      </c>
      <c r="C18" s="548">
        <v>7317.7</v>
      </c>
      <c r="J18" s="45">
        <v>1.0013729000377987</v>
      </c>
      <c r="K18" s="485" t="s">
        <v>367</v>
      </c>
      <c r="L18" s="606">
        <f>+$C18/$B18</f>
        <v>0.99497573166027542</v>
      </c>
      <c r="M18" s="606"/>
      <c r="N18" s="606">
        <f t="shared" si="3"/>
        <v>0.99497573166027542</v>
      </c>
      <c r="R18"/>
      <c r="S18"/>
      <c r="T18"/>
      <c r="U18"/>
      <c r="V18"/>
      <c r="W18"/>
      <c r="X18"/>
      <c r="Y18"/>
      <c r="Z18"/>
      <c r="AA18"/>
      <c r="AB18"/>
      <c r="AC18"/>
    </row>
    <row r="19" spans="1:29">
      <c r="A19" s="411">
        <v>41030</v>
      </c>
      <c r="B19" s="548">
        <v>7366.0426359351204</v>
      </c>
      <c r="C19" s="548">
        <v>7323</v>
      </c>
      <c r="J19">
        <f>J18*B18</f>
        <v>7364.7489455638151</v>
      </c>
      <c r="K19" s="485" t="s">
        <v>368</v>
      </c>
      <c r="L19" s="607">
        <v>1.0005699548906548</v>
      </c>
      <c r="M19" s="607"/>
      <c r="N19" s="606">
        <f t="shared" si="3"/>
        <v>0.99415661325049387</v>
      </c>
      <c r="O19" s="485"/>
      <c r="R19"/>
      <c r="S19"/>
      <c r="T19"/>
      <c r="U19"/>
      <c r="V19"/>
      <c r="W19"/>
      <c r="X19"/>
      <c r="Y19"/>
      <c r="Z19"/>
      <c r="AA19"/>
      <c r="AB19"/>
      <c r="AC19"/>
    </row>
    <row r="20" spans="1:29">
      <c r="A20" s="411">
        <v>41061</v>
      </c>
      <c r="B20" s="548">
        <v>7377.8987594030204</v>
      </c>
      <c r="L20" s="608">
        <f>+$B19*L19</f>
        <v>7370.2409479602438</v>
      </c>
      <c r="M20" s="608"/>
      <c r="N20" s="607">
        <v>0.99970093892524226</v>
      </c>
      <c r="R20"/>
      <c r="S20"/>
      <c r="T20"/>
      <c r="U20"/>
      <c r="V20"/>
      <c r="W20"/>
      <c r="X20"/>
      <c r="Y20"/>
      <c r="Z20"/>
      <c r="AA20"/>
      <c r="AB20"/>
      <c r="AC20"/>
    </row>
    <row r="21" spans="1:29">
      <c r="A21" s="411">
        <v>41091</v>
      </c>
      <c r="B21" s="548">
        <v>7389.4498879725797</v>
      </c>
      <c r="G21" s="458" t="s">
        <v>342</v>
      </c>
      <c r="N21" s="608">
        <f>+$B20*N20</f>
        <v>7375.6923170705795</v>
      </c>
      <c r="R21"/>
      <c r="S21"/>
      <c r="T21"/>
      <c r="U21"/>
      <c r="V21"/>
      <c r="W21"/>
      <c r="X21"/>
      <c r="Y21"/>
      <c r="Z21"/>
      <c r="AA21"/>
      <c r="AB21"/>
      <c r="AC21"/>
    </row>
    <row r="22" spans="1:29">
      <c r="A22" s="411">
        <v>41122</v>
      </c>
      <c r="B22" s="548">
        <v>7401.6847816244399</v>
      </c>
      <c r="L22" s="699">
        <f>AVERAGE(L7:L18)</f>
        <v>1.000483841590476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>
      <c r="A23" s="411">
        <v>41153</v>
      </c>
      <c r="B23" s="548">
        <v>7413.6487758067897</v>
      </c>
      <c r="R23"/>
      <c r="S23"/>
      <c r="T23"/>
      <c r="U23"/>
      <c r="V23"/>
      <c r="W23"/>
      <c r="X23"/>
      <c r="Y23"/>
      <c r="Z23"/>
      <c r="AA23"/>
      <c r="AB23"/>
      <c r="AC23"/>
    </row>
    <row r="24" spans="1:29">
      <c r="A24" s="411">
        <v>41183</v>
      </c>
      <c r="B24" s="548">
        <v>7426.63682623768</v>
      </c>
      <c r="R24"/>
      <c r="S24"/>
      <c r="T24"/>
      <c r="U24"/>
      <c r="V24"/>
      <c r="W24"/>
      <c r="X24"/>
      <c r="Y24"/>
      <c r="Z24"/>
      <c r="AA24"/>
      <c r="AB24"/>
      <c r="AC24"/>
    </row>
    <row r="25" spans="1:29">
      <c r="A25" s="411">
        <v>41214</v>
      </c>
      <c r="B25" s="548">
        <v>7437.11241396269</v>
      </c>
      <c r="R25"/>
      <c r="S25"/>
      <c r="T25"/>
      <c r="U25"/>
      <c r="V25"/>
      <c r="W25"/>
      <c r="X25"/>
      <c r="Y25"/>
      <c r="Z25"/>
      <c r="AA25"/>
      <c r="AB25"/>
      <c r="AC25"/>
    </row>
    <row r="26" spans="1:29">
      <c r="A26" s="411">
        <v>41244</v>
      </c>
      <c r="B26" s="548">
        <v>7447.53137022189</v>
      </c>
      <c r="R26"/>
      <c r="S26"/>
      <c r="T26"/>
      <c r="U26"/>
      <c r="V26"/>
      <c r="W26"/>
      <c r="X26"/>
      <c r="Y26"/>
      <c r="Z26"/>
      <c r="AA26"/>
      <c r="AB26"/>
      <c r="AC26"/>
    </row>
    <row r="27" spans="1:29">
      <c r="R27"/>
      <c r="S27"/>
      <c r="T27"/>
      <c r="U27"/>
      <c r="V27"/>
      <c r="W27"/>
      <c r="X27"/>
      <c r="Y27"/>
      <c r="Z27"/>
      <c r="AA27"/>
      <c r="AB27"/>
      <c r="AC27"/>
    </row>
    <row r="28" spans="1:29">
      <c r="R28"/>
      <c r="S28"/>
      <c r="T28"/>
      <c r="U28"/>
      <c r="V28"/>
      <c r="W28"/>
      <c r="X28"/>
      <c r="Y28"/>
      <c r="Z28"/>
      <c r="AA28"/>
      <c r="AB28"/>
      <c r="AC28"/>
    </row>
    <row r="29" spans="1:29">
      <c r="R29"/>
      <c r="S29"/>
      <c r="T29"/>
      <c r="U29"/>
      <c r="V29"/>
      <c r="W29"/>
      <c r="X29"/>
      <c r="Y29"/>
      <c r="Z29"/>
      <c r="AA29"/>
      <c r="AB29"/>
      <c r="AC29"/>
    </row>
    <row r="30" spans="1:29">
      <c r="R30"/>
      <c r="S30"/>
      <c r="T30"/>
      <c r="U30"/>
      <c r="V30"/>
      <c r="W30"/>
      <c r="X30"/>
      <c r="Y30"/>
      <c r="Z30"/>
      <c r="AA30"/>
      <c r="AB30"/>
      <c r="AC30"/>
    </row>
    <row r="31" spans="1:29" ht="15.6">
      <c r="A31" s="802" t="s">
        <v>288</v>
      </c>
      <c r="B31" s="789"/>
      <c r="C31" s="789"/>
      <c r="D31" s="789"/>
      <c r="E31" s="789"/>
      <c r="F31" s="789"/>
      <c r="G31" s="789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5.6">
      <c r="A32" s="802" t="s">
        <v>377</v>
      </c>
      <c r="B32" s="789"/>
      <c r="C32" s="789"/>
      <c r="D32" s="789"/>
      <c r="E32" s="789"/>
      <c r="F32" s="789"/>
      <c r="G32" s="789"/>
      <c r="R32"/>
      <c r="S32"/>
      <c r="T32"/>
      <c r="U32"/>
      <c r="V32"/>
      <c r="W32"/>
      <c r="X32"/>
      <c r="Y32"/>
      <c r="Z32"/>
      <c r="AA32"/>
      <c r="AB32"/>
      <c r="AC32"/>
    </row>
    <row r="33" spans="1:31">
      <c r="A33" s="789"/>
      <c r="B33" s="789"/>
      <c r="C33" s="789"/>
      <c r="D33" s="789"/>
      <c r="E33" s="789"/>
      <c r="F33" s="789"/>
      <c r="G33" s="789"/>
      <c r="H33" s="609" t="s">
        <v>378</v>
      </c>
      <c r="R33"/>
      <c r="S33"/>
      <c r="T33"/>
      <c r="U33"/>
      <c r="V33"/>
      <c r="W33"/>
      <c r="X33"/>
      <c r="Y33"/>
      <c r="Z33"/>
      <c r="AA33"/>
      <c r="AB33"/>
      <c r="AC33"/>
    </row>
    <row r="34" spans="1:31" ht="26.4">
      <c r="A34" s="610" t="s">
        <v>379</v>
      </c>
      <c r="B34" s="801" t="s">
        <v>380</v>
      </c>
      <c r="C34" s="789"/>
      <c r="D34" s="789"/>
      <c r="E34" s="789"/>
      <c r="F34" s="789"/>
      <c r="G34" s="789"/>
      <c r="R34"/>
      <c r="S34"/>
      <c r="T34"/>
      <c r="U34"/>
      <c r="V34"/>
      <c r="W34"/>
      <c r="X34"/>
      <c r="Y34"/>
      <c r="Z34"/>
      <c r="AA34"/>
      <c r="AB34"/>
      <c r="AC34"/>
    </row>
    <row r="35" spans="1:31">
      <c r="A35" s="788" t="s">
        <v>167</v>
      </c>
      <c r="B35" s="789"/>
      <c r="C35" s="789"/>
      <c r="D35" s="789"/>
      <c r="E35" s="789"/>
      <c r="F35" s="789"/>
      <c r="G35" s="789"/>
    </row>
    <row r="36" spans="1:31">
      <c r="A36" s="610" t="s">
        <v>381</v>
      </c>
      <c r="B36" s="799" t="s">
        <v>382</v>
      </c>
      <c r="C36" s="800"/>
      <c r="D36" s="800"/>
      <c r="E36" s="800"/>
      <c r="F36" s="800"/>
      <c r="G36" s="800"/>
      <c r="O36" s="458"/>
      <c r="P36" s="458"/>
    </row>
    <row r="37" spans="1:31" ht="28.8">
      <c r="A37" s="610" t="s">
        <v>383</v>
      </c>
      <c r="B37" s="801" t="s">
        <v>384</v>
      </c>
      <c r="C37" s="789"/>
      <c r="D37" s="789"/>
      <c r="E37" s="789"/>
      <c r="F37" s="789"/>
      <c r="G37" s="789"/>
      <c r="R37" s="291" t="s">
        <v>158</v>
      </c>
      <c r="S37"/>
      <c r="T37"/>
      <c r="U37"/>
      <c r="V37"/>
      <c r="W37"/>
      <c r="X37"/>
      <c r="Y37"/>
      <c r="Z37"/>
      <c r="AA37"/>
      <c r="AB37"/>
      <c r="AC37"/>
    </row>
    <row r="38" spans="1:31" ht="26.4">
      <c r="A38" s="610" t="s">
        <v>385</v>
      </c>
      <c r="B38" s="801" t="s">
        <v>386</v>
      </c>
      <c r="C38" s="789"/>
      <c r="D38" s="789"/>
      <c r="E38" s="789"/>
      <c r="F38" s="789"/>
      <c r="G38" s="789"/>
      <c r="R38" s="292" t="s">
        <v>159</v>
      </c>
      <c r="S38"/>
      <c r="T38"/>
      <c r="U38"/>
      <c r="V38"/>
      <c r="W38"/>
      <c r="X38"/>
      <c r="Y38"/>
      <c r="Z38"/>
      <c r="AA38"/>
      <c r="AB38"/>
      <c r="AC38"/>
    </row>
    <row r="39" spans="1:31">
      <c r="A39" s="610" t="s">
        <v>387</v>
      </c>
      <c r="B39" s="788" t="s">
        <v>386</v>
      </c>
      <c r="C39" s="798"/>
      <c r="D39" s="798"/>
      <c r="E39" s="798"/>
      <c r="F39" s="798"/>
      <c r="G39" s="798"/>
      <c r="R39" s="292"/>
      <c r="S39"/>
      <c r="T39"/>
      <c r="U39"/>
      <c r="V39"/>
      <c r="W39"/>
      <c r="X39"/>
      <c r="Y39"/>
      <c r="Z39"/>
      <c r="AA39"/>
      <c r="AB39"/>
      <c r="AC39"/>
    </row>
    <row r="40" spans="1:31" ht="26.4">
      <c r="A40" s="610" t="s">
        <v>388</v>
      </c>
      <c r="B40" s="801" t="s">
        <v>389</v>
      </c>
      <c r="C40" s="789"/>
      <c r="D40" s="789"/>
      <c r="E40" s="789"/>
      <c r="F40" s="789"/>
      <c r="G40" s="789"/>
      <c r="R40" s="293" t="s">
        <v>160</v>
      </c>
      <c r="S40" s="294" t="s">
        <v>161</v>
      </c>
      <c r="T40" s="294"/>
      <c r="U40" s="295" t="s">
        <v>162</v>
      </c>
      <c r="V40" s="294"/>
      <c r="W40" s="296" t="s">
        <v>163</v>
      </c>
      <c r="X40" s="296"/>
      <c r="Y40"/>
      <c r="Z40"/>
      <c r="AA40"/>
      <c r="AB40"/>
      <c r="AC40"/>
    </row>
    <row r="41" spans="1:31" ht="12.75" customHeight="1">
      <c r="A41" s="610" t="s">
        <v>390</v>
      </c>
      <c r="B41" s="797" t="s">
        <v>391</v>
      </c>
      <c r="C41" s="798"/>
      <c r="D41" s="798"/>
      <c r="E41" s="798"/>
      <c r="F41" s="798"/>
      <c r="G41" s="798"/>
      <c r="R41" s="297"/>
      <c r="S41" s="793" t="s">
        <v>164</v>
      </c>
      <c r="T41" s="793"/>
      <c r="U41" s="793"/>
      <c r="V41" s="793"/>
      <c r="W41" s="793"/>
      <c r="X41" s="298"/>
      <c r="Y41"/>
      <c r="Z41"/>
      <c r="AA41"/>
      <c r="AB41"/>
      <c r="AC41"/>
    </row>
    <row r="42" spans="1:31">
      <c r="B42"/>
      <c r="C42"/>
      <c r="F42"/>
      <c r="R42" s="447" t="s">
        <v>341</v>
      </c>
      <c r="S42"/>
      <c r="T42"/>
      <c r="U42"/>
      <c r="V42"/>
      <c r="W42"/>
      <c r="X42"/>
      <c r="Y42"/>
      <c r="Z42"/>
      <c r="AA42"/>
      <c r="AB42"/>
      <c r="AC42"/>
    </row>
    <row r="43" spans="1:31" ht="13.8" thickBot="1">
      <c r="A43" s="611" t="s">
        <v>170</v>
      </c>
      <c r="B43" s="611" t="s">
        <v>24</v>
      </c>
      <c r="C43" s="611" t="s">
        <v>25</v>
      </c>
      <c r="D43" s="611"/>
      <c r="E43" s="611" t="s">
        <v>26</v>
      </c>
      <c r="F43" s="611" t="s">
        <v>27</v>
      </c>
      <c r="G43" s="611" t="s">
        <v>4</v>
      </c>
      <c r="H43" s="611" t="s">
        <v>28</v>
      </c>
      <c r="I43" s="611" t="s">
        <v>29</v>
      </c>
      <c r="J43" s="611" t="s">
        <v>30</v>
      </c>
      <c r="K43" s="611" t="s">
        <v>31</v>
      </c>
      <c r="L43" s="611" t="s">
        <v>32</v>
      </c>
      <c r="M43" s="611" t="s">
        <v>33</v>
      </c>
      <c r="N43" s="611" t="s">
        <v>34</v>
      </c>
      <c r="R43" s="300"/>
      <c r="S43"/>
      <c r="T43"/>
      <c r="U43"/>
      <c r="V43"/>
      <c r="W43"/>
      <c r="X43"/>
      <c r="Y43"/>
      <c r="Z43"/>
      <c r="AA43"/>
      <c r="AB43"/>
      <c r="AC43"/>
    </row>
    <row r="44" spans="1:31" ht="14.4" thickTop="1">
      <c r="A44" s="612">
        <v>2002</v>
      </c>
      <c r="B44" s="604">
        <v>7123.2</v>
      </c>
      <c r="C44" s="604">
        <v>7125.1</v>
      </c>
      <c r="D44" s="604"/>
      <c r="E44" s="604">
        <v>7137</v>
      </c>
      <c r="F44" s="604">
        <v>7146.2</v>
      </c>
      <c r="G44" s="604">
        <v>7153.7</v>
      </c>
      <c r="H44" s="604">
        <v>7140.4</v>
      </c>
      <c r="I44" s="604">
        <v>7153.1</v>
      </c>
      <c r="J44" s="604">
        <v>7183.7</v>
      </c>
      <c r="K44" s="604">
        <v>7171.1</v>
      </c>
      <c r="L44" s="604">
        <v>7192.4</v>
      </c>
      <c r="M44" s="604">
        <v>7199.6</v>
      </c>
      <c r="N44" s="604">
        <v>7207.3</v>
      </c>
      <c r="R44" s="301" t="s">
        <v>288</v>
      </c>
      <c r="S44"/>
      <c r="T44"/>
      <c r="U44"/>
      <c r="V44"/>
      <c r="W44"/>
      <c r="X44"/>
      <c r="Y44"/>
      <c r="Z44"/>
      <c r="AA44"/>
      <c r="AB44"/>
      <c r="AC44"/>
    </row>
    <row r="45" spans="1:31">
      <c r="A45" s="612">
        <v>2003</v>
      </c>
      <c r="B45" s="604">
        <v>7207.5</v>
      </c>
      <c r="C45" s="604">
        <v>7210</v>
      </c>
      <c r="D45" s="604"/>
      <c r="E45" s="604">
        <v>7217.9</v>
      </c>
      <c r="F45" s="604">
        <v>7218.8</v>
      </c>
      <c r="G45" s="604">
        <v>7218.8</v>
      </c>
      <c r="H45" s="604">
        <v>7217.9</v>
      </c>
      <c r="I45" s="604">
        <v>7232.8</v>
      </c>
      <c r="J45" s="604">
        <v>7253.7</v>
      </c>
      <c r="K45" s="604">
        <v>7256.6</v>
      </c>
      <c r="L45" s="604">
        <v>7274.2</v>
      </c>
      <c r="M45" s="604">
        <v>7282.6</v>
      </c>
      <c r="N45" s="604">
        <v>7300.8</v>
      </c>
      <c r="R45" s="300"/>
      <c r="S45"/>
      <c r="T45"/>
      <c r="U45"/>
      <c r="V45"/>
      <c r="W45"/>
      <c r="X45"/>
      <c r="Y45"/>
      <c r="Z45"/>
      <c r="AA45"/>
      <c r="AB45"/>
      <c r="AC45"/>
    </row>
    <row r="46" spans="1:31" ht="15">
      <c r="A46" s="612">
        <v>2004</v>
      </c>
      <c r="B46" s="604">
        <v>7362</v>
      </c>
      <c r="C46" s="604">
        <v>7379.8</v>
      </c>
      <c r="D46" s="604"/>
      <c r="E46" s="604">
        <v>7399.6</v>
      </c>
      <c r="F46" s="604">
        <v>7436.8</v>
      </c>
      <c r="G46" s="604">
        <v>7462</v>
      </c>
      <c r="H46" s="604">
        <v>7486.7</v>
      </c>
      <c r="I46" s="604">
        <v>7517.1</v>
      </c>
      <c r="J46" s="604">
        <v>7537.1</v>
      </c>
      <c r="K46" s="604">
        <v>7491.2</v>
      </c>
      <c r="L46" s="604">
        <v>7567.7</v>
      </c>
      <c r="M46" s="604">
        <v>7605.4</v>
      </c>
      <c r="N46" s="604">
        <v>7629.1</v>
      </c>
      <c r="R46" s="304" t="s">
        <v>289</v>
      </c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</row>
    <row r="47" spans="1:31" ht="15">
      <c r="A47" s="612">
        <v>2005</v>
      </c>
      <c r="B47" s="604">
        <v>7653.6</v>
      </c>
      <c r="C47" s="604">
        <v>7677.1</v>
      </c>
      <c r="D47" s="604"/>
      <c r="E47" s="604">
        <v>7678.1</v>
      </c>
      <c r="F47" s="604">
        <v>7723.5</v>
      </c>
      <c r="G47" s="604">
        <v>7763.7</v>
      </c>
      <c r="H47" s="604">
        <v>7763</v>
      </c>
      <c r="I47" s="604">
        <v>7823.5</v>
      </c>
      <c r="J47" s="604">
        <v>7854.2</v>
      </c>
      <c r="K47" s="604">
        <v>7881.3</v>
      </c>
      <c r="L47" s="604">
        <v>7880.4</v>
      </c>
      <c r="M47" s="604">
        <v>7885.4</v>
      </c>
      <c r="N47" s="604">
        <v>7904.5</v>
      </c>
      <c r="R47" s="304" t="s">
        <v>167</v>
      </c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</row>
    <row r="48" spans="1:31" ht="15">
      <c r="A48" s="612">
        <v>2006</v>
      </c>
      <c r="B48" s="604">
        <v>7915.3</v>
      </c>
      <c r="C48" s="604">
        <v>7929.1</v>
      </c>
      <c r="D48" s="604"/>
      <c r="E48" s="604">
        <v>7961.1</v>
      </c>
      <c r="F48" s="604">
        <v>7972.7</v>
      </c>
      <c r="G48" s="604">
        <v>7988.6</v>
      </c>
      <c r="H48" s="604">
        <v>8001.4</v>
      </c>
      <c r="I48" s="604">
        <v>8008.9</v>
      </c>
      <c r="J48" s="604">
        <v>8031.4</v>
      </c>
      <c r="K48" s="604">
        <v>8031.2</v>
      </c>
      <c r="L48" s="604">
        <v>8026</v>
      </c>
      <c r="M48" s="604">
        <v>8030.3</v>
      </c>
      <c r="N48" s="604">
        <v>8043</v>
      </c>
      <c r="R48" s="304" t="s">
        <v>290</v>
      </c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</row>
    <row r="49" spans="1:31" ht="15">
      <c r="A49" s="612">
        <v>2007</v>
      </c>
      <c r="B49" s="604">
        <v>8056.2</v>
      </c>
      <c r="C49" s="604">
        <v>8060.6</v>
      </c>
      <c r="D49" s="604"/>
      <c r="E49" s="604">
        <v>8074.8</v>
      </c>
      <c r="F49" s="604">
        <v>8061.3</v>
      </c>
      <c r="G49" s="604">
        <v>8048.7</v>
      </c>
      <c r="H49" s="604">
        <v>8049.7</v>
      </c>
      <c r="I49" s="604">
        <v>8018.3</v>
      </c>
      <c r="J49" s="604">
        <v>8006.1</v>
      </c>
      <c r="K49" s="604">
        <v>7983.5</v>
      </c>
      <c r="L49" s="604">
        <v>7966.2</v>
      </c>
      <c r="M49" s="604">
        <v>7961.5</v>
      </c>
      <c r="N49" s="604">
        <v>7949.9</v>
      </c>
      <c r="R49" s="304" t="s">
        <v>291</v>
      </c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</row>
    <row r="50" spans="1:31" ht="15">
      <c r="A50" s="612">
        <v>2008</v>
      </c>
      <c r="B50" s="604">
        <v>7917.3</v>
      </c>
      <c r="C50" s="604">
        <v>7910.9</v>
      </c>
      <c r="D50" s="604"/>
      <c r="E50" s="604">
        <v>7883</v>
      </c>
      <c r="F50" s="604">
        <v>7833.1</v>
      </c>
      <c r="G50" s="604">
        <v>7802.4</v>
      </c>
      <c r="H50" s="604">
        <v>7755.1</v>
      </c>
      <c r="I50" s="604">
        <v>7729.6</v>
      </c>
      <c r="J50" s="604">
        <v>7690.7</v>
      </c>
      <c r="K50" s="604">
        <v>7653.9</v>
      </c>
      <c r="L50" s="604">
        <v>7599.2</v>
      </c>
      <c r="M50" s="604">
        <v>7550.4</v>
      </c>
      <c r="N50" s="604">
        <v>7507.2</v>
      </c>
      <c r="R50" s="304" t="s">
        <v>292</v>
      </c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</row>
    <row r="51" spans="1:31" ht="15">
      <c r="A51" s="612">
        <v>2009</v>
      </c>
      <c r="B51" s="604">
        <v>7436.3</v>
      </c>
      <c r="C51" s="604">
        <v>7380.5</v>
      </c>
      <c r="D51" s="604"/>
      <c r="E51" s="604">
        <v>7333</v>
      </c>
      <c r="F51" s="604">
        <v>7285.2</v>
      </c>
      <c r="G51" s="604">
        <v>7263.1</v>
      </c>
      <c r="H51" s="604">
        <v>7234.7</v>
      </c>
      <c r="I51" s="604">
        <v>7212.8</v>
      </c>
      <c r="J51" s="604">
        <v>7189.5</v>
      </c>
      <c r="K51" s="604">
        <v>7171.3</v>
      </c>
      <c r="L51" s="604">
        <v>7167.2</v>
      </c>
      <c r="M51" s="604">
        <v>7167.4</v>
      </c>
      <c r="N51" s="604">
        <v>7150.1</v>
      </c>
      <c r="R51" s="304" t="s">
        <v>343</v>
      </c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</row>
    <row r="52" spans="1:31" ht="15">
      <c r="A52" s="612">
        <v>2010</v>
      </c>
      <c r="B52" s="604">
        <v>7153.5</v>
      </c>
      <c r="C52" s="604">
        <v>7153.6</v>
      </c>
      <c r="D52" s="604"/>
      <c r="E52" s="604">
        <v>7158.1</v>
      </c>
      <c r="F52" s="604">
        <v>7175.3</v>
      </c>
      <c r="G52" s="604">
        <v>7213.7</v>
      </c>
      <c r="H52" s="604">
        <v>7197.4</v>
      </c>
      <c r="I52" s="604">
        <v>7204.9</v>
      </c>
      <c r="J52" s="604">
        <v>7202.9</v>
      </c>
      <c r="K52" s="604">
        <v>7190.3</v>
      </c>
      <c r="L52" s="604">
        <v>7227.4</v>
      </c>
      <c r="M52" s="604">
        <v>7220.5</v>
      </c>
      <c r="N52" s="604">
        <v>7217.5</v>
      </c>
      <c r="R52" s="304" t="s">
        <v>293</v>
      </c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</row>
    <row r="53" spans="1:31">
      <c r="A53" s="612">
        <v>2011</v>
      </c>
      <c r="B53" s="604">
        <v>7240.4</v>
      </c>
      <c r="C53" s="604">
        <v>7235.6</v>
      </c>
      <c r="D53" s="604"/>
      <c r="E53" s="604">
        <v>7238.9</v>
      </c>
      <c r="F53" s="604">
        <v>7272.7</v>
      </c>
      <c r="G53" s="604">
        <v>7269.2</v>
      </c>
      <c r="H53" s="604">
        <v>7260.4</v>
      </c>
      <c r="I53" s="604">
        <v>7261.5</v>
      </c>
      <c r="J53" s="604">
        <v>7270.5</v>
      </c>
      <c r="K53" s="604">
        <v>7286.3</v>
      </c>
      <c r="L53" s="604">
        <v>7303.9</v>
      </c>
      <c r="M53" s="604">
        <v>7318.9</v>
      </c>
      <c r="N53" s="604">
        <v>7333.2</v>
      </c>
      <c r="R53" s="794"/>
      <c r="S53" s="789"/>
      <c r="T53" s="789"/>
      <c r="U53" s="789"/>
      <c r="V53" s="789"/>
      <c r="W53" s="789"/>
      <c r="X53" s="789"/>
      <c r="Y53" s="789"/>
      <c r="Z53" s="789"/>
      <c r="AA53" s="789"/>
      <c r="AB53" s="789"/>
      <c r="AC53" s="789"/>
      <c r="AD53" s="789"/>
      <c r="AE53" s="789"/>
    </row>
    <row r="54" spans="1:31">
      <c r="A54" s="612">
        <v>2012</v>
      </c>
      <c r="B54" s="604">
        <v>7297.8</v>
      </c>
      <c r="C54" s="604">
        <v>7317.9</v>
      </c>
      <c r="D54" s="604"/>
      <c r="E54" s="604">
        <v>7328</v>
      </c>
      <c r="F54" s="604">
        <v>7325.3</v>
      </c>
      <c r="R54" s="794"/>
      <c r="S54" s="789"/>
      <c r="T54" s="789"/>
      <c r="U54" s="789"/>
      <c r="V54" s="789"/>
      <c r="W54" s="789"/>
      <c r="X54" s="789"/>
      <c r="Y54" s="789"/>
      <c r="Z54" s="789"/>
      <c r="AA54" s="789"/>
      <c r="AB54" s="789"/>
      <c r="AC54" s="789"/>
      <c r="AD54" s="789"/>
      <c r="AE54" s="789"/>
    </row>
    <row r="55" spans="1:31">
      <c r="B55"/>
      <c r="C55"/>
      <c r="F55"/>
      <c r="R55" s="794" t="s">
        <v>169</v>
      </c>
      <c r="S55" s="789"/>
      <c r="T55" s="789"/>
      <c r="U55" s="789"/>
      <c r="V55" s="789"/>
      <c r="W55" s="789"/>
      <c r="X55" s="789"/>
      <c r="Y55" s="789"/>
      <c r="Z55" s="789"/>
      <c r="AA55" s="789"/>
      <c r="AB55" s="789"/>
      <c r="AC55" s="789"/>
      <c r="AD55" s="789"/>
      <c r="AE55" s="789"/>
    </row>
    <row r="56" spans="1:31" ht="13.8" thickBot="1">
      <c r="R56" s="795"/>
      <c r="S56" s="796"/>
      <c r="T56" s="796"/>
      <c r="U56" s="796"/>
      <c r="V56" s="796"/>
      <c r="W56" s="796"/>
      <c r="X56" s="796"/>
      <c r="Y56" s="796"/>
      <c r="Z56" s="796"/>
      <c r="AA56" s="796"/>
      <c r="AB56" s="796"/>
      <c r="AC56" s="796"/>
      <c r="AD56" s="796"/>
      <c r="AE56" s="796"/>
    </row>
    <row r="57" spans="1:31" ht="13.8" thickBot="1">
      <c r="R57" s="306" t="s">
        <v>170</v>
      </c>
      <c r="S57" s="306" t="s">
        <v>24</v>
      </c>
      <c r="T57" s="306" t="s">
        <v>25</v>
      </c>
      <c r="U57" s="306" t="s">
        <v>26</v>
      </c>
      <c r="V57" s="306" t="s">
        <v>27</v>
      </c>
      <c r="W57" s="306" t="s">
        <v>4</v>
      </c>
      <c r="X57" s="306" t="s">
        <v>28</v>
      </c>
      <c r="Y57" s="306" t="s">
        <v>29</v>
      </c>
      <c r="Z57" s="306" t="s">
        <v>30</v>
      </c>
      <c r="AA57" s="306" t="s">
        <v>31</v>
      </c>
      <c r="AB57" s="306" t="s">
        <v>32</v>
      </c>
      <c r="AC57" s="306" t="s">
        <v>33</v>
      </c>
      <c r="AD57" s="306" t="s">
        <v>34</v>
      </c>
      <c r="AE57" s="307" t="s">
        <v>55</v>
      </c>
    </row>
    <row r="58" spans="1:31" ht="27" thickBot="1">
      <c r="A58" s="293" t="s">
        <v>160</v>
      </c>
      <c r="B58" s="294" t="s">
        <v>161</v>
      </c>
      <c r="C58" s="294"/>
      <c r="D58" s="295" t="s">
        <v>162</v>
      </c>
      <c r="E58" s="294"/>
      <c r="F58" s="296" t="s">
        <v>163</v>
      </c>
      <c r="G58" s="296"/>
      <c r="R58" s="550">
        <v>2002</v>
      </c>
      <c r="S58" s="551">
        <v>7123.2</v>
      </c>
      <c r="T58" s="551">
        <v>7125.1</v>
      </c>
      <c r="U58" s="551">
        <v>7137</v>
      </c>
      <c r="V58" s="551">
        <v>7146.2</v>
      </c>
      <c r="W58" s="551">
        <v>7153.7</v>
      </c>
      <c r="X58" s="551">
        <v>7140.4</v>
      </c>
      <c r="Y58" s="551">
        <v>7153.1</v>
      </c>
      <c r="Z58" s="551">
        <v>7183.7</v>
      </c>
      <c r="AA58" s="551">
        <v>7171.1</v>
      </c>
      <c r="AB58" s="551">
        <v>7192.4</v>
      </c>
      <c r="AC58" s="551">
        <v>7199.6</v>
      </c>
      <c r="AD58" s="551">
        <v>7207.3</v>
      </c>
      <c r="AE58" s="552"/>
    </row>
    <row r="59" spans="1:31" ht="13.8" thickBot="1">
      <c r="A59" s="297"/>
      <c r="B59" s="793" t="s">
        <v>164</v>
      </c>
      <c r="C59" s="793"/>
      <c r="D59" s="793"/>
      <c r="E59" s="793"/>
      <c r="F59" s="793"/>
      <c r="G59" s="298"/>
      <c r="R59" s="553">
        <v>2003</v>
      </c>
      <c r="S59" s="549">
        <v>7207.5</v>
      </c>
      <c r="T59" s="549">
        <v>7210</v>
      </c>
      <c r="U59" s="549">
        <v>7217.9</v>
      </c>
      <c r="V59" s="549">
        <v>7218.8</v>
      </c>
      <c r="W59" s="549">
        <v>7218.8</v>
      </c>
      <c r="X59" s="549">
        <v>7217.9</v>
      </c>
      <c r="Y59" s="549">
        <v>7232.8</v>
      </c>
      <c r="Z59" s="549">
        <v>7253.7</v>
      </c>
      <c r="AA59" s="549">
        <v>7256.6</v>
      </c>
      <c r="AB59" s="549">
        <v>7274.2</v>
      </c>
      <c r="AC59" s="549">
        <v>7282.6</v>
      </c>
      <c r="AD59" s="549">
        <v>7300.8</v>
      </c>
      <c r="AE59" s="554"/>
    </row>
    <row r="60" spans="1:31" ht="13.8" thickBot="1">
      <c r="A60" s="609" t="s">
        <v>435</v>
      </c>
      <c r="B60"/>
      <c r="C60"/>
      <c r="F60"/>
      <c r="R60" s="308">
        <v>2004</v>
      </c>
      <c r="S60" s="309">
        <v>7362</v>
      </c>
      <c r="T60" s="309">
        <v>7379.8</v>
      </c>
      <c r="U60" s="309">
        <v>7399.6</v>
      </c>
      <c r="V60" s="309">
        <v>7436.8</v>
      </c>
      <c r="W60" s="309">
        <v>7462</v>
      </c>
      <c r="X60" s="309">
        <v>7486.7</v>
      </c>
      <c r="Y60" s="309">
        <v>7517.1</v>
      </c>
      <c r="Z60" s="309">
        <v>7537.1</v>
      </c>
      <c r="AA60" s="309">
        <v>7491.2</v>
      </c>
      <c r="AB60" s="309">
        <v>7567.7</v>
      </c>
      <c r="AC60" s="309">
        <v>7605.4</v>
      </c>
      <c r="AD60" s="309">
        <v>7629.1</v>
      </c>
      <c r="AE60" s="310"/>
    </row>
    <row r="61" spans="1:31" ht="13.8" thickBot="1">
      <c r="A61" s="300"/>
      <c r="B61"/>
      <c r="C61"/>
      <c r="F61"/>
      <c r="R61" s="553">
        <v>2005</v>
      </c>
      <c r="S61" s="549">
        <v>7653.6</v>
      </c>
      <c r="T61" s="549">
        <v>7677.1</v>
      </c>
      <c r="U61" s="549">
        <v>7678.1</v>
      </c>
      <c r="V61" s="549">
        <v>7723.5</v>
      </c>
      <c r="W61" s="549">
        <v>7763.7</v>
      </c>
      <c r="X61" s="549">
        <v>7763</v>
      </c>
      <c r="Y61" s="549">
        <v>7823.5</v>
      </c>
      <c r="Z61" s="549">
        <v>7854.2</v>
      </c>
      <c r="AA61" s="549">
        <v>7881.3</v>
      </c>
      <c r="AB61" s="549">
        <v>7880.4</v>
      </c>
      <c r="AC61" s="549">
        <v>7885.4</v>
      </c>
      <c r="AD61" s="549">
        <v>7904.5</v>
      </c>
      <c r="AE61" s="554"/>
    </row>
    <row r="62" spans="1:31" ht="14.4" thickBot="1">
      <c r="A62" s="703" t="s">
        <v>288</v>
      </c>
      <c r="B62"/>
      <c r="C62"/>
      <c r="F62"/>
      <c r="R62" s="308">
        <v>2006</v>
      </c>
      <c r="S62" s="309">
        <v>7915.3</v>
      </c>
      <c r="T62" s="309">
        <v>7929.1</v>
      </c>
      <c r="U62" s="309">
        <v>7961.1</v>
      </c>
      <c r="V62" s="309">
        <v>7972.7</v>
      </c>
      <c r="W62" s="309">
        <v>7988.6</v>
      </c>
      <c r="X62" s="309">
        <v>8001.4</v>
      </c>
      <c r="Y62" s="309">
        <v>8008.9</v>
      </c>
      <c r="Z62" s="309">
        <v>8031.4</v>
      </c>
      <c r="AA62" s="309">
        <v>8031.2</v>
      </c>
      <c r="AB62" s="309">
        <v>8026</v>
      </c>
      <c r="AC62" s="309">
        <v>8030.3</v>
      </c>
      <c r="AD62" s="309">
        <v>8043</v>
      </c>
      <c r="AE62" s="310"/>
    </row>
    <row r="63" spans="1:31" ht="13.8" thickBot="1">
      <c r="A63" s="300"/>
      <c r="B63"/>
      <c r="C63"/>
      <c r="F63"/>
      <c r="R63" s="553">
        <v>2007</v>
      </c>
      <c r="S63" s="549">
        <v>8056.2</v>
      </c>
      <c r="T63" s="549">
        <v>8060.6</v>
      </c>
      <c r="U63" s="549">
        <v>8074.8</v>
      </c>
      <c r="V63" s="549">
        <v>8061.3</v>
      </c>
      <c r="W63" s="549">
        <v>8048.7</v>
      </c>
      <c r="X63" s="549">
        <v>8049.7</v>
      </c>
      <c r="Y63" s="549">
        <v>8018.3</v>
      </c>
      <c r="Z63" s="549">
        <v>8006.1</v>
      </c>
      <c r="AA63" s="549">
        <v>7983.5</v>
      </c>
      <c r="AB63" s="549">
        <v>7966.2</v>
      </c>
      <c r="AC63" s="549">
        <v>7961.5</v>
      </c>
      <c r="AD63" s="549">
        <v>7949.9</v>
      </c>
      <c r="AE63" s="554"/>
    </row>
    <row r="64" spans="1:31" ht="13.8" thickBot="1">
      <c r="B64"/>
      <c r="C64"/>
      <c r="F64"/>
      <c r="R64" s="308">
        <v>2008</v>
      </c>
      <c r="S64" s="309">
        <v>7917.3</v>
      </c>
      <c r="T64" s="309">
        <v>7910.9</v>
      </c>
      <c r="U64" s="309">
        <v>7883</v>
      </c>
      <c r="V64" s="309">
        <v>7833.1</v>
      </c>
      <c r="W64" s="309">
        <v>7802.4</v>
      </c>
      <c r="X64" s="309">
        <v>7755.1</v>
      </c>
      <c r="Y64" s="309">
        <v>7729.6</v>
      </c>
      <c r="Z64" s="309">
        <v>7690.7</v>
      </c>
      <c r="AA64" s="309">
        <v>7653.9</v>
      </c>
      <c r="AB64" s="309">
        <v>7599.2</v>
      </c>
      <c r="AC64" s="309">
        <v>7550.4</v>
      </c>
      <c r="AD64" s="309">
        <v>7507.2</v>
      </c>
      <c r="AE64" s="310"/>
    </row>
    <row r="65" spans="1:31" ht="13.8" thickBot="1">
      <c r="A65" s="302"/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R65" s="553">
        <v>2009</v>
      </c>
      <c r="S65" s="549">
        <v>7436.3</v>
      </c>
      <c r="T65" s="549">
        <v>7380.5</v>
      </c>
      <c r="U65" s="549">
        <v>7333</v>
      </c>
      <c r="V65" s="549">
        <v>7285.2</v>
      </c>
      <c r="W65" s="549">
        <v>7263.1</v>
      </c>
      <c r="X65" s="549">
        <v>7234.7</v>
      </c>
      <c r="Y65" s="549">
        <v>7212.8</v>
      </c>
      <c r="Z65" s="549">
        <v>7189.5</v>
      </c>
      <c r="AA65" s="549">
        <v>7171.3</v>
      </c>
      <c r="AB65" s="549">
        <v>7167.2</v>
      </c>
      <c r="AC65" s="549">
        <v>7167.4</v>
      </c>
      <c r="AD65" s="549">
        <v>7150.1</v>
      </c>
      <c r="AE65" s="554"/>
    </row>
    <row r="66" spans="1:31" ht="13.8" thickBot="1">
      <c r="A66" s="302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R66" s="308">
        <v>2010</v>
      </c>
      <c r="S66" s="309">
        <v>7153.5</v>
      </c>
      <c r="T66" s="309">
        <v>7153.6</v>
      </c>
      <c r="U66" s="309">
        <v>7158.1</v>
      </c>
      <c r="V66" s="309">
        <v>7175.3</v>
      </c>
      <c r="W66" s="309">
        <v>7213.7</v>
      </c>
      <c r="X66" s="309">
        <v>7197.4</v>
      </c>
      <c r="Y66" s="309">
        <v>7204.9</v>
      </c>
      <c r="Z66" s="309">
        <v>7202.9</v>
      </c>
      <c r="AA66" s="309">
        <v>7190.3</v>
      </c>
      <c r="AB66" s="309">
        <v>7227.4</v>
      </c>
      <c r="AC66" s="309">
        <v>7220.5</v>
      </c>
      <c r="AD66" s="309">
        <v>7217.5</v>
      </c>
      <c r="AE66" s="310"/>
    </row>
    <row r="67" spans="1:31" ht="15.6" thickBot="1">
      <c r="A67" s="304" t="s">
        <v>289</v>
      </c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R67" s="553">
        <v>2011</v>
      </c>
      <c r="S67" s="549">
        <v>7240.4</v>
      </c>
      <c r="T67" s="549">
        <v>7235.6</v>
      </c>
      <c r="U67" s="549">
        <v>7238.9</v>
      </c>
      <c r="V67" s="549">
        <v>7272.7</v>
      </c>
      <c r="W67" s="549">
        <v>7269.2</v>
      </c>
      <c r="X67" s="549">
        <v>7260.4</v>
      </c>
      <c r="Y67" s="549">
        <v>7261.5</v>
      </c>
      <c r="Z67" s="549">
        <v>7270.5</v>
      </c>
      <c r="AA67" s="549">
        <v>7286.3</v>
      </c>
      <c r="AB67" s="549">
        <v>7303.9</v>
      </c>
      <c r="AC67" s="549">
        <v>7318.9</v>
      </c>
      <c r="AD67" s="549">
        <v>7333.2</v>
      </c>
      <c r="AE67" s="554"/>
    </row>
    <row r="68" spans="1:31" ht="15.6" thickBot="1">
      <c r="A68" s="704" t="s">
        <v>167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R68" s="308">
        <v>2012</v>
      </c>
      <c r="S68" s="309">
        <v>7297.8</v>
      </c>
      <c r="T68" s="309">
        <v>7317.9</v>
      </c>
      <c r="U68" s="309" t="s">
        <v>366</v>
      </c>
      <c r="V68" s="309"/>
      <c r="W68" s="309"/>
      <c r="X68" s="309"/>
      <c r="Y68" s="309"/>
      <c r="Z68" s="309"/>
      <c r="AA68" s="555"/>
      <c r="AB68" s="555"/>
      <c r="AC68" s="555"/>
      <c r="AD68" s="555"/>
      <c r="AE68" s="556"/>
    </row>
    <row r="69" spans="1:31" ht="15.6" thickBot="1">
      <c r="A69" s="304" t="s">
        <v>290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R69" s="803" t="s">
        <v>294</v>
      </c>
      <c r="S69" s="804"/>
      <c r="T69" s="804"/>
      <c r="U69" s="804"/>
      <c r="V69" s="804"/>
      <c r="W69" s="804"/>
      <c r="X69" s="804"/>
      <c r="Y69" s="804"/>
      <c r="Z69" s="804"/>
      <c r="AA69" s="804"/>
      <c r="AB69" s="804"/>
      <c r="AC69" s="804"/>
      <c r="AD69" s="804"/>
      <c r="AE69" s="805"/>
    </row>
    <row r="70" spans="1:31" ht="15">
      <c r="A70" s="304" t="s">
        <v>291</v>
      </c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</row>
    <row r="71" spans="1:31" ht="15">
      <c r="A71" s="304" t="s">
        <v>292</v>
      </c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</row>
    <row r="72" spans="1:31" ht="15">
      <c r="A72" s="304" t="s">
        <v>436</v>
      </c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</row>
    <row r="73" spans="1:31" ht="15">
      <c r="A73" s="304" t="s">
        <v>293</v>
      </c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</row>
    <row r="74" spans="1:31">
      <c r="A74" s="794"/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789"/>
    </row>
    <row r="75" spans="1:31">
      <c r="A75" s="794"/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789"/>
    </row>
    <row r="76" spans="1:31">
      <c r="A76" s="794" t="s">
        <v>169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</row>
    <row r="77" spans="1:31" ht="13.8" thickBot="1">
      <c r="A77" s="795"/>
      <c r="B77" s="796"/>
      <c r="C77" s="796"/>
      <c r="D77" s="796"/>
      <c r="E77" s="796"/>
      <c r="F77" s="796"/>
      <c r="G77" s="796"/>
      <c r="H77" s="796"/>
      <c r="I77" s="796"/>
      <c r="J77" s="796"/>
      <c r="K77" s="796"/>
      <c r="L77" s="796"/>
      <c r="M77" s="796"/>
      <c r="N77" s="796"/>
    </row>
    <row r="78" spans="1:31" ht="13.8" thickBot="1">
      <c r="A78" s="306" t="s">
        <v>170</v>
      </c>
      <c r="B78" s="306" t="s">
        <v>24</v>
      </c>
      <c r="C78" s="306" t="s">
        <v>25</v>
      </c>
      <c r="D78" s="306" t="s">
        <v>26</v>
      </c>
      <c r="E78" s="306" t="s">
        <v>27</v>
      </c>
      <c r="F78" s="306" t="s">
        <v>4</v>
      </c>
      <c r="G78" s="306" t="s">
        <v>28</v>
      </c>
      <c r="H78" s="306" t="s">
        <v>29</v>
      </c>
      <c r="I78" s="306" t="s">
        <v>30</v>
      </c>
      <c r="J78" s="306" t="s">
        <v>31</v>
      </c>
      <c r="K78" s="306" t="s">
        <v>32</v>
      </c>
      <c r="L78" s="306" t="s">
        <v>33</v>
      </c>
      <c r="M78" s="306" t="s">
        <v>34</v>
      </c>
      <c r="N78" s="307" t="s">
        <v>55</v>
      </c>
    </row>
    <row r="79" spans="1:31" ht="13.8" thickBot="1">
      <c r="A79" s="308">
        <v>2002</v>
      </c>
      <c r="B79" s="309">
        <v>7123.2</v>
      </c>
      <c r="C79" s="309">
        <v>7125.1</v>
      </c>
      <c r="D79" s="309">
        <v>7137</v>
      </c>
      <c r="E79" s="309">
        <v>7146.2</v>
      </c>
      <c r="F79" s="309">
        <v>7153.7</v>
      </c>
      <c r="G79" s="309">
        <v>7140.4</v>
      </c>
      <c r="H79" s="309">
        <v>7153.1</v>
      </c>
      <c r="I79" s="309">
        <v>7183.7</v>
      </c>
      <c r="J79" s="309">
        <v>7171.1</v>
      </c>
      <c r="K79" s="309">
        <v>7192.4</v>
      </c>
      <c r="L79" s="309">
        <v>7199.6</v>
      </c>
      <c r="M79" s="309">
        <v>7207.3</v>
      </c>
      <c r="N79" s="310"/>
    </row>
    <row r="80" spans="1:31" ht="13.8" thickBot="1">
      <c r="A80" s="553">
        <v>2003</v>
      </c>
      <c r="B80" s="549">
        <v>7207.5</v>
      </c>
      <c r="C80" s="549">
        <v>7210</v>
      </c>
      <c r="D80" s="549">
        <v>7217.9</v>
      </c>
      <c r="E80" s="549">
        <v>7218.8</v>
      </c>
      <c r="F80" s="549">
        <v>7218.8</v>
      </c>
      <c r="G80" s="549">
        <v>7217.9</v>
      </c>
      <c r="H80" s="549">
        <v>7232.8</v>
      </c>
      <c r="I80" s="549">
        <v>7253.7</v>
      </c>
      <c r="J80" s="549">
        <v>7256.6</v>
      </c>
      <c r="K80" s="549">
        <v>7274.2</v>
      </c>
      <c r="L80" s="549">
        <v>7282.6</v>
      </c>
      <c r="M80" s="549">
        <v>7300.8</v>
      </c>
      <c r="N80" s="554"/>
    </row>
    <row r="81" spans="1:14" ht="13.8" thickBot="1">
      <c r="A81" s="308">
        <v>2004</v>
      </c>
      <c r="B81" s="309">
        <v>7362</v>
      </c>
      <c r="C81" s="309">
        <v>7379.8</v>
      </c>
      <c r="D81" s="309">
        <v>7399.6</v>
      </c>
      <c r="E81" s="309">
        <v>7436.8</v>
      </c>
      <c r="F81" s="309">
        <v>7462</v>
      </c>
      <c r="G81" s="309">
        <v>7486.7</v>
      </c>
      <c r="H81" s="309">
        <v>7517.1</v>
      </c>
      <c r="I81" s="309">
        <v>7537.1</v>
      </c>
      <c r="J81" s="309">
        <v>7491.2</v>
      </c>
      <c r="K81" s="309">
        <v>7567.7</v>
      </c>
      <c r="L81" s="309">
        <v>7605.4</v>
      </c>
      <c r="M81" s="309">
        <v>7629.1</v>
      </c>
      <c r="N81" s="310"/>
    </row>
    <row r="82" spans="1:14" ht="13.8" thickBot="1">
      <c r="A82" s="553">
        <v>2005</v>
      </c>
      <c r="B82" s="549">
        <v>7653.6</v>
      </c>
      <c r="C82" s="549">
        <v>7677.1</v>
      </c>
      <c r="D82" s="549">
        <v>7678.1</v>
      </c>
      <c r="E82" s="549">
        <v>7723.5</v>
      </c>
      <c r="F82" s="549">
        <v>7763.7</v>
      </c>
      <c r="G82" s="549">
        <v>7763</v>
      </c>
      <c r="H82" s="549">
        <v>7823.5</v>
      </c>
      <c r="I82" s="549">
        <v>7854.2</v>
      </c>
      <c r="J82" s="549">
        <v>7881.3</v>
      </c>
      <c r="K82" s="549">
        <v>7880.4</v>
      </c>
      <c r="L82" s="549">
        <v>7885.4</v>
      </c>
      <c r="M82" s="549">
        <v>7904.5</v>
      </c>
      <c r="N82" s="554"/>
    </row>
    <row r="83" spans="1:14" ht="13.8" thickBot="1">
      <c r="A83" s="308">
        <v>2006</v>
      </c>
      <c r="B83" s="309">
        <v>7915.3</v>
      </c>
      <c r="C83" s="309">
        <v>7929.1</v>
      </c>
      <c r="D83" s="309">
        <v>7961.1</v>
      </c>
      <c r="E83" s="309">
        <v>7972.7</v>
      </c>
      <c r="F83" s="309">
        <v>7988.6</v>
      </c>
      <c r="G83" s="309">
        <v>8001.4</v>
      </c>
      <c r="H83" s="309">
        <v>8008.9</v>
      </c>
      <c r="I83" s="309">
        <v>8031.4</v>
      </c>
      <c r="J83" s="309">
        <v>8031.2</v>
      </c>
      <c r="K83" s="309">
        <v>8026</v>
      </c>
      <c r="L83" s="309">
        <v>8030.3</v>
      </c>
      <c r="M83" s="309">
        <v>8043</v>
      </c>
      <c r="N83" s="310"/>
    </row>
    <row r="84" spans="1:14" ht="13.8" thickBot="1">
      <c r="A84" s="553">
        <v>2007</v>
      </c>
      <c r="B84" s="549">
        <v>8056.2</v>
      </c>
      <c r="C84" s="549">
        <v>8060.6</v>
      </c>
      <c r="D84" s="549">
        <v>8074.8</v>
      </c>
      <c r="E84" s="549">
        <v>8061.3</v>
      </c>
      <c r="F84" s="549">
        <v>8048.7</v>
      </c>
      <c r="G84" s="549">
        <v>8049.7</v>
      </c>
      <c r="H84" s="549">
        <v>8018.3</v>
      </c>
      <c r="I84" s="549">
        <v>8006.1</v>
      </c>
      <c r="J84" s="549">
        <v>7983.5</v>
      </c>
      <c r="K84" s="549">
        <v>7966.2</v>
      </c>
      <c r="L84" s="549">
        <v>7961.5</v>
      </c>
      <c r="M84" s="549">
        <v>7949.9</v>
      </c>
      <c r="N84" s="554"/>
    </row>
    <row r="85" spans="1:14" ht="13.8" thickBot="1">
      <c r="A85" s="308">
        <v>2008</v>
      </c>
      <c r="B85" s="309">
        <v>7917.3</v>
      </c>
      <c r="C85" s="309">
        <v>7910.9</v>
      </c>
      <c r="D85" s="309">
        <v>7883</v>
      </c>
      <c r="E85" s="309">
        <v>7833.1</v>
      </c>
      <c r="F85" s="309">
        <v>7802.4</v>
      </c>
      <c r="G85" s="309">
        <v>7755.1</v>
      </c>
      <c r="H85" s="309">
        <v>7729.6</v>
      </c>
      <c r="I85" s="309">
        <v>7690.7</v>
      </c>
      <c r="J85" s="309">
        <v>7653.9</v>
      </c>
      <c r="K85" s="309">
        <v>7599.2</v>
      </c>
      <c r="L85" s="309">
        <v>7550.4</v>
      </c>
      <c r="M85" s="309">
        <v>7507.2</v>
      </c>
      <c r="N85" s="310"/>
    </row>
    <row r="86" spans="1:14" ht="13.8" thickBot="1">
      <c r="A86" s="553">
        <v>2009</v>
      </c>
      <c r="B86" s="549">
        <v>7436.3</v>
      </c>
      <c r="C86" s="549">
        <v>7380.5</v>
      </c>
      <c r="D86" s="549">
        <v>7333</v>
      </c>
      <c r="E86" s="549">
        <v>7285.2</v>
      </c>
      <c r="F86" s="549">
        <v>7263.1</v>
      </c>
      <c r="G86" s="549">
        <v>7234.7</v>
      </c>
      <c r="H86" s="549">
        <v>7212.8</v>
      </c>
      <c r="I86" s="549">
        <v>7189.5</v>
      </c>
      <c r="J86" s="549">
        <v>7171.3</v>
      </c>
      <c r="K86" s="549">
        <v>7167.2</v>
      </c>
      <c r="L86" s="549">
        <v>7167.4</v>
      </c>
      <c r="M86" s="549">
        <v>7150.1</v>
      </c>
      <c r="N86" s="554"/>
    </row>
    <row r="87" spans="1:14" ht="13.8" thickBot="1">
      <c r="A87" s="308">
        <v>2010</v>
      </c>
      <c r="B87" s="309">
        <v>7153.5</v>
      </c>
      <c r="C87" s="309">
        <v>7153.6</v>
      </c>
      <c r="D87" s="309">
        <v>7158.1</v>
      </c>
      <c r="E87" s="309">
        <v>7175.3</v>
      </c>
      <c r="F87" s="309">
        <v>7213.7</v>
      </c>
      <c r="G87" s="309">
        <v>7197.4</v>
      </c>
      <c r="H87" s="309">
        <v>7204.9</v>
      </c>
      <c r="I87" s="309">
        <v>7202.9</v>
      </c>
      <c r="J87" s="309">
        <v>7190.3</v>
      </c>
      <c r="K87" s="309">
        <v>7227.4</v>
      </c>
      <c r="L87" s="309">
        <v>7220.5</v>
      </c>
      <c r="M87" s="309">
        <v>7217.5</v>
      </c>
      <c r="N87" s="310"/>
    </row>
    <row r="88" spans="1:14" ht="13.8" thickBot="1">
      <c r="A88" s="553">
        <v>2011</v>
      </c>
      <c r="B88" s="549">
        <v>7240.4</v>
      </c>
      <c r="C88" s="549">
        <v>7235.6</v>
      </c>
      <c r="D88" s="549">
        <v>7238.9</v>
      </c>
      <c r="E88" s="549">
        <v>7272.7</v>
      </c>
      <c r="F88" s="549">
        <v>7269.2</v>
      </c>
      <c r="G88" s="549">
        <v>7260.4</v>
      </c>
      <c r="H88" s="549">
        <v>7261.5</v>
      </c>
      <c r="I88" s="549">
        <v>7270.5</v>
      </c>
      <c r="J88" s="549">
        <v>7286.3</v>
      </c>
      <c r="K88" s="549">
        <v>7303.9</v>
      </c>
      <c r="L88" s="549">
        <v>7318.9</v>
      </c>
      <c r="M88" s="549">
        <v>7333.2</v>
      </c>
      <c r="N88" s="554"/>
    </row>
    <row r="89" spans="1:14" ht="13.8" thickBot="1">
      <c r="A89" s="308">
        <v>2012</v>
      </c>
      <c r="B89" s="309">
        <v>7297.8</v>
      </c>
      <c r="C89" s="309">
        <v>7317.9</v>
      </c>
      <c r="D89" s="309">
        <v>7328</v>
      </c>
      <c r="E89" s="309">
        <v>7317.7</v>
      </c>
      <c r="F89" s="309" t="s">
        <v>437</v>
      </c>
      <c r="G89" s="309"/>
      <c r="H89" s="309"/>
      <c r="I89" s="309"/>
      <c r="J89" s="309"/>
      <c r="K89" s="309"/>
      <c r="L89" s="309"/>
      <c r="M89" s="309"/>
      <c r="N89" s="310"/>
    </row>
    <row r="90" spans="1:14" ht="13.8" thickBot="1">
      <c r="A90" s="790" t="s">
        <v>294</v>
      </c>
      <c r="B90" s="791"/>
      <c r="C90" s="791"/>
      <c r="D90" s="791"/>
      <c r="E90" s="791"/>
      <c r="F90" s="791"/>
      <c r="G90" s="791"/>
      <c r="H90" s="791"/>
      <c r="I90" s="791"/>
      <c r="J90" s="791"/>
      <c r="K90" s="791"/>
      <c r="L90" s="791"/>
      <c r="M90" s="791"/>
      <c r="N90" s="792"/>
    </row>
  </sheetData>
  <mergeCells count="23">
    <mergeCell ref="R56:AE56"/>
    <mergeCell ref="R69:AE69"/>
    <mergeCell ref="S41:W41"/>
    <mergeCell ref="R53:AE53"/>
    <mergeCell ref="R54:AE54"/>
    <mergeCell ref="R55:AE55"/>
    <mergeCell ref="B38:G38"/>
    <mergeCell ref="B39:G39"/>
    <mergeCell ref="B40:G40"/>
    <mergeCell ref="A31:G31"/>
    <mergeCell ref="A32:G32"/>
    <mergeCell ref="A33:G33"/>
    <mergeCell ref="B34:G34"/>
    <mergeCell ref="A35:G35"/>
    <mergeCell ref="A90:N90"/>
    <mergeCell ref="B59:F59"/>
    <mergeCell ref="A74:N74"/>
    <mergeCell ref="A75:N75"/>
    <mergeCell ref="A76:N76"/>
    <mergeCell ref="A77:N77"/>
    <mergeCell ref="B41:G41"/>
    <mergeCell ref="B36:G36"/>
    <mergeCell ref="B37:G37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8"/>
  <dimension ref="A1:M53"/>
  <sheetViews>
    <sheetView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3.2"/>
  <cols>
    <col min="2" max="2" width="16.6640625" customWidth="1"/>
    <col min="4" max="4" width="19.109375" customWidth="1"/>
    <col min="5" max="5" width="15.5546875" customWidth="1"/>
  </cols>
  <sheetData>
    <row r="1" spans="1:13" ht="54" customHeight="1">
      <c r="B1" s="780" t="s">
        <v>498</v>
      </c>
    </row>
    <row r="3" spans="1:13">
      <c r="B3" t="s">
        <v>58</v>
      </c>
      <c r="D3" t="s">
        <v>59</v>
      </c>
      <c r="E3" t="s">
        <v>60</v>
      </c>
      <c r="G3" t="s">
        <v>61</v>
      </c>
    </row>
    <row r="4" spans="1:13">
      <c r="A4" s="96">
        <v>39814</v>
      </c>
      <c r="B4" s="95">
        <v>6.6406745904258116E-2</v>
      </c>
      <c r="D4" s="97">
        <v>4497781</v>
      </c>
      <c r="E4" s="97">
        <v>298683</v>
      </c>
      <c r="G4" s="95">
        <f>E4/D4</f>
        <v>6.6406745904258116E-2</v>
      </c>
    </row>
    <row r="5" spans="1:13">
      <c r="A5" s="96">
        <f>A4+31</f>
        <v>39845</v>
      </c>
      <c r="B5" s="95">
        <v>6.6244933022170771E-2</v>
      </c>
      <c r="D5" s="97">
        <v>4502684</v>
      </c>
      <c r="E5" s="97">
        <v>298280</v>
      </c>
      <c r="G5" s="95">
        <f t="shared" ref="G5:G27" si="0">E5/D5</f>
        <v>6.6244933022170771E-2</v>
      </c>
    </row>
    <row r="6" spans="1:13">
      <c r="A6" s="96">
        <f t="shared" ref="A6:A50" si="1">A5+31</f>
        <v>39876</v>
      </c>
      <c r="B6" s="95">
        <v>6.6769235620711326E-2</v>
      </c>
      <c r="D6" s="97">
        <v>4502987</v>
      </c>
      <c r="E6" s="97">
        <v>300661</v>
      </c>
      <c r="G6" s="95">
        <f t="shared" si="0"/>
        <v>6.6769235620711326E-2</v>
      </c>
    </row>
    <row r="7" spans="1:13">
      <c r="A7" s="96">
        <f t="shared" si="1"/>
        <v>39907</v>
      </c>
      <c r="B7" s="95">
        <v>6.7909023168419971E-2</v>
      </c>
      <c r="D7" s="97">
        <v>4502465</v>
      </c>
      <c r="E7" s="97">
        <v>305758</v>
      </c>
      <c r="G7" s="95">
        <f t="shared" si="0"/>
        <v>6.7909023168419971E-2</v>
      </c>
    </row>
    <row r="8" spans="1:13">
      <c r="A8" s="96">
        <f t="shared" si="1"/>
        <v>39938</v>
      </c>
      <c r="B8" s="95">
        <v>6.8367496855480117E-2</v>
      </c>
      <c r="D8" s="97">
        <v>4499097</v>
      </c>
      <c r="E8" s="97">
        <v>307592</v>
      </c>
      <c r="G8" s="95">
        <f t="shared" si="0"/>
        <v>6.8367496855480117E-2</v>
      </c>
    </row>
    <row r="9" spans="1:13">
      <c r="A9" s="96">
        <f t="shared" si="1"/>
        <v>39969</v>
      </c>
      <c r="B9" s="95">
        <v>6.9572855707907527E-2</v>
      </c>
      <c r="D9" s="97">
        <v>4497918</v>
      </c>
      <c r="E9" s="97">
        <v>312933</v>
      </c>
      <c r="G9" s="95">
        <f t="shared" si="0"/>
        <v>6.9572855707907527E-2</v>
      </c>
    </row>
    <row r="10" spans="1:13">
      <c r="A10" s="96">
        <f t="shared" si="1"/>
        <v>40000</v>
      </c>
      <c r="B10" s="95">
        <v>6.9661988181112675E-2</v>
      </c>
      <c r="D10" s="97">
        <v>4498393</v>
      </c>
      <c r="E10" s="97">
        <v>313367</v>
      </c>
      <c r="G10" s="95">
        <f t="shared" si="0"/>
        <v>6.9661988181112675E-2</v>
      </c>
    </row>
    <row r="11" spans="1:13">
      <c r="A11" s="96">
        <f t="shared" si="1"/>
        <v>40031</v>
      </c>
      <c r="B11" s="95">
        <v>7.0021738357309252E-2</v>
      </c>
      <c r="D11" s="97">
        <v>4498960</v>
      </c>
      <c r="E11" s="97">
        <v>315025</v>
      </c>
      <c r="G11" s="95">
        <f t="shared" si="0"/>
        <v>7.0021738357309252E-2</v>
      </c>
    </row>
    <row r="12" spans="1:13">
      <c r="A12" s="96">
        <f t="shared" si="1"/>
        <v>40062</v>
      </c>
      <c r="B12" s="95">
        <v>7.0590997935519081E-2</v>
      </c>
      <c r="D12" s="97">
        <v>4495923</v>
      </c>
      <c r="E12" s="97">
        <v>317407</v>
      </c>
      <c r="G12" s="98">
        <f t="shared" si="0"/>
        <v>7.0598851448301053E-2</v>
      </c>
    </row>
    <row r="13" spans="1:13">
      <c r="A13" s="96">
        <f t="shared" si="1"/>
        <v>40093</v>
      </c>
      <c r="B13" s="95">
        <v>7.0537570248391968E-2</v>
      </c>
      <c r="D13" s="97">
        <v>4495215</v>
      </c>
      <c r="E13" s="97">
        <v>317126</v>
      </c>
      <c r="G13" s="98">
        <f t="shared" si="0"/>
        <v>7.0547459910148907E-2</v>
      </c>
    </row>
    <row r="14" spans="1:13">
      <c r="A14" s="96">
        <f t="shared" si="1"/>
        <v>40124</v>
      </c>
      <c r="B14" s="95">
        <v>7.0211848103067964E-2</v>
      </c>
      <c r="D14" s="97">
        <v>4498782</v>
      </c>
      <c r="E14" s="97">
        <v>311663</v>
      </c>
      <c r="G14" s="98">
        <f t="shared" si="0"/>
        <v>6.9277195472018868E-2</v>
      </c>
    </row>
    <row r="15" spans="1:13">
      <c r="A15" s="96">
        <f t="shared" si="1"/>
        <v>40155</v>
      </c>
      <c r="B15" s="95">
        <v>7.0917997586895612E-2</v>
      </c>
      <c r="D15" s="106">
        <v>4457986</v>
      </c>
      <c r="E15" s="106">
        <v>312355</v>
      </c>
      <c r="G15" s="95">
        <f t="shared" si="0"/>
        <v>7.0066393209848574E-2</v>
      </c>
      <c r="H15" s="140">
        <f>AVERAGE(G4:G14)</f>
        <v>6.8670683967985313E-2</v>
      </c>
    </row>
    <row r="16" spans="1:13">
      <c r="A16" s="96">
        <f t="shared" si="1"/>
        <v>40186</v>
      </c>
      <c r="B16" s="95">
        <v>6.9374469526085461E-2</v>
      </c>
      <c r="D16" s="5">
        <f>+'[36]Inactive Meters (Mon to Mon Gr)'!$D$10</f>
        <v>4502130</v>
      </c>
      <c r="E16" s="106">
        <v>304603</v>
      </c>
      <c r="G16" s="95">
        <f t="shared" si="0"/>
        <v>6.7657530990886533E-2</v>
      </c>
      <c r="K16" s="51"/>
      <c r="L16" s="95">
        <v>6.7657530990886533E-2</v>
      </c>
      <c r="M16" s="140">
        <f>+L16-G16</f>
        <v>0</v>
      </c>
    </row>
    <row r="17" spans="1:13">
      <c r="A17" s="96">
        <f t="shared" si="1"/>
        <v>40217</v>
      </c>
      <c r="B17" s="95">
        <v>6.8933590556308932E-2</v>
      </c>
      <c r="D17" s="5">
        <f>+'[36]Inactive Meters (Mon to Mon Gr)'!$E$10</f>
        <v>4510659</v>
      </c>
      <c r="E17" s="106">
        <v>300035</v>
      </c>
      <c r="G17" s="95">
        <f t="shared" si="0"/>
        <v>6.6516888108810707E-2</v>
      </c>
      <c r="K17" s="51"/>
      <c r="L17" s="95">
        <v>6.6516888108810707E-2</v>
      </c>
      <c r="M17" s="140">
        <f t="shared" ref="M17:M27" si="2">+L17-G17</f>
        <v>0</v>
      </c>
    </row>
    <row r="18" spans="1:13">
      <c r="A18" s="96">
        <f>A17+31</f>
        <v>40248</v>
      </c>
      <c r="B18" s="95">
        <v>6.8891630271550944E-2</v>
      </c>
      <c r="D18" s="5">
        <f>+'[36]Inactive Meters (Mon to Mon Gr)'!$F$10</f>
        <v>4516712</v>
      </c>
      <c r="E18" s="106">
        <v>297809</v>
      </c>
      <c r="G18" s="95">
        <f t="shared" si="0"/>
        <v>6.5934910173595304E-2</v>
      </c>
      <c r="L18" s="95">
        <v>6.5934910173595304E-2</v>
      </c>
      <c r="M18" s="140">
        <f t="shared" si="2"/>
        <v>0</v>
      </c>
    </row>
    <row r="19" spans="1:13">
      <c r="A19" s="96">
        <f t="shared" si="1"/>
        <v>40279</v>
      </c>
      <c r="B19" s="95">
        <v>6.9508672868290947E-2</v>
      </c>
      <c r="D19" s="5">
        <f>+'[36]Inactive Meters (Mon to Mon Gr)'!$G$10</f>
        <v>4520229</v>
      </c>
      <c r="E19" s="5">
        <f>+'[36]Inactive Meters (Mon to Mon Gr)'!$G$28</f>
        <v>298911</v>
      </c>
      <c r="G19" s="95">
        <f t="shared" si="0"/>
        <v>6.6127401952423212E-2</v>
      </c>
      <c r="L19" s="95">
        <v>6.6127401952423212E-2</v>
      </c>
      <c r="M19" s="140">
        <f t="shared" si="2"/>
        <v>0</v>
      </c>
    </row>
    <row r="20" spans="1:13">
      <c r="A20" s="96">
        <f t="shared" si="1"/>
        <v>40310</v>
      </c>
      <c r="B20" s="95">
        <v>6.9346282692531777E-2</v>
      </c>
      <c r="D20" s="5">
        <f>+'[36]Inactive Meters (Mon to Mon Gr)'!$H$10</f>
        <v>4521728</v>
      </c>
      <c r="E20" s="5">
        <f>'[36]Inactive Meters (Mon to Mon Gr)'!$H$28</f>
        <v>298934</v>
      </c>
      <c r="G20" s="95">
        <f t="shared" si="0"/>
        <v>6.61105665798562E-2</v>
      </c>
      <c r="L20" s="95">
        <v>6.61105665798562E-2</v>
      </c>
      <c r="M20" s="140">
        <f t="shared" si="2"/>
        <v>0</v>
      </c>
    </row>
    <row r="21" spans="1:13">
      <c r="A21" s="96">
        <f t="shared" si="1"/>
        <v>40341</v>
      </c>
      <c r="B21" s="95">
        <v>7.0000147466822787E-2</v>
      </c>
      <c r="D21" s="5">
        <f>+'[36]Inactive Meters (Mon to Mon Gr)'!$I$10</f>
        <v>4521918</v>
      </c>
      <c r="E21" s="5">
        <f>'[36]Inactive Meters (Mon to Mon Gr)'!$I$28</f>
        <v>299579</v>
      </c>
      <c r="G21" s="95">
        <f t="shared" si="0"/>
        <v>6.6250427362902209E-2</v>
      </c>
      <c r="L21" s="95">
        <v>6.6250427362902209E-2</v>
      </c>
      <c r="M21" s="140">
        <f t="shared" si="2"/>
        <v>0</v>
      </c>
    </row>
    <row r="22" spans="1:13">
      <c r="A22" s="96">
        <f t="shared" si="1"/>
        <v>40372</v>
      </c>
      <c r="B22" s="95">
        <v>6.9495640846653009E-2</v>
      </c>
      <c r="D22" s="5">
        <f>+'[36]Inactive Meters (Mon to Mon Gr)'!$J$10</f>
        <v>4522790</v>
      </c>
      <c r="E22" s="5">
        <f>'[36]Inactive Meters (Mon to Mon Gr)'!$J$28</f>
        <v>298791</v>
      </c>
      <c r="G22" s="95">
        <f t="shared" si="0"/>
        <v>6.6063425451988705E-2</v>
      </c>
      <c r="L22" s="95">
        <v>6.6063425451988705E-2</v>
      </c>
      <c r="M22" s="140">
        <f t="shared" si="2"/>
        <v>0</v>
      </c>
    </row>
    <row r="23" spans="1:13">
      <c r="A23" s="96">
        <f t="shared" si="1"/>
        <v>40403</v>
      </c>
      <c r="B23" s="95">
        <v>6.9501704934060798E-2</v>
      </c>
      <c r="D23" s="5">
        <f>+'[36]Inactive Meters (Mon to Mon Gr)'!$K$10</f>
        <v>4526766</v>
      </c>
      <c r="E23" s="5">
        <f>'[36]Inactive Meters (Mon to Mon Gr)'!$K$28</f>
        <v>298181</v>
      </c>
      <c r="G23" s="95">
        <f t="shared" si="0"/>
        <v>6.5870645842970463E-2</v>
      </c>
      <c r="L23" s="95">
        <v>6.5870645842970463E-2</v>
      </c>
      <c r="M23" s="140">
        <f t="shared" si="2"/>
        <v>0</v>
      </c>
    </row>
    <row r="24" spans="1:13">
      <c r="A24" s="96">
        <f t="shared" si="1"/>
        <v>40434</v>
      </c>
      <c r="B24" s="95">
        <v>6.9699838667852898E-2</v>
      </c>
      <c r="D24" s="5">
        <f>+'[36]Inactive Meters (Mon to Mon Gr)'!$L$10</f>
        <v>4524923</v>
      </c>
      <c r="E24" s="5">
        <f>'[36]Inactive Meters (Mon to Mon Gr)'!$L$28</f>
        <v>300356</v>
      </c>
      <c r="G24" s="95">
        <f t="shared" si="0"/>
        <v>6.6378146103259664E-2</v>
      </c>
      <c r="L24" s="95">
        <v>6.6378146103259664E-2</v>
      </c>
      <c r="M24" s="140">
        <f t="shared" si="2"/>
        <v>0</v>
      </c>
    </row>
    <row r="25" spans="1:13">
      <c r="A25" s="96">
        <f t="shared" si="1"/>
        <v>40465</v>
      </c>
      <c r="B25" s="95">
        <v>6.9161663465045292E-2</v>
      </c>
      <c r="D25" s="5">
        <f>+'[36]Inactive Meters (Mon to Mon Gr)'!$M$10</f>
        <v>4524001</v>
      </c>
      <c r="E25" s="5">
        <f>+'[36]Inactive Meters (Mon to Mon Gr)'!$M$28</f>
        <v>300357</v>
      </c>
      <c r="G25" s="95">
        <f t="shared" si="0"/>
        <v>6.6391895138838392E-2</v>
      </c>
      <c r="L25" s="95">
        <v>6.6214627679203761E-2</v>
      </c>
      <c r="M25" s="140">
        <f t="shared" si="2"/>
        <v>-1.7726745963463075E-4</v>
      </c>
    </row>
    <row r="26" spans="1:13">
      <c r="A26" s="96">
        <f t="shared" si="1"/>
        <v>40496</v>
      </c>
      <c r="B26" s="95">
        <v>6.8387811200582266E-2</v>
      </c>
      <c r="D26" s="5">
        <f>+'[36]Inactive Meters (Mon to Mon Gr)'!$N$10</f>
        <v>4525048</v>
      </c>
      <c r="E26" s="5">
        <f>+'[36]Inactive Meters (Mon to Mon Gr)'!$N$28</f>
        <v>298244</v>
      </c>
      <c r="G26" s="95">
        <f t="shared" si="0"/>
        <v>6.5909577091778915E-2</v>
      </c>
      <c r="L26" s="95">
        <v>6.5032050398398739E-2</v>
      </c>
      <c r="M26" s="140">
        <f t="shared" si="2"/>
        <v>-8.7752669338017619E-4</v>
      </c>
    </row>
    <row r="27" spans="1:13" s="56" customFormat="1">
      <c r="A27" s="153">
        <f>A26+31</f>
        <v>40527</v>
      </c>
      <c r="B27" s="154">
        <v>6.8724501782464184E-2</v>
      </c>
      <c r="D27" s="158">
        <f>+'[36]Inactive Meters (Mon to Mon Gr)'!$O$10</f>
        <v>4527028</v>
      </c>
      <c r="E27" s="158">
        <f>+'[36]Inactive Meters (Mon to Mon Gr)'!$O$28</f>
        <v>293765</v>
      </c>
      <c r="G27" s="154">
        <f t="shared" si="0"/>
        <v>6.4891359187528766E-2</v>
      </c>
      <c r="H27" s="155">
        <f>AVERAGE(G16:G26)</f>
        <v>6.6291946799755475E-2</v>
      </c>
      <c r="L27" s="154">
        <v>6.5167159171741665E-2</v>
      </c>
      <c r="M27" s="140">
        <f t="shared" si="2"/>
        <v>2.7579998421289886E-4</v>
      </c>
    </row>
    <row r="28" spans="1:13">
      <c r="A28" s="156">
        <f t="shared" si="1"/>
        <v>40558</v>
      </c>
      <c r="D28" s="5">
        <f>'[37]Inactive Meters (Mon to Mon Gr)'!$D$10</f>
        <v>4533029</v>
      </c>
      <c r="E28" s="5">
        <f>'[37]Inactive Meters (Mon to Mon Gr)'!$D$28</f>
        <v>291177</v>
      </c>
      <c r="G28" s="95">
        <f t="shared" ref="G28:G45" si="3">E28/D28</f>
        <v>6.4234532803562477E-2</v>
      </c>
      <c r="J28" s="132"/>
    </row>
    <row r="29" spans="1:13">
      <c r="A29" s="156">
        <f t="shared" si="1"/>
        <v>40589</v>
      </c>
      <c r="D29" s="5">
        <f>+'[37]Inactive Meters (Mon to Mon Gr)'!$E$10</f>
        <v>4539389</v>
      </c>
      <c r="E29" s="5">
        <f>+'[37]Inactive Meters (Mon to Mon Gr)'!$E$28</f>
        <v>286940</v>
      </c>
      <c r="G29" s="95">
        <f t="shared" si="3"/>
        <v>6.3211150223080687E-2</v>
      </c>
      <c r="J29" s="132"/>
    </row>
    <row r="30" spans="1:13">
      <c r="A30" s="156">
        <f>A29+31</f>
        <v>40620</v>
      </c>
      <c r="D30" s="5">
        <f>+'[37]Inactive Meters (Mon to Mon Gr)'!$F$10</f>
        <v>4546574</v>
      </c>
      <c r="E30" s="5">
        <f>+'[37]Inactive Meters (Mon to Mon Gr)'!$F$28</f>
        <v>281812</v>
      </c>
      <c r="G30" s="95">
        <f t="shared" si="3"/>
        <v>6.1983374734470395E-2</v>
      </c>
      <c r="J30" s="132"/>
    </row>
    <row r="31" spans="1:13">
      <c r="A31" s="156">
        <f t="shared" si="1"/>
        <v>40651</v>
      </c>
      <c r="D31" s="5">
        <f>+'[37]Inactive Meters (Mon to Mon Gr)'!$G$10</f>
        <v>4550254</v>
      </c>
      <c r="E31" s="5">
        <f>+'[37]Inactive Meters (Mon to Mon Gr)'!$G$28</f>
        <v>281936</v>
      </c>
      <c r="G31" s="95">
        <f t="shared" si="3"/>
        <v>6.1960497150268974E-2</v>
      </c>
      <c r="J31" s="132"/>
    </row>
    <row r="32" spans="1:13">
      <c r="A32" s="156">
        <f t="shared" si="1"/>
        <v>40682</v>
      </c>
      <c r="D32" s="5">
        <f>+'[37]Inactive Meters (Mon to Mon Gr)'!$H$10</f>
        <v>4549811</v>
      </c>
      <c r="E32" s="5">
        <f>+'[37]Inactive Meters (Mon to Mon Gr)'!$H$28</f>
        <v>282624</v>
      </c>
      <c r="G32" s="95">
        <f t="shared" si="3"/>
        <v>6.2117745110730975E-2</v>
      </c>
      <c r="M32" s="140"/>
    </row>
    <row r="33" spans="1:13">
      <c r="A33" s="156">
        <f t="shared" si="1"/>
        <v>40713</v>
      </c>
      <c r="D33" s="5">
        <f>+'[37]Inactive Meters (Mon to Mon Gr)'!$I$10</f>
        <v>4549338</v>
      </c>
      <c r="E33" s="5">
        <f>+'[37]Inactive Meters (Mon to Mon Gr)'!$I$28</f>
        <v>285251</v>
      </c>
      <c r="G33" s="95">
        <f t="shared" si="3"/>
        <v>6.2701650218119645E-2</v>
      </c>
      <c r="M33" s="140"/>
    </row>
    <row r="34" spans="1:13">
      <c r="A34" s="156">
        <f t="shared" si="1"/>
        <v>40744</v>
      </c>
      <c r="D34" s="5">
        <f>+'[37]Inactive Meters (Mon to Mon Gr)'!$J$10</f>
        <v>4549687</v>
      </c>
      <c r="E34" s="5">
        <f>+'[37]Inactive Meters (Mon to Mon Gr)'!$J$28</f>
        <v>285102</v>
      </c>
      <c r="G34" s="95">
        <f t="shared" si="3"/>
        <v>6.2664090958345048E-2</v>
      </c>
      <c r="J34" s="132"/>
      <c r="M34" s="140"/>
    </row>
    <row r="35" spans="1:13">
      <c r="A35" s="156">
        <f t="shared" si="1"/>
        <v>40775</v>
      </c>
      <c r="D35" s="5">
        <f>+'[37]Inactive Meters (Mon to Mon Gr)'!$K$10</f>
        <v>4550328</v>
      </c>
      <c r="E35" s="5">
        <f>+'[37]Inactive Meters (Mon to Mon Gr)'!$K$28</f>
        <v>286187</v>
      </c>
      <c r="G35" s="95">
        <f t="shared" si="3"/>
        <v>6.2893707882157063E-2</v>
      </c>
      <c r="M35" s="140"/>
    </row>
    <row r="36" spans="1:13">
      <c r="A36" s="156">
        <f t="shared" si="1"/>
        <v>40806</v>
      </c>
      <c r="D36" s="5">
        <f>+'[37]Inactive Meters (Mon to Mon Gr)'!$L$10</f>
        <v>4545995</v>
      </c>
      <c r="E36" s="5">
        <f>+'[37]Inactive Meters (Mon to Mon Gr)'!$L$28</f>
        <v>287078</v>
      </c>
      <c r="G36" s="95">
        <f t="shared" si="3"/>
        <v>6.314965150643588E-2</v>
      </c>
    </row>
    <row r="37" spans="1:13">
      <c r="A37" s="156">
        <f t="shared" si="1"/>
        <v>40837</v>
      </c>
      <c r="D37" s="5">
        <f>+'[37]Inactive Meters (Mon to Mon Gr)'!$M$10</f>
        <v>4546841</v>
      </c>
      <c r="E37" s="5">
        <f>+'[37]Inactive Meters (Mon to Mon Gr)'!$M$28</f>
        <v>285144</v>
      </c>
      <c r="G37" s="95">
        <f t="shared" si="3"/>
        <v>6.2712551417566612E-2</v>
      </c>
      <c r="J37" s="132"/>
    </row>
    <row r="38" spans="1:13">
      <c r="A38" s="156">
        <f t="shared" si="1"/>
        <v>40868</v>
      </c>
      <c r="D38" s="5">
        <f>+'[37]Inactive Meters (Mon to Mon Gr)'!$N$10</f>
        <v>4549257</v>
      </c>
      <c r="E38" s="5">
        <f>+'[37]Inactive Meters (Mon to Mon Gr)'!$N$28</f>
        <v>282571</v>
      </c>
      <c r="G38" s="95">
        <f t="shared" si="3"/>
        <v>6.2113659439332621E-2</v>
      </c>
      <c r="J38" s="132"/>
    </row>
    <row r="39" spans="1:13" s="56" customFormat="1">
      <c r="A39" s="215">
        <f>A38+31</f>
        <v>40899</v>
      </c>
      <c r="D39" s="158">
        <f>+'[37]Inactive Meters (Mon to Mon Gr)'!$O$10</f>
        <v>4554107</v>
      </c>
      <c r="E39" s="158">
        <f>+'[37]Inactive Meters (Mon to Mon Gr)'!$O$28</f>
        <v>276769</v>
      </c>
      <c r="G39" s="154">
        <f t="shared" si="3"/>
        <v>6.0773495220907192E-2</v>
      </c>
      <c r="J39" s="216"/>
    </row>
    <row r="40" spans="1:13">
      <c r="A40" s="156">
        <f t="shared" si="1"/>
        <v>40930</v>
      </c>
      <c r="D40" s="5">
        <f>+'[20]System - Monthly'!$I569</f>
        <v>4560015</v>
      </c>
      <c r="E40" s="5">
        <f>+'[23]Inactive Meters (Mon to Mon Gr)'!$D$28</f>
        <v>275419</v>
      </c>
      <c r="G40" s="95">
        <f t="shared" si="3"/>
        <v>6.0398704828821835E-2</v>
      </c>
    </row>
    <row r="41" spans="1:13">
      <c r="A41" s="156">
        <f t="shared" si="1"/>
        <v>40961</v>
      </c>
      <c r="D41" s="5">
        <f>+'[20]System - Monthly'!$I570</f>
        <v>4565707</v>
      </c>
      <c r="E41" s="5">
        <f>+'[23]Inactive Meters (Mon to Mon Gr)'!$E$28</f>
        <v>268693</v>
      </c>
      <c r="G41" s="95">
        <f t="shared" si="3"/>
        <v>5.8850250355530917E-2</v>
      </c>
    </row>
    <row r="42" spans="1:13">
      <c r="A42" s="156">
        <f>A41+31</f>
        <v>40992</v>
      </c>
      <c r="D42" s="5">
        <f>+'[20]System - Monthly'!$I571</f>
        <v>4573930</v>
      </c>
      <c r="E42" s="5">
        <f>+'[23]Inactive Meters (Mon to Mon Gr)'!$F$28</f>
        <v>262110</v>
      </c>
      <c r="G42" s="95">
        <f t="shared" si="3"/>
        <v>5.7305205807697102E-2</v>
      </c>
      <c r="H42" s="94" t="s">
        <v>67</v>
      </c>
      <c r="I42" s="159" t="s">
        <v>64</v>
      </c>
      <c r="J42" s="132"/>
    </row>
    <row r="43" spans="1:13">
      <c r="A43" s="156">
        <f t="shared" si="1"/>
        <v>41023</v>
      </c>
      <c r="D43" s="5">
        <f>+'[20]System - Monthly'!$I572</f>
        <v>4577038</v>
      </c>
      <c r="E43" s="5">
        <f>+'[23]Inactive Meters (Mon to Mon Gr)'!$G$28</f>
        <v>263718</v>
      </c>
      <c r="G43" s="95">
        <f t="shared" si="3"/>
        <v>5.7617612088866205E-2</v>
      </c>
      <c r="H43" s="94" t="s">
        <v>68</v>
      </c>
      <c r="J43" s="132"/>
    </row>
    <row r="44" spans="1:13">
      <c r="A44" s="156">
        <f t="shared" si="1"/>
        <v>41054</v>
      </c>
      <c r="D44" s="5">
        <f>+'[20]System - Monthly'!$I573</f>
        <v>4576751</v>
      </c>
      <c r="E44" s="5">
        <f>+'[23]Inactive Meters (Mon to Mon Gr)'!$H$28</f>
        <v>266401</v>
      </c>
      <c r="G44" s="95">
        <f t="shared" si="3"/>
        <v>5.8207448908625357E-2</v>
      </c>
      <c r="H44" s="94" t="s">
        <v>69</v>
      </c>
      <c r="J44" s="132"/>
    </row>
    <row r="45" spans="1:13">
      <c r="A45" s="156">
        <f t="shared" si="1"/>
        <v>41085</v>
      </c>
      <c r="D45" s="5">
        <f>+'[20]System - Monthly'!$I574</f>
        <v>4575347</v>
      </c>
      <c r="E45" s="5">
        <f>+'[23]Inactive Meters (Mon to Mon Gr)'!$I$28</f>
        <v>267210</v>
      </c>
      <c r="G45" s="95">
        <f t="shared" si="3"/>
        <v>5.8402127751184772E-2</v>
      </c>
      <c r="H45" s="94" t="s">
        <v>70</v>
      </c>
      <c r="J45" s="132"/>
    </row>
    <row r="46" spans="1:13">
      <c r="A46" s="156">
        <f t="shared" si="1"/>
        <v>41116</v>
      </c>
      <c r="D46" s="217">
        <f>+[19]Monthly_NEL_Model!$O98</f>
        <v>4580525.7833224675</v>
      </c>
      <c r="G46" s="218">
        <f>+[19]Monthly_NEL_Model!$F98</f>
        <v>5.921227466540388E-2</v>
      </c>
      <c r="H46" s="94" t="s">
        <v>71</v>
      </c>
    </row>
    <row r="47" spans="1:13">
      <c r="A47" s="156">
        <f t="shared" si="1"/>
        <v>41147</v>
      </c>
      <c r="D47" s="217">
        <f>+[19]Monthly_NEL_Model!$O99</f>
        <v>4585179.1473118477</v>
      </c>
      <c r="G47" s="218">
        <f>+[19]Monthly_NEL_Model!$F99</f>
        <v>5.873560872223052E-2</v>
      </c>
      <c r="H47" s="94" t="s">
        <v>72</v>
      </c>
    </row>
    <row r="48" spans="1:13">
      <c r="A48" s="156">
        <f t="shared" si="1"/>
        <v>41178</v>
      </c>
      <c r="D48" s="217">
        <f>+[19]Monthly_NEL_Model!$O100</f>
        <v>4585919.2967057498</v>
      </c>
      <c r="G48" s="218">
        <f>+[19]Monthly_NEL_Model!$F100</f>
        <v>5.8900245405709956E-2</v>
      </c>
      <c r="H48" s="94" t="s">
        <v>73</v>
      </c>
    </row>
    <row r="49" spans="1:8">
      <c r="A49" s="156">
        <f t="shared" si="1"/>
        <v>41209</v>
      </c>
      <c r="D49" s="217">
        <f>+[19]Monthly_NEL_Model!$O101</f>
        <v>4587273.326920487</v>
      </c>
      <c r="G49" s="218">
        <f>+[19]Monthly_NEL_Model!$F101</f>
        <v>5.8693335755661213E-2</v>
      </c>
      <c r="H49" s="94" t="s">
        <v>74</v>
      </c>
    </row>
    <row r="50" spans="1:8">
      <c r="A50" s="156">
        <f t="shared" si="1"/>
        <v>41240</v>
      </c>
      <c r="D50" s="217">
        <f>+[19]Monthly_NEL_Model!$O102</f>
        <v>4589945.3004968651</v>
      </c>
      <c r="G50" s="218">
        <f>+[19]Monthly_NEL_Model!$F102</f>
        <v>5.8119570541718298E-2</v>
      </c>
    </row>
    <row r="51" spans="1:8">
      <c r="A51" s="215">
        <f>A50+31</f>
        <v>41271</v>
      </c>
      <c r="D51" s="217">
        <f>+[19]Monthly_NEL_Model!$O103</f>
        <v>4593239.5569788096</v>
      </c>
      <c r="G51" s="218">
        <f>+[19]Monthly_NEL_Model!$F103</f>
        <v>5.7096391163648071E-2</v>
      </c>
    </row>
    <row r="53" spans="1:8">
      <c r="E53" s="5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9"/>
  <dimension ref="A1:AA63"/>
  <sheetViews>
    <sheetView zoomScaleNormal="75" workbookViewId="0">
      <pane xSplit="2" ySplit="2" topLeftCell="C3" activePane="bottomRight" state="frozen"/>
      <selection pane="topRight" activeCell="C1" sqref="C1"/>
      <selection pane="bottomLeft" activeCell="A2" sqref="A2"/>
      <selection pane="bottomRight" sqref="A1:B1"/>
    </sheetView>
  </sheetViews>
  <sheetFormatPr defaultRowHeight="13.2"/>
  <cols>
    <col min="2" max="2" width="9.109375" style="4" customWidth="1"/>
    <col min="3" max="3" width="9.109375" style="22" customWidth="1"/>
    <col min="4" max="4" width="11" style="22" customWidth="1"/>
    <col min="5" max="5" width="6.109375" style="486" customWidth="1"/>
    <col min="6" max="6" width="17.6640625" customWidth="1"/>
    <col min="7" max="7" width="14.109375" style="21" customWidth="1"/>
    <col min="8" max="8" width="12.88671875" style="21" customWidth="1"/>
    <col min="10" max="10" width="14.109375" style="21" customWidth="1"/>
    <col min="11" max="12" width="11.44140625" style="21" customWidth="1"/>
    <col min="13" max="13" width="9.44140625" bestFit="1" customWidth="1"/>
    <col min="14" max="14" width="12.88671875" style="486" customWidth="1"/>
    <col min="15" max="15" width="9.44140625" bestFit="1" customWidth="1"/>
    <col min="16" max="16" width="12.5546875" customWidth="1"/>
    <col min="17" max="17" width="11" style="130" customWidth="1"/>
    <col min="18" max="18" width="11.88671875" style="130" customWidth="1"/>
    <col min="19" max="19" width="12" customWidth="1"/>
    <col min="20" max="20" width="10.6640625" customWidth="1"/>
    <col min="21" max="21" width="12.109375" style="130" customWidth="1"/>
    <col min="22" max="22" width="13.109375" customWidth="1"/>
    <col min="23" max="23" width="14.33203125" bestFit="1" customWidth="1"/>
    <col min="24" max="24" width="11.5546875" style="130" customWidth="1"/>
    <col min="25" max="25" width="13.6640625" style="130" customWidth="1"/>
    <col min="26" max="26" width="12" style="130" customWidth="1"/>
    <col min="27" max="27" width="12.33203125" customWidth="1"/>
  </cols>
  <sheetData>
    <row r="1" spans="1:27" ht="69.75" customHeight="1">
      <c r="A1" s="806" t="s">
        <v>499</v>
      </c>
      <c r="B1" s="807"/>
    </row>
    <row r="2" spans="1:27" ht="60" customHeight="1">
      <c r="C2" s="42"/>
      <c r="D2" s="207" t="s">
        <v>102</v>
      </c>
      <c r="E2" s="486" t="s">
        <v>17</v>
      </c>
      <c r="F2" s="435" t="s">
        <v>284</v>
      </c>
      <c r="G2" s="123" t="s">
        <v>279</v>
      </c>
      <c r="H2" s="429" t="s">
        <v>280</v>
      </c>
      <c r="I2" s="445" t="s">
        <v>277</v>
      </c>
      <c r="J2" s="123" t="s">
        <v>282</v>
      </c>
      <c r="K2" s="445" t="s">
        <v>283</v>
      </c>
      <c r="L2" s="123" t="s">
        <v>336</v>
      </c>
      <c r="M2" s="445" t="s">
        <v>335</v>
      </c>
      <c r="N2" s="123" t="s">
        <v>365</v>
      </c>
      <c r="O2" s="445" t="s">
        <v>393</v>
      </c>
      <c r="P2" s="123" t="s">
        <v>392</v>
      </c>
      <c r="Q2" s="445" t="s">
        <v>394</v>
      </c>
      <c r="R2" s="123" t="s">
        <v>425</v>
      </c>
      <c r="S2" s="445" t="s">
        <v>426</v>
      </c>
      <c r="T2" s="103"/>
      <c r="U2" s="137"/>
      <c r="V2" s="137"/>
      <c r="W2" s="137"/>
      <c r="X2" s="137"/>
      <c r="Y2" s="137" t="s">
        <v>39</v>
      </c>
      <c r="Z2" s="137" t="s">
        <v>40</v>
      </c>
      <c r="AA2" s="43" t="s">
        <v>41</v>
      </c>
    </row>
    <row r="3" spans="1:27">
      <c r="A3" t="s">
        <v>24</v>
      </c>
      <c r="B3" s="4">
        <v>2008</v>
      </c>
      <c r="D3" s="22">
        <f>+[19]Monthly_NEL_Model!$I44</f>
        <v>226.645670807372</v>
      </c>
      <c r="F3" s="100"/>
      <c r="O3" s="100"/>
      <c r="P3" s="34"/>
      <c r="Q3" s="163"/>
      <c r="R3" s="163"/>
    </row>
    <row r="4" spans="1:27">
      <c r="A4" t="s">
        <v>25</v>
      </c>
      <c r="B4" s="4">
        <v>2008</v>
      </c>
      <c r="D4" s="22">
        <f>+[19]Monthly_NEL_Model!$I45</f>
        <v>230.063531787567</v>
      </c>
      <c r="F4" s="100"/>
      <c r="O4" s="100"/>
    </row>
    <row r="5" spans="1:27">
      <c r="A5" t="s">
        <v>26</v>
      </c>
      <c r="B5" s="4">
        <v>2008</v>
      </c>
      <c r="D5" s="22">
        <f>+[19]Monthly_NEL_Model!$I46</f>
        <v>235.06579740606099</v>
      </c>
      <c r="F5" s="100"/>
      <c r="O5" s="100"/>
    </row>
    <row r="6" spans="1:27">
      <c r="A6" t="s">
        <v>27</v>
      </c>
      <c r="B6" s="4">
        <v>2008</v>
      </c>
      <c r="D6" s="22">
        <f>+[19]Monthly_NEL_Model!$I47</f>
        <v>236.972047834628</v>
      </c>
      <c r="F6" s="100"/>
      <c r="O6" s="100"/>
    </row>
    <row r="7" spans="1:27">
      <c r="A7" t="s">
        <v>4</v>
      </c>
      <c r="B7" s="4">
        <v>2008</v>
      </c>
      <c r="D7" s="22">
        <f>+[19]Monthly_NEL_Model!$I48</f>
        <v>247.91993098919801</v>
      </c>
      <c r="F7" s="100"/>
      <c r="O7" s="100"/>
    </row>
    <row r="8" spans="1:27">
      <c r="A8" t="s">
        <v>28</v>
      </c>
      <c r="B8" s="4">
        <v>2008</v>
      </c>
      <c r="D8" s="22">
        <f>+[19]Monthly_NEL_Model!$I49</f>
        <v>256.10502117617398</v>
      </c>
      <c r="F8" s="100"/>
      <c r="O8" s="100"/>
    </row>
    <row r="9" spans="1:27">
      <c r="A9" t="s">
        <v>29</v>
      </c>
      <c r="B9" s="4">
        <v>2008</v>
      </c>
      <c r="D9" s="22">
        <f>+[19]Monthly_NEL_Model!$I50</f>
        <v>283.00858229911603</v>
      </c>
      <c r="F9" s="100"/>
      <c r="O9" s="100"/>
    </row>
    <row r="10" spans="1:27">
      <c r="A10" t="s">
        <v>30</v>
      </c>
      <c r="B10" s="4">
        <v>2008</v>
      </c>
      <c r="D10" s="22">
        <f>+[19]Monthly_NEL_Model!$I51</f>
        <v>266.97391709545599</v>
      </c>
      <c r="F10" s="100"/>
      <c r="O10" s="100"/>
    </row>
    <row r="11" spans="1:27">
      <c r="A11" t="s">
        <v>31</v>
      </c>
      <c r="B11" s="4">
        <v>2008</v>
      </c>
      <c r="D11" s="22">
        <f>+[19]Monthly_NEL_Model!$I52</f>
        <v>243.235500605428</v>
      </c>
      <c r="F11" s="100"/>
      <c r="O11" s="100"/>
    </row>
    <row r="12" spans="1:27">
      <c r="A12" t="s">
        <v>32</v>
      </c>
      <c r="B12" s="4">
        <v>2008</v>
      </c>
      <c r="D12" s="22">
        <f>+[19]Monthly_NEL_Model!$I53</f>
        <v>213.27577111712998</v>
      </c>
      <c r="F12" s="100"/>
      <c r="O12" s="100"/>
    </row>
    <row r="13" spans="1:27">
      <c r="A13" t="s">
        <v>33</v>
      </c>
      <c r="B13" s="4">
        <v>2008</v>
      </c>
      <c r="D13" s="22">
        <f>+[19]Monthly_NEL_Model!$I54</f>
        <v>200.05062285086802</v>
      </c>
      <c r="F13" s="100"/>
      <c r="O13" s="100"/>
    </row>
    <row r="14" spans="1:27">
      <c r="A14" t="s">
        <v>34</v>
      </c>
      <c r="B14" s="4">
        <v>2008</v>
      </c>
      <c r="D14" s="22">
        <f>+[19]Monthly_NEL_Model!$I55</f>
        <v>194.31260603100199</v>
      </c>
      <c r="F14" s="100"/>
      <c r="O14" s="100"/>
      <c r="S14" s="21"/>
      <c r="U14" s="138"/>
      <c r="W14" s="21"/>
    </row>
    <row r="15" spans="1:27">
      <c r="A15" t="s">
        <v>24</v>
      </c>
      <c r="B15" s="4">
        <v>2009</v>
      </c>
      <c r="D15" s="22">
        <f>+[19]Monthly_NEL_Model!$I56</f>
        <v>182.033962860364</v>
      </c>
      <c r="F15" s="100"/>
      <c r="H15" s="53"/>
      <c r="K15" s="53"/>
      <c r="L15" s="53"/>
      <c r="O15" s="100"/>
      <c r="P15" s="100"/>
      <c r="Q15" s="101"/>
      <c r="R15" s="101"/>
      <c r="S15" s="21"/>
      <c r="U15" s="138"/>
      <c r="W15" s="21"/>
    </row>
    <row r="16" spans="1:27">
      <c r="A16" t="s">
        <v>25</v>
      </c>
      <c r="B16" s="4">
        <v>2009</v>
      </c>
      <c r="D16" s="22">
        <f>+[19]Monthly_NEL_Model!$I57</f>
        <v>181.41843100581301</v>
      </c>
      <c r="F16" s="100"/>
      <c r="H16" s="53"/>
      <c r="K16" s="53"/>
      <c r="L16" s="53"/>
      <c r="O16" s="100"/>
      <c r="P16" s="100"/>
      <c r="Q16" s="101"/>
      <c r="R16" s="101"/>
      <c r="S16" s="21"/>
      <c r="U16" s="138"/>
      <c r="W16" s="21"/>
    </row>
    <row r="17" spans="1:23">
      <c r="A17" t="s">
        <v>26</v>
      </c>
      <c r="B17" s="4">
        <v>2009</v>
      </c>
      <c r="D17" s="22">
        <f>+[19]Monthly_NEL_Model!$I58</f>
        <v>181.983606133824</v>
      </c>
      <c r="F17" s="100"/>
      <c r="H17" s="53"/>
      <c r="K17" s="53"/>
      <c r="L17" s="53"/>
      <c r="O17" s="100"/>
      <c r="P17" s="100"/>
      <c r="Q17" s="101"/>
      <c r="R17" s="101"/>
      <c r="S17" s="21"/>
      <c r="U17" s="138"/>
      <c r="W17" s="21"/>
    </row>
    <row r="18" spans="1:23">
      <c r="A18" t="s">
        <v>27</v>
      </c>
      <c r="B18" s="4">
        <v>2009</v>
      </c>
      <c r="D18" s="22">
        <f>+[19]Monthly_NEL_Model!$I59</f>
        <v>179.181858922305</v>
      </c>
      <c r="F18" s="100"/>
      <c r="H18" s="53"/>
      <c r="K18" s="53"/>
      <c r="L18" s="53"/>
      <c r="O18" s="100"/>
      <c r="P18" s="100"/>
      <c r="Q18" s="101"/>
      <c r="R18" s="101"/>
      <c r="S18" s="21"/>
      <c r="U18" s="138"/>
      <c r="W18" s="21"/>
    </row>
    <row r="19" spans="1:23">
      <c r="A19" t="s">
        <v>4</v>
      </c>
      <c r="B19" s="4">
        <v>2009</v>
      </c>
      <c r="D19" s="22">
        <f>+[19]Monthly_NEL_Model!$I60</f>
        <v>183.91190003950999</v>
      </c>
      <c r="F19" s="100"/>
      <c r="H19" s="53"/>
      <c r="K19" s="53"/>
      <c r="L19" s="53"/>
      <c r="O19" s="100"/>
      <c r="P19" s="100"/>
      <c r="Q19" s="101"/>
      <c r="R19" s="101"/>
      <c r="S19" s="21"/>
      <c r="U19" s="138"/>
      <c r="W19" s="21"/>
    </row>
    <row r="20" spans="1:23">
      <c r="A20" t="s">
        <v>28</v>
      </c>
      <c r="B20" s="4">
        <v>2009</v>
      </c>
      <c r="D20" s="22">
        <f>+[19]Monthly_NEL_Model!$I61</f>
        <v>189.63124103918599</v>
      </c>
      <c r="F20" s="100"/>
      <c r="H20" s="53"/>
      <c r="K20" s="53"/>
      <c r="L20" s="53"/>
      <c r="O20" s="100"/>
      <c r="P20" s="100"/>
      <c r="Q20" s="101"/>
      <c r="R20" s="101"/>
      <c r="S20" s="21"/>
      <c r="U20" s="138"/>
      <c r="W20" s="21"/>
    </row>
    <row r="21" spans="1:23">
      <c r="A21" t="s">
        <v>29</v>
      </c>
      <c r="B21" s="4">
        <v>2009</v>
      </c>
      <c r="D21" s="22">
        <f>+[19]Monthly_NEL_Model!$I62</f>
        <v>196.923638489084</v>
      </c>
      <c r="F21" s="100"/>
      <c r="H21" s="53"/>
      <c r="K21" s="53"/>
      <c r="L21" s="53"/>
      <c r="O21" s="100"/>
      <c r="P21" s="100"/>
      <c r="Q21" s="101"/>
      <c r="R21" s="101"/>
      <c r="S21" s="21"/>
      <c r="U21" s="138"/>
      <c r="W21" s="21"/>
    </row>
    <row r="22" spans="1:23">
      <c r="A22" t="s">
        <v>30</v>
      </c>
      <c r="B22" s="4">
        <v>2009</v>
      </c>
      <c r="D22" s="22">
        <f>+[19]Monthly_NEL_Model!$I63</f>
        <v>200.11831451659199</v>
      </c>
      <c r="F22" s="100"/>
      <c r="H22" s="53"/>
      <c r="K22" s="53"/>
      <c r="L22" s="53"/>
      <c r="O22" s="100"/>
      <c r="P22" s="100"/>
      <c r="Q22" s="101"/>
      <c r="R22" s="101"/>
      <c r="S22" s="21"/>
      <c r="U22" s="138"/>
      <c r="W22" s="21"/>
    </row>
    <row r="23" spans="1:23">
      <c r="A23" t="s">
        <v>31</v>
      </c>
      <c r="B23" s="4">
        <v>2009</v>
      </c>
      <c r="D23" s="22">
        <f>+[19]Monthly_NEL_Model!$I64</f>
        <v>202.17804699432298</v>
      </c>
      <c r="F23" s="100"/>
      <c r="O23" s="100"/>
      <c r="P23" s="100"/>
      <c r="Q23" s="101"/>
      <c r="R23" s="101"/>
      <c r="S23" s="21"/>
      <c r="U23" s="138"/>
      <c r="W23" s="21"/>
    </row>
    <row r="24" spans="1:23">
      <c r="A24" t="s">
        <v>32</v>
      </c>
      <c r="B24" s="4">
        <v>2009</v>
      </c>
      <c r="D24" s="22">
        <f>+[19]Monthly_NEL_Model!$I65</f>
        <v>204.283550084913</v>
      </c>
      <c r="F24" s="100"/>
      <c r="O24" s="100"/>
      <c r="P24" s="100"/>
      <c r="Q24" s="101"/>
      <c r="R24" s="101"/>
      <c r="S24" s="21"/>
      <c r="U24" s="138"/>
      <c r="W24" s="21"/>
    </row>
    <row r="25" spans="1:23">
      <c r="A25" t="s">
        <v>33</v>
      </c>
      <c r="B25" s="4">
        <v>2009</v>
      </c>
      <c r="D25" s="22">
        <f>+[19]Monthly_NEL_Model!$I66</f>
        <v>207.20503942493602</v>
      </c>
      <c r="F25" s="100"/>
      <c r="O25" s="100"/>
      <c r="P25" s="100"/>
      <c r="Q25" s="101"/>
      <c r="R25" s="101"/>
      <c r="S25" s="21"/>
      <c r="U25" s="138"/>
      <c r="W25" s="21"/>
    </row>
    <row r="26" spans="1:23">
      <c r="A26" t="s">
        <v>34</v>
      </c>
      <c r="B26" s="4">
        <v>2009</v>
      </c>
      <c r="D26" s="22">
        <f>+[19]Monthly_NEL_Model!$I67</f>
        <v>209.85441048915101</v>
      </c>
      <c r="F26" s="100"/>
      <c r="O26" s="100"/>
      <c r="P26" s="100"/>
      <c r="Q26" s="101"/>
      <c r="R26" s="101"/>
      <c r="S26" s="21"/>
      <c r="U26" s="138"/>
      <c r="W26" s="21"/>
    </row>
    <row r="27" spans="1:23">
      <c r="A27" t="s">
        <v>24</v>
      </c>
      <c r="B27" s="4">
        <v>2010</v>
      </c>
      <c r="D27" s="22">
        <f>+[19]Monthly_NEL_Model!$I68</f>
        <v>215.89408709559498</v>
      </c>
      <c r="F27" s="100"/>
      <c r="G27" s="141"/>
      <c r="H27" s="37"/>
      <c r="J27" s="141"/>
      <c r="K27" s="37"/>
      <c r="L27" s="37"/>
      <c r="O27" s="100"/>
      <c r="P27" s="100"/>
      <c r="Q27" s="101"/>
      <c r="R27" s="101"/>
      <c r="S27" s="133"/>
      <c r="T27" s="136"/>
      <c r="V27" s="130"/>
      <c r="W27" s="102"/>
    </row>
    <row r="28" spans="1:23" ht="15">
      <c r="A28" t="s">
        <v>25</v>
      </c>
      <c r="B28" s="4">
        <v>2010</v>
      </c>
      <c r="D28" s="22">
        <f>+[19]Monthly_NEL_Model!$I69</f>
        <v>213.99563889336801</v>
      </c>
      <c r="E28" s="487"/>
      <c r="F28" s="100"/>
      <c r="G28" s="55"/>
      <c r="I28" s="36"/>
      <c r="J28" s="55"/>
      <c r="M28" s="36"/>
      <c r="N28" s="487"/>
      <c r="O28" s="100"/>
      <c r="P28" s="100"/>
      <c r="Q28" s="101"/>
      <c r="R28" s="134"/>
      <c r="S28" s="135"/>
      <c r="T28" s="136"/>
      <c r="V28" s="130"/>
      <c r="W28" s="102"/>
    </row>
    <row r="29" spans="1:23">
      <c r="A29" t="s">
        <v>26</v>
      </c>
      <c r="B29" s="4">
        <v>2010</v>
      </c>
      <c r="D29" s="22">
        <f>+[19]Monthly_NEL_Model!$I70</f>
        <v>210.715274011037</v>
      </c>
      <c r="F29" s="100"/>
      <c r="G29" s="55"/>
      <c r="J29" s="55"/>
      <c r="O29" s="100"/>
      <c r="P29" s="100"/>
      <c r="Q29" s="101"/>
      <c r="R29" s="101"/>
      <c r="S29" s="135"/>
      <c r="T29" s="136"/>
      <c r="V29" s="130"/>
      <c r="W29" s="102"/>
    </row>
    <row r="30" spans="1:23">
      <c r="A30" t="s">
        <v>27</v>
      </c>
      <c r="B30" s="4">
        <v>2010</v>
      </c>
      <c r="D30" s="22">
        <f>+[19]Monthly_NEL_Model!$I71</f>
        <v>205.69250893959497</v>
      </c>
      <c r="F30" s="100"/>
      <c r="G30" s="55"/>
      <c r="J30" s="55"/>
      <c r="O30" s="100"/>
      <c r="P30" s="100"/>
      <c r="Q30" s="101"/>
      <c r="R30" s="101"/>
      <c r="T30" s="136"/>
      <c r="V30" s="130"/>
      <c r="W30" s="102"/>
    </row>
    <row r="31" spans="1:23">
      <c r="A31" t="s">
        <v>4</v>
      </c>
      <c r="B31" s="4">
        <v>2010</v>
      </c>
      <c r="D31" s="22">
        <f>+[19]Monthly_NEL_Model!$I72</f>
        <v>205.04057784081499</v>
      </c>
      <c r="F31" s="100"/>
      <c r="G31" s="55"/>
      <c r="J31" s="55"/>
      <c r="O31" s="100"/>
      <c r="P31" s="100"/>
      <c r="Q31" s="101"/>
      <c r="R31" s="101"/>
      <c r="V31" s="130"/>
      <c r="W31" s="102"/>
    </row>
    <row r="32" spans="1:23">
      <c r="A32" t="s">
        <v>28</v>
      </c>
      <c r="B32" s="4">
        <v>2010</v>
      </c>
      <c r="D32" s="22">
        <f>+[19]Monthly_NEL_Model!$I73</f>
        <v>206.18391321959001</v>
      </c>
      <c r="F32" s="100"/>
      <c r="G32" s="55"/>
      <c r="J32" s="55"/>
      <c r="O32" s="100"/>
      <c r="P32" s="100"/>
      <c r="Q32" s="101"/>
      <c r="R32" s="101"/>
      <c r="V32" s="130"/>
      <c r="W32" s="127"/>
    </row>
    <row r="33" spans="1:27">
      <c r="A33" t="s">
        <v>29</v>
      </c>
      <c r="B33" s="4">
        <v>2010</v>
      </c>
      <c r="D33" s="22">
        <f>+[19]Monthly_NEL_Model!$I74</f>
        <v>205.33017344235697</v>
      </c>
      <c r="F33" s="100"/>
      <c r="G33" s="55"/>
      <c r="J33" s="55"/>
      <c r="O33" s="100"/>
      <c r="P33" s="100"/>
      <c r="Q33" s="101"/>
      <c r="R33" s="101"/>
      <c r="W33" s="127"/>
    </row>
    <row r="34" spans="1:27">
      <c r="A34" t="s">
        <v>30</v>
      </c>
      <c r="B34" s="4">
        <v>2010</v>
      </c>
      <c r="D34" s="22">
        <f>+[19]Monthly_NEL_Model!$I75</f>
        <v>208.10687690389099</v>
      </c>
      <c r="F34" s="100"/>
      <c r="G34" s="55"/>
      <c r="J34" s="55"/>
      <c r="O34" s="100"/>
      <c r="P34" s="100"/>
      <c r="Q34" s="101"/>
      <c r="R34" s="101"/>
    </row>
    <row r="35" spans="1:27">
      <c r="A35" t="s">
        <v>31</v>
      </c>
      <c r="B35" s="4">
        <v>2010</v>
      </c>
      <c r="D35" s="22">
        <f>+[19]Monthly_NEL_Model!$I76</f>
        <v>211.630949653751</v>
      </c>
      <c r="F35" s="100"/>
      <c r="G35" s="55"/>
      <c r="J35" s="55"/>
      <c r="O35" s="100"/>
      <c r="P35" s="100"/>
      <c r="Q35" s="101"/>
      <c r="R35" s="101"/>
    </row>
    <row r="36" spans="1:27">
      <c r="A36" t="s">
        <v>32</v>
      </c>
      <c r="B36" s="4">
        <v>2010</v>
      </c>
      <c r="D36" s="22">
        <f>+[19]Monthly_NEL_Model!$I77</f>
        <v>213.18857506886403</v>
      </c>
      <c r="F36" s="100"/>
      <c r="G36" s="55"/>
      <c r="J36" s="55"/>
      <c r="O36" s="100"/>
      <c r="P36" s="100"/>
      <c r="Q36" s="101"/>
      <c r="R36" s="101"/>
    </row>
    <row r="37" spans="1:27" ht="34.799999999999997">
      <c r="A37" t="s">
        <v>33</v>
      </c>
      <c r="B37" s="4">
        <v>2010</v>
      </c>
      <c r="D37" s="22">
        <f>+[19]Monthly_NEL_Model!$I78</f>
        <v>219.12085281491599</v>
      </c>
      <c r="F37" s="100"/>
      <c r="G37" s="40"/>
      <c r="H37"/>
      <c r="J37" s="40"/>
      <c r="K37"/>
      <c r="L37"/>
      <c r="M37" s="429" t="s">
        <v>280</v>
      </c>
      <c r="O37" s="100"/>
      <c r="P37" s="100"/>
      <c r="Q37" s="101"/>
      <c r="R37" s="101"/>
      <c r="Y37" s="136"/>
      <c r="Z37" s="143"/>
      <c r="AA37" s="45"/>
    </row>
    <row r="38" spans="1:27" s="56" customFormat="1">
      <c r="A38" s="56" t="s">
        <v>34</v>
      </c>
      <c r="B38" s="152">
        <v>2010</v>
      </c>
      <c r="C38" s="151"/>
      <c r="D38" s="151">
        <f>+[19]Monthly_NEL_Model!$I79</f>
        <v>225.60957211522</v>
      </c>
      <c r="E38" s="488"/>
      <c r="F38" s="149"/>
      <c r="G38" s="148"/>
      <c r="J38" s="148"/>
      <c r="N38" s="488"/>
      <c r="O38" s="149"/>
      <c r="P38" s="149"/>
      <c r="Q38" s="164"/>
      <c r="R38" s="164"/>
      <c r="U38" s="150"/>
      <c r="X38" s="150"/>
      <c r="Y38" s="150"/>
      <c r="Z38" s="150"/>
    </row>
    <row r="39" spans="1:27">
      <c r="A39" s="160" t="s">
        <v>24</v>
      </c>
      <c r="B39" s="8">
        <v>2011</v>
      </c>
      <c r="C39" s="161"/>
      <c r="D39" s="22">
        <f>+[19]Monthly_NEL_Model!$I80</f>
        <v>233.37247813251901</v>
      </c>
      <c r="G39" s="162">
        <v>229.91499999999999</v>
      </c>
      <c r="H39" s="21">
        <f>G39/$D39</f>
        <v>0.98518472203669316</v>
      </c>
      <c r="J39" s="442">
        <v>229.096</v>
      </c>
      <c r="L39" s="491">
        <v>229.096</v>
      </c>
      <c r="N39" s="486">
        <v>229.096</v>
      </c>
      <c r="P39" s="45">
        <v>229.096</v>
      </c>
      <c r="Q39" s="264"/>
      <c r="R39" s="45">
        <v>229.096</v>
      </c>
      <c r="S39" s="136"/>
      <c r="T39" s="171"/>
      <c r="V39" s="136"/>
      <c r="W39" s="136"/>
      <c r="X39" s="136"/>
    </row>
    <row r="40" spans="1:27">
      <c r="A40" s="160" t="s">
        <v>25</v>
      </c>
      <c r="B40" s="8">
        <v>2011</v>
      </c>
      <c r="C40" s="161"/>
      <c r="D40" s="22">
        <f>+[19]Monthly_NEL_Model!$I81</f>
        <v>238.28407479766901</v>
      </c>
      <c r="G40" s="162">
        <v>237.62</v>
      </c>
      <c r="H40" s="21">
        <f t="shared" ref="H40:H49" si="0">G40/D40</f>
        <v>0.99721309618264298</v>
      </c>
      <c r="J40" s="442">
        <v>234.42699999999999</v>
      </c>
      <c r="K40" s="53">
        <f t="shared" ref="K40:K51" si="1">J40/$D40</f>
        <v>0.98381312389028042</v>
      </c>
      <c r="L40" s="491">
        <v>234.42699999999999</v>
      </c>
      <c r="M40" s="490"/>
      <c r="N40" s="486">
        <v>234.42699999999999</v>
      </c>
      <c r="P40" s="45">
        <v>234.42699999999999</v>
      </c>
      <c r="R40" s="45">
        <v>234.42699999999999</v>
      </c>
      <c r="S40" s="136"/>
      <c r="T40" s="171"/>
      <c r="V40" s="136"/>
      <c r="W40" s="136"/>
      <c r="X40" s="136"/>
    </row>
    <row r="41" spans="1:27">
      <c r="A41" s="160" t="s">
        <v>26</v>
      </c>
      <c r="B41" s="8">
        <v>2011</v>
      </c>
      <c r="C41" s="161"/>
      <c r="D41" s="151">
        <f>[16]Monthly_NEL_Model!$I82</f>
        <v>241.81944706881202</v>
      </c>
      <c r="F41" s="100"/>
      <c r="G41" s="162">
        <v>245.941</v>
      </c>
      <c r="H41" s="21">
        <f t="shared" si="0"/>
        <v>1.017043926702947</v>
      </c>
      <c r="J41" s="442">
        <v>242.18</v>
      </c>
      <c r="K41" s="53">
        <f t="shared" si="1"/>
        <v>1.0014910005607836</v>
      </c>
      <c r="L41" s="491">
        <v>242.18</v>
      </c>
      <c r="M41" s="490">
        <f t="shared" ref="M41:M52" si="2">L41/$D41</f>
        <v>1.0014910005607836</v>
      </c>
      <c r="N41" s="486">
        <v>242.18</v>
      </c>
      <c r="O41" s="490">
        <f t="shared" ref="O41:O53" si="3">N41/$D41</f>
        <v>1.0014910005607836</v>
      </c>
      <c r="P41" s="45">
        <v>242.18</v>
      </c>
      <c r="R41" s="45">
        <v>242.18</v>
      </c>
      <c r="S41" s="166"/>
      <c r="T41" s="171"/>
      <c r="V41" s="136"/>
      <c r="W41" s="136"/>
      <c r="X41" s="136"/>
    </row>
    <row r="42" spans="1:27">
      <c r="A42" s="160" t="s">
        <v>27</v>
      </c>
      <c r="B42" s="8">
        <v>2011</v>
      </c>
      <c r="C42" s="161"/>
      <c r="D42" s="151">
        <f>[16]Monthly_NEL_Model!$I83</f>
        <v>248.06309017672601</v>
      </c>
      <c r="F42" s="100"/>
      <c r="G42" s="162">
        <v>251.31899999999999</v>
      </c>
      <c r="H42" s="21">
        <f t="shared" si="0"/>
        <v>1.0131253296125369</v>
      </c>
      <c r="J42" s="442">
        <v>246.61099999999999</v>
      </c>
      <c r="K42" s="53">
        <f t="shared" si="1"/>
        <v>0.99414628683496797</v>
      </c>
      <c r="L42" s="491">
        <v>246.61099999999999</v>
      </c>
      <c r="M42" s="490">
        <f t="shared" si="2"/>
        <v>0.99414628683496797</v>
      </c>
      <c r="N42" s="486">
        <v>246.61099999999999</v>
      </c>
      <c r="O42" s="490">
        <f t="shared" si="3"/>
        <v>0.99414628683496797</v>
      </c>
      <c r="P42" s="45">
        <v>246.61099999999999</v>
      </c>
      <c r="Q42" s="490">
        <f t="shared" ref="Q42:Q54" si="4">P42/$D42</f>
        <v>0.99414628683496797</v>
      </c>
      <c r="R42" s="45">
        <v>246.61099999999999</v>
      </c>
      <c r="T42" s="170"/>
      <c r="V42" s="136"/>
      <c r="W42" s="136"/>
      <c r="X42" s="136"/>
    </row>
    <row r="43" spans="1:27">
      <c r="A43" s="160" t="s">
        <v>4</v>
      </c>
      <c r="B43" s="8">
        <v>2011</v>
      </c>
      <c r="C43" s="161"/>
      <c r="D43" s="151">
        <f>[16]Monthly_NEL_Model!$I84</f>
        <v>248.784039350743</v>
      </c>
      <c r="F43" s="100"/>
      <c r="G43" s="162">
        <v>248.83699999999999</v>
      </c>
      <c r="H43" s="21">
        <f t="shared" si="0"/>
        <v>1.0002128780021227</v>
      </c>
      <c r="J43" s="442">
        <v>247.285</v>
      </c>
      <c r="K43" s="53">
        <f t="shared" si="1"/>
        <v>0.99397453568703575</v>
      </c>
      <c r="L43" s="491">
        <v>247.285</v>
      </c>
      <c r="M43" s="490">
        <f t="shared" si="2"/>
        <v>0.99397453568703575</v>
      </c>
      <c r="N43" s="486">
        <v>247.285</v>
      </c>
      <c r="O43" s="490">
        <f t="shared" si="3"/>
        <v>0.99397453568703575</v>
      </c>
      <c r="P43" s="45">
        <v>247.285</v>
      </c>
      <c r="Q43" s="490">
        <f t="shared" si="4"/>
        <v>0.99397453568703575</v>
      </c>
      <c r="R43" s="45">
        <v>247.285</v>
      </c>
      <c r="S43" s="490">
        <f t="shared" ref="S43:S55" si="5">R43/$D43</f>
        <v>0.99397453568703575</v>
      </c>
      <c r="U43" s="166"/>
      <c r="V43" s="136"/>
      <c r="W43" s="136"/>
      <c r="X43" s="136"/>
    </row>
    <row r="44" spans="1:27">
      <c r="A44" s="160" t="s">
        <v>28</v>
      </c>
      <c r="B44" s="8">
        <v>2011</v>
      </c>
      <c r="C44" s="161"/>
      <c r="D44" s="151">
        <f>[16]Monthly_NEL_Model!$I85</f>
        <v>248.33217047253103</v>
      </c>
      <c r="F44" s="100"/>
      <c r="G44" s="162">
        <v>237.88900000000001</v>
      </c>
      <c r="H44" s="21">
        <f t="shared" si="0"/>
        <v>0.95794676761911446</v>
      </c>
      <c r="J44" s="442">
        <v>244.244</v>
      </c>
      <c r="K44" s="53">
        <f t="shared" si="1"/>
        <v>0.98353749147864333</v>
      </c>
      <c r="L44" s="491">
        <v>244.244</v>
      </c>
      <c r="M44" s="490">
        <f t="shared" si="2"/>
        <v>0.98353749147864333</v>
      </c>
      <c r="N44" s="486">
        <v>244.244</v>
      </c>
      <c r="O44" s="490">
        <f t="shared" si="3"/>
        <v>0.98353749147864333</v>
      </c>
      <c r="P44" s="45">
        <v>244.244</v>
      </c>
      <c r="Q44" s="490">
        <f t="shared" si="4"/>
        <v>0.98353749147864333</v>
      </c>
      <c r="R44" s="45">
        <v>244.244</v>
      </c>
      <c r="S44" s="490">
        <f t="shared" si="5"/>
        <v>0.98353749147864333</v>
      </c>
      <c r="V44" s="166"/>
      <c r="W44" s="136"/>
      <c r="X44" s="136"/>
    </row>
    <row r="45" spans="1:27">
      <c r="A45" s="160" t="s">
        <v>29</v>
      </c>
      <c r="B45" s="8">
        <v>2011</v>
      </c>
      <c r="C45" s="184"/>
      <c r="D45" s="151">
        <f>[16]Monthly_NEL_Model!$I86</f>
        <v>249.175224123021</v>
      </c>
      <c r="F45" s="100"/>
      <c r="G45" s="162">
        <v>244.50700000000001</v>
      </c>
      <c r="H45" s="21">
        <f t="shared" si="0"/>
        <v>0.98126529577950239</v>
      </c>
      <c r="J45" s="442">
        <v>246.376</v>
      </c>
      <c r="K45" s="53">
        <f t="shared" si="1"/>
        <v>0.98876604151607395</v>
      </c>
      <c r="L45" s="491">
        <v>246.376</v>
      </c>
      <c r="M45" s="490">
        <f t="shared" si="2"/>
        <v>0.98876604151607395</v>
      </c>
      <c r="N45" s="486">
        <v>246.376</v>
      </c>
      <c r="O45" s="490">
        <f t="shared" si="3"/>
        <v>0.98876604151607395</v>
      </c>
      <c r="P45" s="45">
        <v>246.376</v>
      </c>
      <c r="Q45" s="490">
        <f t="shared" si="4"/>
        <v>0.98876604151607395</v>
      </c>
      <c r="R45" s="45">
        <v>246.376</v>
      </c>
      <c r="S45" s="490">
        <f t="shared" si="5"/>
        <v>0.98876604151607395</v>
      </c>
      <c r="V45" s="166"/>
      <c r="W45" s="166"/>
      <c r="X45" s="136"/>
    </row>
    <row r="46" spans="1:27">
      <c r="A46" s="160" t="s">
        <v>30</v>
      </c>
      <c r="B46" s="8">
        <v>2011</v>
      </c>
      <c r="C46" s="161"/>
      <c r="D46" s="151">
        <f>[16]Monthly_NEL_Model!$I87</f>
        <v>247.28817026821002</v>
      </c>
      <c r="F46" s="100"/>
      <c r="G46" s="162">
        <v>247.36699999999999</v>
      </c>
      <c r="H46" s="21">
        <f t="shared" si="0"/>
        <v>1.0003187768007846</v>
      </c>
      <c r="J46" s="442">
        <v>248.28399999999999</v>
      </c>
      <c r="K46" s="53">
        <f t="shared" si="1"/>
        <v>1.0040270010923285</v>
      </c>
      <c r="L46" s="491">
        <v>248.28399999999999</v>
      </c>
      <c r="M46" s="490">
        <f t="shared" si="2"/>
        <v>1.0040270010923285</v>
      </c>
      <c r="N46" s="486">
        <v>248.28399999999999</v>
      </c>
      <c r="O46" s="490">
        <f t="shared" si="3"/>
        <v>1.0040270010923285</v>
      </c>
      <c r="P46" s="45">
        <v>248.28399999999999</v>
      </c>
      <c r="Q46" s="490">
        <f t="shared" si="4"/>
        <v>1.0040270010923285</v>
      </c>
      <c r="R46" s="45">
        <v>248.28399999999999</v>
      </c>
      <c r="S46" s="490">
        <f t="shared" si="5"/>
        <v>1.0040270010923285</v>
      </c>
      <c r="X46" s="166"/>
    </row>
    <row r="47" spans="1:27">
      <c r="A47" s="160" t="s">
        <v>31</v>
      </c>
      <c r="B47" s="8">
        <v>2011</v>
      </c>
      <c r="C47" s="161"/>
      <c r="D47" s="151">
        <f>[16]Monthly_NEL_Model!$I88</f>
        <v>245.489405608769</v>
      </c>
      <c r="F47" s="100"/>
      <c r="G47" s="162">
        <v>252.31899999999999</v>
      </c>
      <c r="H47" s="21">
        <f t="shared" si="0"/>
        <v>1.0278203223242763</v>
      </c>
      <c r="J47" s="442">
        <v>251.899</v>
      </c>
      <c r="K47" s="53">
        <f t="shared" si="1"/>
        <v>1.0261094541955338</v>
      </c>
      <c r="L47" s="491">
        <v>251.899</v>
      </c>
      <c r="M47" s="490">
        <f t="shared" si="2"/>
        <v>1.0261094541955338</v>
      </c>
      <c r="N47" s="486">
        <v>251.899</v>
      </c>
      <c r="O47" s="490">
        <f t="shared" si="3"/>
        <v>1.0261094541955338</v>
      </c>
      <c r="P47" s="45">
        <v>251.899</v>
      </c>
      <c r="Q47" s="490">
        <f t="shared" si="4"/>
        <v>1.0261094541955338</v>
      </c>
      <c r="R47" s="45">
        <v>251.899</v>
      </c>
      <c r="S47" s="490">
        <f t="shared" si="5"/>
        <v>1.0261094541955338</v>
      </c>
      <c r="T47" s="170"/>
      <c r="V47" s="136"/>
      <c r="W47" s="136"/>
      <c r="X47" s="136"/>
    </row>
    <row r="48" spans="1:27">
      <c r="A48" s="160" t="s">
        <v>32</v>
      </c>
      <c r="B48" s="8">
        <v>2011</v>
      </c>
      <c r="C48" s="161"/>
      <c r="D48" s="151">
        <f>[16]Monthly_NEL_Model!$I89</f>
        <v>242.21651333119101</v>
      </c>
      <c r="F48" s="100"/>
      <c r="G48" s="162">
        <v>247.24799999999999</v>
      </c>
      <c r="H48" s="21">
        <f t="shared" si="0"/>
        <v>1.0207726822569245</v>
      </c>
      <c r="J48" s="442">
        <v>247.363</v>
      </c>
      <c r="K48" s="53">
        <f t="shared" si="1"/>
        <v>1.0212474640891722</v>
      </c>
      <c r="L48" s="491">
        <v>247.363</v>
      </c>
      <c r="M48" s="490">
        <f t="shared" si="2"/>
        <v>1.0212474640891722</v>
      </c>
      <c r="N48" s="486">
        <v>247.363</v>
      </c>
      <c r="O48" s="490">
        <f t="shared" si="3"/>
        <v>1.0212474640891722</v>
      </c>
      <c r="P48" s="45">
        <v>247.363</v>
      </c>
      <c r="Q48" s="490">
        <f t="shared" si="4"/>
        <v>1.0212474640891722</v>
      </c>
      <c r="R48" s="45">
        <v>247.363</v>
      </c>
      <c r="S48" s="490">
        <f t="shared" si="5"/>
        <v>1.0212474640891722</v>
      </c>
      <c r="U48" s="166"/>
      <c r="V48" s="136"/>
      <c r="W48" s="136"/>
      <c r="X48" s="136"/>
    </row>
    <row r="49" spans="1:26">
      <c r="A49" s="160" t="s">
        <v>33</v>
      </c>
      <c r="B49" s="8">
        <v>2011</v>
      </c>
      <c r="C49" s="161"/>
      <c r="D49" s="151">
        <f>[16]Monthly_NEL_Model!$I90</f>
        <v>242.42863142826798</v>
      </c>
      <c r="F49" s="100"/>
      <c r="G49" s="162">
        <v>243.31899999999999</v>
      </c>
      <c r="H49" s="21">
        <f t="shared" si="0"/>
        <v>1.0036727038654074</v>
      </c>
      <c r="J49" s="442">
        <v>246.041</v>
      </c>
      <c r="K49" s="53">
        <f t="shared" si="1"/>
        <v>1.0149007505856456</v>
      </c>
      <c r="L49" s="491">
        <v>246.041</v>
      </c>
      <c r="M49" s="490">
        <f t="shared" si="2"/>
        <v>1.0149007505856456</v>
      </c>
      <c r="N49" s="486">
        <v>246.041</v>
      </c>
      <c r="O49" s="490">
        <f t="shared" si="3"/>
        <v>1.0149007505856456</v>
      </c>
      <c r="P49" s="45">
        <v>246.041</v>
      </c>
      <c r="Q49" s="490">
        <f t="shared" si="4"/>
        <v>1.0149007505856456</v>
      </c>
      <c r="R49" s="45">
        <v>246.041</v>
      </c>
      <c r="S49" s="490">
        <f t="shared" si="5"/>
        <v>1.0149007505856456</v>
      </c>
      <c r="V49" s="166"/>
      <c r="W49" s="136"/>
      <c r="X49" s="136"/>
    </row>
    <row r="50" spans="1:26" s="56" customFormat="1">
      <c r="A50" s="182" t="s">
        <v>34</v>
      </c>
      <c r="B50" s="256">
        <v>2011</v>
      </c>
      <c r="C50" s="257"/>
      <c r="D50" s="151">
        <f>[16]Monthly_NEL_Model!$I91</f>
        <v>243.22145524054099</v>
      </c>
      <c r="E50" s="488"/>
      <c r="F50" s="149"/>
      <c r="G50" s="258">
        <v>240.11099999999999</v>
      </c>
      <c r="H50" s="21">
        <f>G50/D50</f>
        <v>0.98721142739046264</v>
      </c>
      <c r="J50" s="443">
        <v>242.74600000000001</v>
      </c>
      <c r="K50" s="53">
        <f t="shared" si="1"/>
        <v>0.99804517557848349</v>
      </c>
      <c r="L50" s="491">
        <v>242.74600000000001</v>
      </c>
      <c r="M50" s="490">
        <f t="shared" si="2"/>
        <v>0.99804517557848349</v>
      </c>
      <c r="N50" s="488">
        <v>242.74600000000001</v>
      </c>
      <c r="O50" s="490">
        <f t="shared" si="3"/>
        <v>0.99804517557848349</v>
      </c>
      <c r="P50" s="613">
        <v>242.74600000000001</v>
      </c>
      <c r="Q50" s="490">
        <f t="shared" si="4"/>
        <v>0.99804517557848349</v>
      </c>
      <c r="R50" s="613">
        <v>242.74600000000001</v>
      </c>
      <c r="S50" s="490">
        <f t="shared" si="5"/>
        <v>0.99804517557848349</v>
      </c>
      <c r="U50" s="150"/>
      <c r="V50" s="259"/>
      <c r="W50" s="259"/>
      <c r="X50" s="260"/>
      <c r="Y50" s="150"/>
      <c r="Z50" s="150"/>
    </row>
    <row r="51" spans="1:26">
      <c r="A51" s="160" t="s">
        <v>24</v>
      </c>
      <c r="B51" s="8">
        <f>+B39+1</f>
        <v>2012</v>
      </c>
      <c r="C51" s="8"/>
      <c r="D51" s="151">
        <f>[16]Monthly_NEL_Model!$I92</f>
        <v>244.63698921888101</v>
      </c>
      <c r="E51" s="486" t="s">
        <v>285</v>
      </c>
      <c r="F51" s="441">
        <v>244.46957451646017</v>
      </c>
      <c r="G51" s="55" t="s">
        <v>337</v>
      </c>
      <c r="H51" s="55">
        <f>AVERAGE(H39:H50)</f>
        <v>0.99931566071445121</v>
      </c>
      <c r="I51" s="232">
        <f>$D51*H51</f>
        <v>244.46957451646017</v>
      </c>
      <c r="J51" s="442">
        <v>243.12100000000001</v>
      </c>
      <c r="K51" s="53">
        <f t="shared" si="1"/>
        <v>0.99380310711098307</v>
      </c>
      <c r="L51" s="190">
        <v>243.12100000000001</v>
      </c>
      <c r="M51" s="490">
        <f t="shared" si="2"/>
        <v>0.99380310711098307</v>
      </c>
      <c r="N51" s="486">
        <v>243.12100000000001</v>
      </c>
      <c r="O51" s="490">
        <f t="shared" si="3"/>
        <v>0.99380310711098307</v>
      </c>
      <c r="P51" s="45">
        <v>243.12100000000001</v>
      </c>
      <c r="Q51" s="490">
        <f t="shared" si="4"/>
        <v>0.99380310711098307</v>
      </c>
      <c r="R51" s="45">
        <v>243.12100000000001</v>
      </c>
      <c r="S51" s="490">
        <f t="shared" si="5"/>
        <v>0.99380310711098307</v>
      </c>
      <c r="U51" s="166"/>
      <c r="V51" s="136"/>
      <c r="W51" s="136"/>
      <c r="X51" s="136"/>
    </row>
    <row r="52" spans="1:26">
      <c r="A52" s="160" t="s">
        <v>25</v>
      </c>
      <c r="B52" s="8">
        <f t="shared" ref="B52:B62" si="6">+B40+1</f>
        <v>2012</v>
      </c>
      <c r="C52" s="8"/>
      <c r="D52" s="151">
        <f>[16]Monthly_NEL_Model!$I93</f>
        <v>244.177774389089</v>
      </c>
      <c r="E52" s="486" t="s">
        <v>286</v>
      </c>
      <c r="F52" s="441">
        <v>244.25634739101301</v>
      </c>
      <c r="J52" s="55" t="s">
        <v>337</v>
      </c>
      <c r="K52" s="444">
        <f>AVERAGE(K40:K51)</f>
        <v>1.0003217860516609</v>
      </c>
      <c r="L52" s="190">
        <v>250.86799999999999</v>
      </c>
      <c r="M52" s="490">
        <f t="shared" si="2"/>
        <v>1.0273989949644244</v>
      </c>
      <c r="N52" s="486">
        <v>250.86799999999999</v>
      </c>
      <c r="O52" s="490">
        <f t="shared" si="3"/>
        <v>1.0273989949644244</v>
      </c>
      <c r="P52" s="45">
        <v>250.86799999999999</v>
      </c>
      <c r="Q52" s="490">
        <f t="shared" si="4"/>
        <v>1.0273989949644244</v>
      </c>
      <c r="R52" s="45">
        <v>250.86799999999999</v>
      </c>
      <c r="S52" s="490">
        <f t="shared" si="5"/>
        <v>1.0273989949644244</v>
      </c>
    </row>
    <row r="53" spans="1:26" ht="15" customHeight="1">
      <c r="A53" s="160" t="s">
        <v>26</v>
      </c>
      <c r="B53" s="8">
        <f t="shared" si="6"/>
        <v>2012</v>
      </c>
      <c r="C53" s="8"/>
      <c r="D53" s="151">
        <f>[16]Monthly_NEL_Model!$I94</f>
        <v>243.45913639202999</v>
      </c>
      <c r="E53" s="486" t="s">
        <v>287</v>
      </c>
      <c r="F53" s="441">
        <v>244.42175969048748</v>
      </c>
      <c r="H53" s="219"/>
      <c r="K53" s="489">
        <f>$D52*K52</f>
        <v>244.25634739101301</v>
      </c>
      <c r="L53" s="55" t="s">
        <v>337</v>
      </c>
      <c r="M53" s="444">
        <f>AVERAGE(M41:M52)</f>
        <v>1.0039539419745063</v>
      </c>
      <c r="N53" s="486">
        <v>253.16499999999999</v>
      </c>
      <c r="O53" s="490">
        <f t="shared" si="3"/>
        <v>1.0398664997822926</v>
      </c>
      <c r="P53" s="45">
        <v>253.16499999999999</v>
      </c>
      <c r="Q53" s="490">
        <f t="shared" si="4"/>
        <v>1.0398664997822926</v>
      </c>
      <c r="R53" s="45">
        <v>253.16499999999999</v>
      </c>
      <c r="S53" s="490">
        <f t="shared" si="5"/>
        <v>1.0398664997822926</v>
      </c>
      <c r="W53" s="185"/>
    </row>
    <row r="54" spans="1:26">
      <c r="A54" s="160" t="s">
        <v>27</v>
      </c>
      <c r="B54" s="8">
        <f t="shared" si="6"/>
        <v>2012</v>
      </c>
      <c r="C54" s="8"/>
      <c r="D54" s="151">
        <f>[16]Monthly_NEL_Model!$I95</f>
        <v>241.24119645995103</v>
      </c>
      <c r="E54" s="486" t="s">
        <v>395</v>
      </c>
      <c r="F54" s="441">
        <v>242.96652943152617</v>
      </c>
      <c r="M54" s="489">
        <f>$D53*M53</f>
        <v>244.42175969048748</v>
      </c>
      <c r="N54" s="55" t="s">
        <v>337</v>
      </c>
      <c r="O54" s="444">
        <f>AVERAGE(O42:O53)</f>
        <v>1.0071519002429652</v>
      </c>
      <c r="P54" s="45">
        <v>248.82599999999999</v>
      </c>
      <c r="Q54" s="490">
        <f t="shared" si="4"/>
        <v>1.0314407474815692</v>
      </c>
      <c r="R54" s="45">
        <v>248.82599999999999</v>
      </c>
      <c r="S54" s="490">
        <f t="shared" si="5"/>
        <v>1.0314407474815692</v>
      </c>
      <c r="W54" s="185"/>
    </row>
    <row r="55" spans="1:26">
      <c r="A55" s="160" t="s">
        <v>4</v>
      </c>
      <c r="B55" s="8">
        <f t="shared" si="6"/>
        <v>2012</v>
      </c>
      <c r="C55" s="8"/>
      <c r="D55" s="151">
        <f>[16]Monthly_NEL_Model!$I96</f>
        <v>242.63365620056197</v>
      </c>
      <c r="E55" s="486" t="s">
        <v>396</v>
      </c>
      <c r="F55" s="441">
        <v>245.12302218385372</v>
      </c>
      <c r="N55" s="21"/>
      <c r="O55" s="489">
        <f>$D54*O54</f>
        <v>242.96652943152617</v>
      </c>
      <c r="P55" s="615"/>
      <c r="Q55" s="614">
        <f>AVERAGE(Q43:Q54)</f>
        <v>1.0102597719635154</v>
      </c>
      <c r="R55" s="45">
        <v>238.084</v>
      </c>
      <c r="S55" s="490">
        <f t="shared" si="5"/>
        <v>0.98124886599903027</v>
      </c>
      <c r="W55" s="185"/>
    </row>
    <row r="56" spans="1:26">
      <c r="A56" s="160" t="s">
        <v>28</v>
      </c>
      <c r="B56" s="8">
        <f t="shared" si="6"/>
        <v>2012</v>
      </c>
      <c r="C56" s="8"/>
      <c r="D56" s="151">
        <f>[16]Monthly_NEL_Model!$I97</f>
        <v>244.86714733948597</v>
      </c>
      <c r="E56" s="486" t="s">
        <v>427</v>
      </c>
      <c r="F56" s="441">
        <v>247.11975356300508</v>
      </c>
      <c r="Q56" s="489">
        <f>$D55*Q55</f>
        <v>245.12302218385372</v>
      </c>
      <c r="S56" s="614">
        <f>AVERAGE(S44:S55)</f>
        <v>1.0091992994895149</v>
      </c>
      <c r="W56" s="185"/>
    </row>
    <row r="57" spans="1:26">
      <c r="A57" s="261" t="s">
        <v>29</v>
      </c>
      <c r="B57" s="262">
        <f t="shared" si="6"/>
        <v>2012</v>
      </c>
      <c r="C57" s="91"/>
      <c r="D57" s="151">
        <f>[16]Monthly_NEL_Model!$I98</f>
        <v>247.40364716353599</v>
      </c>
      <c r="E57" s="486" t="s">
        <v>428</v>
      </c>
      <c r="S57" s="489">
        <f>$D56*S56</f>
        <v>247.11975356300508</v>
      </c>
      <c r="W57" s="185"/>
    </row>
    <row r="58" spans="1:26">
      <c r="A58" s="261" t="s">
        <v>30</v>
      </c>
      <c r="B58" s="262">
        <f t="shared" si="6"/>
        <v>2012</v>
      </c>
      <c r="C58" s="91"/>
      <c r="D58" s="151">
        <f>[16]Monthly_NEL_Model!$I99</f>
        <v>248.94396377162499</v>
      </c>
      <c r="E58" s="486" t="s">
        <v>429</v>
      </c>
      <c r="W58" s="185"/>
    </row>
    <row r="59" spans="1:26">
      <c r="A59" s="261" t="s">
        <v>31</v>
      </c>
      <c r="B59" s="262">
        <f t="shared" si="6"/>
        <v>2012</v>
      </c>
      <c r="C59" s="91"/>
      <c r="D59" s="151">
        <f>[16]Monthly_NEL_Model!$I100</f>
        <v>249.92548906483898</v>
      </c>
      <c r="E59" s="486" t="s">
        <v>430</v>
      </c>
      <c r="W59" s="185"/>
    </row>
    <row r="60" spans="1:26">
      <c r="A60" s="261" t="s">
        <v>32</v>
      </c>
      <c r="B60" s="262">
        <f t="shared" si="6"/>
        <v>2012</v>
      </c>
      <c r="C60" s="91"/>
      <c r="D60" s="151">
        <f>[16]Monthly_NEL_Model!$I101</f>
        <v>251.27380377479201</v>
      </c>
      <c r="E60" s="486" t="s">
        <v>431</v>
      </c>
      <c r="W60" s="185"/>
    </row>
    <row r="61" spans="1:26">
      <c r="A61" s="261" t="s">
        <v>33</v>
      </c>
      <c r="B61" s="262">
        <f t="shared" si="6"/>
        <v>2012</v>
      </c>
      <c r="C61" s="91"/>
      <c r="D61" s="151">
        <f>[16]Monthly_NEL_Model!$I102</f>
        <v>252.01545908330897</v>
      </c>
      <c r="E61" s="486" t="s">
        <v>432</v>
      </c>
      <c r="W61" s="185"/>
    </row>
    <row r="62" spans="1:26">
      <c r="A62" s="263" t="s">
        <v>34</v>
      </c>
      <c r="B62" s="262">
        <f t="shared" si="6"/>
        <v>2012</v>
      </c>
      <c r="C62" s="91"/>
      <c r="D62" s="151">
        <f>[16]Monthly_NEL_Model!$I103</f>
        <v>252.758737141898</v>
      </c>
      <c r="E62" s="486" t="s">
        <v>433</v>
      </c>
      <c r="W62" s="185"/>
    </row>
    <row r="63" spans="1:26">
      <c r="W63" s="185"/>
    </row>
  </sheetData>
  <mergeCells count="1">
    <mergeCell ref="A1:B1"/>
  </mergeCells>
  <phoneticPr fontId="2" type="noConversion"/>
  <pageMargins left="0.75" right="0.75" top="1" bottom="1" header="0.5" footer="0.5"/>
  <pageSetup orientation="portrait" r:id="rId1"/>
  <headerFooter alignWithMargins="0"/>
  <rowBreaks count="1" manualBreakCount="1">
    <brk id="50" max="16383" man="1"/>
  </rowBreaks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16"/>
  <dimension ref="A1:AG107"/>
  <sheetViews>
    <sheetView workbookViewId="0">
      <selection sqref="A1:B1"/>
    </sheetView>
  </sheetViews>
  <sheetFormatPr defaultRowHeight="13.2"/>
  <cols>
    <col min="13" max="13" width="10.5546875" customWidth="1"/>
    <col min="19" max="19" width="11" customWidth="1"/>
    <col min="20" max="20" width="11.44140625" customWidth="1"/>
  </cols>
  <sheetData>
    <row r="1" spans="1:33" ht="71.25" customHeight="1">
      <c r="A1" s="806" t="s">
        <v>500</v>
      </c>
      <c r="B1" s="807"/>
    </row>
    <row r="2" spans="1:33" ht="28.8">
      <c r="A2" s="291" t="s">
        <v>158</v>
      </c>
    </row>
    <row r="3" spans="1:33">
      <c r="A3" s="292" t="s">
        <v>159</v>
      </c>
    </row>
    <row r="4" spans="1:33">
      <c r="A4" s="292"/>
    </row>
    <row r="5" spans="1:33" ht="26.4">
      <c r="A5" s="293" t="s">
        <v>160</v>
      </c>
      <c r="B5" s="294" t="s">
        <v>161</v>
      </c>
      <c r="C5" s="294"/>
      <c r="D5" s="295" t="s">
        <v>162</v>
      </c>
      <c r="E5" s="294"/>
      <c r="F5" s="296" t="s">
        <v>163</v>
      </c>
      <c r="G5" s="296"/>
    </row>
    <row r="6" spans="1:33" ht="12.75" customHeight="1">
      <c r="A6" s="297"/>
      <c r="B6" s="793" t="s">
        <v>164</v>
      </c>
      <c r="C6" s="793"/>
      <c r="D6" s="793"/>
      <c r="E6" s="793"/>
      <c r="F6" s="793"/>
      <c r="G6" s="298"/>
    </row>
    <row r="7" spans="1:33">
      <c r="A7" s="299" t="s">
        <v>165</v>
      </c>
      <c r="R7" s="447" t="s">
        <v>310</v>
      </c>
    </row>
    <row r="8" spans="1:33">
      <c r="A8" s="300"/>
      <c r="R8" s="299"/>
    </row>
    <row r="9" spans="1:33" ht="13.8">
      <c r="A9" s="301" t="s">
        <v>166</v>
      </c>
      <c r="R9" s="299"/>
    </row>
    <row r="10" spans="1:33" ht="15">
      <c r="A10" s="300"/>
      <c r="R10" s="304" t="s">
        <v>174</v>
      </c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</row>
    <row r="11" spans="1:33" ht="15">
      <c r="R11" s="305" t="s">
        <v>167</v>
      </c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</row>
    <row r="12" spans="1:33" ht="15">
      <c r="A12" s="302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R12" s="304" t="s">
        <v>175</v>
      </c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</row>
    <row r="13" spans="1:33" ht="15">
      <c r="A13" s="302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R13" s="304" t="s">
        <v>168</v>
      </c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</row>
    <row r="14" spans="1:33" ht="15">
      <c r="A14" s="304" t="s">
        <v>174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R14" s="304" t="s">
        <v>176</v>
      </c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</row>
    <row r="15" spans="1:33" ht="15">
      <c r="A15" s="305" t="s">
        <v>167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R15" s="794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789"/>
      <c r="AF15" s="789"/>
      <c r="AG15" s="789"/>
    </row>
    <row r="16" spans="1:33" ht="15">
      <c r="A16" s="304" t="s">
        <v>175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R16" s="794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/>
      <c r="AE16" s="789"/>
      <c r="AF16" s="789"/>
      <c r="AG16" s="789"/>
    </row>
    <row r="17" spans="1:33" ht="15">
      <c r="A17" s="304" t="s">
        <v>168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R17" s="794" t="s">
        <v>169</v>
      </c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789"/>
      <c r="AD17" s="789"/>
      <c r="AE17" s="789"/>
      <c r="AF17" s="789"/>
      <c r="AG17" s="789"/>
    </row>
    <row r="18" spans="1:33" ht="15.6" thickBot="1">
      <c r="A18" s="304" t="s">
        <v>176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R18" s="795"/>
      <c r="S18" s="796"/>
      <c r="T18" s="796"/>
      <c r="U18" s="796"/>
      <c r="V18" s="796"/>
      <c r="W18" s="796"/>
      <c r="X18" s="796"/>
      <c r="Y18" s="796"/>
      <c r="Z18" s="796"/>
      <c r="AA18" s="796"/>
      <c r="AB18" s="796"/>
      <c r="AC18" s="796"/>
      <c r="AD18" s="796"/>
      <c r="AE18" s="796"/>
      <c r="AF18" s="796"/>
      <c r="AG18" s="796"/>
    </row>
    <row r="19" spans="1:33" ht="13.8" thickBot="1">
      <c r="A19" s="794"/>
      <c r="B19" s="789"/>
      <c r="C19" s="789"/>
      <c r="D19" s="789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R19" s="306" t="s">
        <v>170</v>
      </c>
      <c r="S19" s="306" t="s">
        <v>24</v>
      </c>
      <c r="T19" s="306" t="s">
        <v>25</v>
      </c>
      <c r="U19" s="306" t="s">
        <v>26</v>
      </c>
      <c r="V19" s="306" t="s">
        <v>27</v>
      </c>
      <c r="W19" s="306" t="s">
        <v>4</v>
      </c>
      <c r="X19" s="306" t="s">
        <v>28</v>
      </c>
      <c r="Y19" s="306" t="s">
        <v>29</v>
      </c>
      <c r="Z19" s="306" t="s">
        <v>30</v>
      </c>
      <c r="AA19" s="306" t="s">
        <v>31</v>
      </c>
      <c r="AB19" s="306" t="s">
        <v>32</v>
      </c>
      <c r="AC19" s="306" t="s">
        <v>33</v>
      </c>
      <c r="AD19" s="306" t="s">
        <v>34</v>
      </c>
      <c r="AE19" s="306" t="s">
        <v>55</v>
      </c>
      <c r="AF19" s="306" t="s">
        <v>171</v>
      </c>
      <c r="AG19" s="307" t="s">
        <v>172</v>
      </c>
    </row>
    <row r="20" spans="1:33" ht="13.8" thickBot="1">
      <c r="A20" s="794"/>
      <c r="B20" s="789"/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R20" s="308">
        <v>2002</v>
      </c>
      <c r="S20" s="309">
        <v>114.2</v>
      </c>
      <c r="T20" s="309">
        <v>113.5</v>
      </c>
      <c r="U20" s="309">
        <v>117.6</v>
      </c>
      <c r="V20" s="309">
        <v>121.5</v>
      </c>
      <c r="W20" s="309">
        <v>121.9</v>
      </c>
      <c r="X20" s="309">
        <v>121.6</v>
      </c>
      <c r="Y20" s="309">
        <v>122.4</v>
      </c>
      <c r="Z20" s="309">
        <v>123.1</v>
      </c>
      <c r="AA20" s="309">
        <v>123.7</v>
      </c>
      <c r="AB20" s="309">
        <v>126.9</v>
      </c>
      <c r="AC20" s="309">
        <v>126.7</v>
      </c>
      <c r="AD20" s="309">
        <v>127.1</v>
      </c>
      <c r="AE20" s="309"/>
      <c r="AF20" s="309"/>
      <c r="AG20" s="310"/>
    </row>
    <row r="21" spans="1:33" ht="13.8" thickBot="1">
      <c r="A21" s="794" t="s">
        <v>169</v>
      </c>
      <c r="B21" s="789"/>
      <c r="C21" s="789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R21" s="311">
        <v>2003</v>
      </c>
      <c r="S21" s="309">
        <v>133.5</v>
      </c>
      <c r="T21" s="309">
        <v>140.80000000000001</v>
      </c>
      <c r="U21" s="309">
        <v>143.9</v>
      </c>
      <c r="V21" s="309">
        <v>136.5</v>
      </c>
      <c r="W21" s="309">
        <v>129.4</v>
      </c>
      <c r="X21" s="309">
        <v>129.80000000000001</v>
      </c>
      <c r="Y21" s="309">
        <v>132.19999999999999</v>
      </c>
      <c r="Z21" s="309">
        <v>137.80000000000001</v>
      </c>
      <c r="AA21" s="309">
        <v>142.9</v>
      </c>
      <c r="AB21" s="309">
        <v>137.80000000000001</v>
      </c>
      <c r="AC21" s="309">
        <v>136.9</v>
      </c>
      <c r="AD21" s="309">
        <v>138.80000000000001</v>
      </c>
      <c r="AE21" s="309"/>
      <c r="AF21" s="309"/>
      <c r="AG21" s="310"/>
    </row>
    <row r="22" spans="1:33" ht="13.8" thickBot="1">
      <c r="A22" s="795"/>
      <c r="B22" s="796"/>
      <c r="C22" s="796"/>
      <c r="D22" s="796"/>
      <c r="E22" s="796"/>
      <c r="F22" s="796"/>
      <c r="G22" s="796"/>
      <c r="H22" s="796"/>
      <c r="I22" s="796"/>
      <c r="J22" s="796"/>
      <c r="K22" s="796"/>
      <c r="L22" s="796"/>
      <c r="M22" s="796"/>
      <c r="N22" s="796"/>
      <c r="O22" s="796"/>
      <c r="P22" s="796"/>
      <c r="R22" s="308">
        <v>2004</v>
      </c>
      <c r="S22" s="309">
        <v>143.9</v>
      </c>
      <c r="T22" s="309">
        <v>145.80000000000001</v>
      </c>
      <c r="U22" s="309">
        <v>145.1</v>
      </c>
      <c r="V22" s="309">
        <v>143.4</v>
      </c>
      <c r="W22" s="309">
        <v>147.6</v>
      </c>
      <c r="X22" s="309">
        <v>151.5</v>
      </c>
      <c r="Y22" s="309">
        <v>151.1</v>
      </c>
      <c r="Z22" s="309">
        <v>151.5</v>
      </c>
      <c r="AA22" s="309">
        <v>152.9</v>
      </c>
      <c r="AB22" s="309">
        <v>158.6</v>
      </c>
      <c r="AC22" s="309">
        <v>163.80000000000001</v>
      </c>
      <c r="AD22" s="309">
        <v>162.30000000000001</v>
      </c>
      <c r="AE22" s="309"/>
      <c r="AF22" s="309"/>
      <c r="AG22" s="310"/>
    </row>
    <row r="23" spans="1:33" ht="13.8" thickBot="1">
      <c r="A23" s="306" t="s">
        <v>170</v>
      </c>
      <c r="B23" s="306" t="s">
        <v>24</v>
      </c>
      <c r="C23" s="306" t="s">
        <v>25</v>
      </c>
      <c r="D23" s="306" t="s">
        <v>26</v>
      </c>
      <c r="E23" s="306" t="s">
        <v>27</v>
      </c>
      <c r="F23" s="306" t="s">
        <v>4</v>
      </c>
      <c r="G23" s="306" t="s">
        <v>28</v>
      </c>
      <c r="H23" s="306" t="s">
        <v>29</v>
      </c>
      <c r="I23" s="306" t="s">
        <v>30</v>
      </c>
      <c r="J23" s="306" t="s">
        <v>31</v>
      </c>
      <c r="K23" s="306" t="s">
        <v>32</v>
      </c>
      <c r="L23" s="306" t="s">
        <v>33</v>
      </c>
      <c r="M23" s="306" t="s">
        <v>34</v>
      </c>
      <c r="N23" s="306" t="s">
        <v>55</v>
      </c>
      <c r="O23" s="306" t="s">
        <v>171</v>
      </c>
      <c r="P23" s="307" t="s">
        <v>172</v>
      </c>
      <c r="R23" s="311">
        <v>2005</v>
      </c>
      <c r="S23" s="309">
        <v>157.19999999999999</v>
      </c>
      <c r="T23" s="309">
        <v>161.80000000000001</v>
      </c>
      <c r="U23" s="309">
        <v>163.5</v>
      </c>
      <c r="V23" s="309">
        <v>166.7</v>
      </c>
      <c r="W23" s="309">
        <v>163.30000000000001</v>
      </c>
      <c r="X23" s="309">
        <v>163.69999999999999</v>
      </c>
      <c r="Y23" s="309">
        <v>172.8</v>
      </c>
      <c r="Z23" s="309">
        <v>183.5</v>
      </c>
      <c r="AA23" s="309">
        <v>208.2</v>
      </c>
      <c r="AB23" s="309">
        <v>205.9</v>
      </c>
      <c r="AC23" s="309">
        <v>191</v>
      </c>
      <c r="AD23" s="309">
        <v>187.6</v>
      </c>
      <c r="AE23" s="309"/>
      <c r="AF23" s="309"/>
      <c r="AG23" s="310"/>
    </row>
    <row r="24" spans="1:33" ht="13.8" thickBot="1">
      <c r="A24" s="308">
        <v>2001</v>
      </c>
      <c r="B24" s="309">
        <v>135</v>
      </c>
      <c r="C24" s="309">
        <v>134.1</v>
      </c>
      <c r="D24" s="309">
        <v>131.69999999999999</v>
      </c>
      <c r="E24" s="309">
        <v>132.30000000000001</v>
      </c>
      <c r="F24" s="309">
        <v>138.4</v>
      </c>
      <c r="G24" s="309">
        <v>136.9</v>
      </c>
      <c r="H24" s="309">
        <v>129.6</v>
      </c>
      <c r="I24" s="309">
        <v>127.3</v>
      </c>
      <c r="J24" s="309">
        <v>130.9</v>
      </c>
      <c r="K24" s="309">
        <v>122.9</v>
      </c>
      <c r="L24" s="309">
        <v>116.9</v>
      </c>
      <c r="M24" s="309">
        <v>113.9</v>
      </c>
      <c r="N24" s="309"/>
      <c r="O24" s="309"/>
      <c r="P24" s="310"/>
      <c r="R24" s="308">
        <v>2006</v>
      </c>
      <c r="S24" s="309">
        <v>196.6</v>
      </c>
      <c r="T24" s="309">
        <v>194.1</v>
      </c>
      <c r="U24" s="309">
        <v>192</v>
      </c>
      <c r="V24" s="309">
        <v>198.5</v>
      </c>
      <c r="W24" s="309">
        <v>199.8</v>
      </c>
      <c r="X24" s="309">
        <v>199.8</v>
      </c>
      <c r="Y24" s="309">
        <v>207.9</v>
      </c>
      <c r="Z24" s="309">
        <v>211.9</v>
      </c>
      <c r="AA24" s="309">
        <v>198.1</v>
      </c>
      <c r="AB24" s="309">
        <v>184.1</v>
      </c>
      <c r="AC24" s="309">
        <v>184.1</v>
      </c>
      <c r="AD24" s="309">
        <v>192.7</v>
      </c>
      <c r="AE24" s="309"/>
      <c r="AF24" s="309"/>
      <c r="AG24" s="310"/>
    </row>
    <row r="25" spans="1:33" ht="13.8" thickBot="1">
      <c r="A25" s="311">
        <v>2002</v>
      </c>
      <c r="B25" s="309">
        <v>114.2</v>
      </c>
      <c r="C25" s="309">
        <v>113.5</v>
      </c>
      <c r="D25" s="309">
        <v>117.6</v>
      </c>
      <c r="E25" s="309">
        <v>121.5</v>
      </c>
      <c r="F25" s="309">
        <v>121.9</v>
      </c>
      <c r="G25" s="309">
        <v>121.6</v>
      </c>
      <c r="H25" s="309">
        <v>122.4</v>
      </c>
      <c r="I25" s="309">
        <v>123.1</v>
      </c>
      <c r="J25" s="309">
        <v>123.7</v>
      </c>
      <c r="K25" s="309">
        <v>126.9</v>
      </c>
      <c r="L25" s="309">
        <v>126.7</v>
      </c>
      <c r="M25" s="309">
        <v>127.1</v>
      </c>
      <c r="N25" s="309"/>
      <c r="O25" s="309"/>
      <c r="P25" s="310"/>
      <c r="R25" s="311">
        <v>2007</v>
      </c>
      <c r="S25" s="309">
        <v>190.28100000000001</v>
      </c>
      <c r="T25" s="309">
        <v>192.31</v>
      </c>
      <c r="U25" s="309">
        <v>200.20599999999999</v>
      </c>
      <c r="V25" s="309">
        <v>203.30699999999999</v>
      </c>
      <c r="W25" s="309">
        <v>208.63499999999999</v>
      </c>
      <c r="X25" s="309">
        <v>209.79900000000001</v>
      </c>
      <c r="Y25" s="309">
        <v>209.63900000000001</v>
      </c>
      <c r="Z25" s="309">
        <v>206.41200000000001</v>
      </c>
      <c r="AA25" s="309">
        <v>210.74199999999999</v>
      </c>
      <c r="AB25" s="309">
        <v>212.386</v>
      </c>
      <c r="AC25" s="309">
        <v>223.81399999999999</v>
      </c>
      <c r="AD25" s="309">
        <v>225.649</v>
      </c>
      <c r="AE25" s="309"/>
      <c r="AF25" s="309"/>
      <c r="AG25" s="310"/>
    </row>
    <row r="26" spans="1:33" ht="13.8" thickBot="1">
      <c r="A26" s="308">
        <v>2003</v>
      </c>
      <c r="B26" s="309">
        <v>133.5</v>
      </c>
      <c r="C26" s="309">
        <v>140.80000000000001</v>
      </c>
      <c r="D26" s="309">
        <v>143.9</v>
      </c>
      <c r="E26" s="309">
        <v>136.5</v>
      </c>
      <c r="F26" s="309">
        <v>129.4</v>
      </c>
      <c r="G26" s="309">
        <v>129.80000000000001</v>
      </c>
      <c r="H26" s="309">
        <v>132.19999999999999</v>
      </c>
      <c r="I26" s="309">
        <v>137.80000000000001</v>
      </c>
      <c r="J26" s="309">
        <v>142.9</v>
      </c>
      <c r="K26" s="309">
        <v>137.80000000000001</v>
      </c>
      <c r="L26" s="309">
        <v>136.9</v>
      </c>
      <c r="M26" s="309">
        <v>138.80000000000001</v>
      </c>
      <c r="N26" s="309"/>
      <c r="O26" s="309"/>
      <c r="P26" s="310"/>
      <c r="R26" s="308">
        <v>2008</v>
      </c>
      <c r="S26" s="309">
        <v>227.113</v>
      </c>
      <c r="T26" s="309">
        <v>229.16399999999999</v>
      </c>
      <c r="U26" s="309">
        <v>233.25399999999999</v>
      </c>
      <c r="V26" s="309">
        <v>235.03299999999999</v>
      </c>
      <c r="W26" s="309">
        <v>243.94399999999999</v>
      </c>
      <c r="X26" s="309">
        <v>262.02199999999999</v>
      </c>
      <c r="Y26" s="309">
        <v>271.63499999999999</v>
      </c>
      <c r="Z26" s="309">
        <v>262.82900000000001</v>
      </c>
      <c r="AA26" s="309">
        <v>260.09399999999999</v>
      </c>
      <c r="AB26" s="309">
        <v>237.98599999999999</v>
      </c>
      <c r="AC26" s="309">
        <v>194.48099999999999</v>
      </c>
      <c r="AD26" s="309">
        <v>176.84</v>
      </c>
      <c r="AE26" s="309"/>
      <c r="AF26" s="309"/>
      <c r="AG26" s="310"/>
    </row>
    <row r="27" spans="1:33" ht="13.8" thickBot="1">
      <c r="A27" s="311">
        <v>2004</v>
      </c>
      <c r="B27" s="309">
        <v>143.9</v>
      </c>
      <c r="C27" s="309">
        <v>145.80000000000001</v>
      </c>
      <c r="D27" s="309">
        <v>145.1</v>
      </c>
      <c r="E27" s="309">
        <v>143.4</v>
      </c>
      <c r="F27" s="309">
        <v>147.6</v>
      </c>
      <c r="G27" s="309">
        <v>151.5</v>
      </c>
      <c r="H27" s="309">
        <v>151.1</v>
      </c>
      <c r="I27" s="309">
        <v>151.5</v>
      </c>
      <c r="J27" s="309">
        <v>152.9</v>
      </c>
      <c r="K27" s="309">
        <v>158.6</v>
      </c>
      <c r="L27" s="309">
        <v>163.80000000000001</v>
      </c>
      <c r="M27" s="309">
        <v>162.30000000000001</v>
      </c>
      <c r="N27" s="309"/>
      <c r="O27" s="309"/>
      <c r="P27" s="310"/>
      <c r="R27" s="311">
        <v>2009</v>
      </c>
      <c r="S27" s="309">
        <v>179.11699999999999</v>
      </c>
      <c r="T27" s="309">
        <v>185.08500000000001</v>
      </c>
      <c r="U27" s="309">
        <v>179.108</v>
      </c>
      <c r="V27" s="309">
        <v>177.434</v>
      </c>
      <c r="W27" s="309">
        <v>179.49</v>
      </c>
      <c r="X27" s="309">
        <v>196.15899999999999</v>
      </c>
      <c r="Y27" s="309">
        <v>195.45500000000001</v>
      </c>
      <c r="Z27" s="309">
        <v>201.66200000000001</v>
      </c>
      <c r="AA27" s="309">
        <v>202.92699999999999</v>
      </c>
      <c r="AB27" s="309">
        <v>204.584</v>
      </c>
      <c r="AC27" s="309">
        <v>209.83199999999999</v>
      </c>
      <c r="AD27" s="309">
        <v>210.20400000000001</v>
      </c>
      <c r="AE27" s="309"/>
      <c r="AF27" s="309"/>
      <c r="AG27" s="310"/>
    </row>
    <row r="28" spans="1:33" ht="13.8" thickBot="1">
      <c r="A28" s="308">
        <v>2005</v>
      </c>
      <c r="B28" s="309">
        <v>157.19999999999999</v>
      </c>
      <c r="C28" s="309">
        <v>161.80000000000001</v>
      </c>
      <c r="D28" s="309">
        <v>163.5</v>
      </c>
      <c r="E28" s="309">
        <v>166.7</v>
      </c>
      <c r="F28" s="309">
        <v>163.30000000000001</v>
      </c>
      <c r="G28" s="309">
        <v>163.69999999999999</v>
      </c>
      <c r="H28" s="309">
        <v>172.8</v>
      </c>
      <c r="I28" s="309">
        <v>183.5</v>
      </c>
      <c r="J28" s="309">
        <v>208.2</v>
      </c>
      <c r="K28" s="309">
        <v>205.9</v>
      </c>
      <c r="L28" s="309">
        <v>191</v>
      </c>
      <c r="M28" s="309">
        <v>187.6</v>
      </c>
      <c r="N28" s="309"/>
      <c r="O28" s="309"/>
      <c r="P28" s="310"/>
      <c r="R28" s="308">
        <v>2010</v>
      </c>
      <c r="S28" s="309">
        <v>213.66900000000001</v>
      </c>
      <c r="T28" s="309">
        <v>211.69499999999999</v>
      </c>
      <c r="U28" s="309">
        <v>210.62200000000001</v>
      </c>
      <c r="V28" s="309">
        <v>208.755</v>
      </c>
      <c r="W28" s="309">
        <v>204.875</v>
      </c>
      <c r="X28" s="309">
        <v>202.893</v>
      </c>
      <c r="Y28" s="309">
        <v>206.35599999999999</v>
      </c>
      <c r="Z28" s="309">
        <v>209.33099999999999</v>
      </c>
      <c r="AA28" s="309">
        <v>210.691</v>
      </c>
      <c r="AB28" s="309">
        <v>216.678</v>
      </c>
      <c r="AC28" s="309">
        <v>218.36</v>
      </c>
      <c r="AD28" s="309">
        <v>227.333</v>
      </c>
      <c r="AE28" s="309"/>
      <c r="AF28" s="309"/>
      <c r="AG28" s="310"/>
    </row>
    <row r="29" spans="1:33" ht="13.8" thickBot="1">
      <c r="A29" s="311">
        <v>2006</v>
      </c>
      <c r="B29" s="309">
        <v>196.6</v>
      </c>
      <c r="C29" s="309">
        <v>194.1</v>
      </c>
      <c r="D29" s="309">
        <v>192</v>
      </c>
      <c r="E29" s="309">
        <v>198.5</v>
      </c>
      <c r="F29" s="309">
        <v>199.8</v>
      </c>
      <c r="G29" s="309">
        <v>199.8</v>
      </c>
      <c r="H29" s="309">
        <v>207.9</v>
      </c>
      <c r="I29" s="309">
        <v>211.9</v>
      </c>
      <c r="J29" s="309">
        <v>198.1</v>
      </c>
      <c r="K29" s="309">
        <v>184.1</v>
      </c>
      <c r="L29" s="309">
        <v>184.1</v>
      </c>
      <c r="M29" s="309">
        <v>192.7</v>
      </c>
      <c r="N29" s="309"/>
      <c r="O29" s="309"/>
      <c r="P29" s="310"/>
      <c r="R29" s="311">
        <v>2011</v>
      </c>
      <c r="S29" s="309">
        <v>229.096</v>
      </c>
      <c r="T29" s="309">
        <v>234.42699999999999</v>
      </c>
      <c r="U29" s="309">
        <v>242.18</v>
      </c>
      <c r="V29" s="309">
        <v>246.61099999999999</v>
      </c>
      <c r="W29" s="309">
        <v>247.285</v>
      </c>
      <c r="X29" s="309">
        <v>244.244</v>
      </c>
      <c r="Y29" s="309">
        <v>246.376</v>
      </c>
      <c r="Z29" s="309">
        <v>248.28399999999999</v>
      </c>
      <c r="AA29" s="309">
        <v>251.899</v>
      </c>
      <c r="AB29" s="309">
        <v>247.363</v>
      </c>
      <c r="AC29" s="309">
        <v>246.041</v>
      </c>
      <c r="AD29" s="309">
        <v>242.74600000000001</v>
      </c>
      <c r="AE29" s="309"/>
      <c r="AF29" s="309"/>
      <c r="AG29" s="310"/>
    </row>
    <row r="30" spans="1:33" ht="13.8" thickBot="1">
      <c r="A30" s="308">
        <v>2007</v>
      </c>
      <c r="B30" s="309">
        <v>189.87100000000001</v>
      </c>
      <c r="C30" s="309">
        <v>192.65600000000001</v>
      </c>
      <c r="D30" s="309">
        <v>200.54499999999999</v>
      </c>
      <c r="E30" s="309">
        <v>204.608</v>
      </c>
      <c r="F30" s="309">
        <v>209.13</v>
      </c>
      <c r="G30" s="309">
        <v>208.643</v>
      </c>
      <c r="H30" s="309">
        <v>209.61500000000001</v>
      </c>
      <c r="I30" s="309">
        <v>206.30600000000001</v>
      </c>
      <c r="J30" s="309">
        <v>209.58</v>
      </c>
      <c r="K30" s="309">
        <v>211.88900000000001</v>
      </c>
      <c r="L30" s="309">
        <v>223.54400000000001</v>
      </c>
      <c r="M30" s="309">
        <v>225.65299999999999</v>
      </c>
      <c r="N30" s="309"/>
      <c r="O30" s="309"/>
      <c r="P30" s="310"/>
      <c r="R30" s="308">
        <v>2012</v>
      </c>
      <c r="S30" s="467">
        <v>243.12100000000001</v>
      </c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10"/>
    </row>
    <row r="31" spans="1:33" ht="13.8" thickBot="1">
      <c r="A31" s="311">
        <v>2008</v>
      </c>
      <c r="B31" s="309">
        <v>227.215</v>
      </c>
      <c r="C31" s="309">
        <v>230.11799999999999</v>
      </c>
      <c r="D31" s="309">
        <v>234.44200000000001</v>
      </c>
      <c r="E31" s="309">
        <v>237.04599999999999</v>
      </c>
      <c r="F31" s="309">
        <v>244.88300000000001</v>
      </c>
      <c r="G31" s="309">
        <v>259.06799999999998</v>
      </c>
      <c r="H31" s="309">
        <v>271.31799999999998</v>
      </c>
      <c r="I31" s="309">
        <v>262.584</v>
      </c>
      <c r="J31" s="309">
        <v>259.31599999999997</v>
      </c>
      <c r="K31" s="309">
        <v>237.41800000000001</v>
      </c>
      <c r="L31" s="309">
        <v>193.86099999999999</v>
      </c>
      <c r="M31" s="309">
        <v>176.36</v>
      </c>
      <c r="N31" s="309"/>
      <c r="O31" s="309"/>
      <c r="P31" s="310"/>
    </row>
    <row r="32" spans="1:33" ht="13.8" thickBot="1">
      <c r="A32" s="308">
        <v>2009</v>
      </c>
      <c r="B32" s="309">
        <v>178.99199999999999</v>
      </c>
      <c r="C32" s="309">
        <v>186.13499999999999</v>
      </c>
      <c r="D32" s="309">
        <v>180.309</v>
      </c>
      <c r="E32" s="309">
        <v>179.13200000000001</v>
      </c>
      <c r="F32" s="309">
        <v>180.37700000000001</v>
      </c>
      <c r="G32" s="309">
        <v>193.21600000000001</v>
      </c>
      <c r="H32" s="309">
        <v>195.041</v>
      </c>
      <c r="I32" s="309">
        <v>201.255</v>
      </c>
      <c r="J32" s="309">
        <v>202.92400000000001</v>
      </c>
      <c r="K32" s="309">
        <v>204.14</v>
      </c>
      <c r="L32" s="309">
        <v>208.458</v>
      </c>
      <c r="M32" s="309">
        <v>208.745</v>
      </c>
      <c r="N32" s="309"/>
      <c r="O32" s="309"/>
      <c r="P32" s="310"/>
    </row>
    <row r="33" spans="1:33" ht="13.8" thickBot="1">
      <c r="A33" s="311">
        <v>2010</v>
      </c>
      <c r="B33" s="309">
        <v>213.929</v>
      </c>
      <c r="C33" s="309">
        <v>213.672</v>
      </c>
      <c r="D33" s="309">
        <v>213.00399999999999</v>
      </c>
      <c r="E33" s="309">
        <v>211.83699999999999</v>
      </c>
      <c r="F33" s="309">
        <v>206.19</v>
      </c>
      <c r="G33" s="309">
        <v>198.89</v>
      </c>
      <c r="H33" s="309">
        <v>205.42699999999999</v>
      </c>
      <c r="I33" s="309">
        <v>208.721</v>
      </c>
      <c r="J33" s="309">
        <v>210.92</v>
      </c>
      <c r="K33" s="309">
        <v>216.262</v>
      </c>
      <c r="L33" s="309">
        <v>216.506</v>
      </c>
      <c r="M33" s="309">
        <v>225.15100000000001</v>
      </c>
      <c r="N33" s="309"/>
      <c r="O33" s="309"/>
      <c r="P33" s="310"/>
      <c r="R33" s="447" t="s">
        <v>347</v>
      </c>
    </row>
    <row r="34" spans="1:33" ht="13.8" thickBot="1">
      <c r="A34" s="308">
        <v>2011</v>
      </c>
      <c r="B34" s="309">
        <v>229.91499999999999</v>
      </c>
      <c r="C34" s="309">
        <v>237.62</v>
      </c>
      <c r="D34" s="309">
        <v>245.941</v>
      </c>
      <c r="E34" s="309">
        <v>251.31899999999999</v>
      </c>
      <c r="F34" s="309">
        <v>248.83699999999999</v>
      </c>
      <c r="G34" s="309">
        <v>237.88900000000001</v>
      </c>
      <c r="H34" s="309">
        <v>244.50700000000001</v>
      </c>
      <c r="I34" s="309">
        <v>247.36699999999999</v>
      </c>
      <c r="J34" s="309">
        <v>252.31899999999999</v>
      </c>
      <c r="K34" s="309">
        <v>247.24799999999999</v>
      </c>
      <c r="L34" s="309">
        <v>243.31899999999999</v>
      </c>
      <c r="M34" s="312">
        <v>240.11099999999999</v>
      </c>
      <c r="N34" s="309"/>
      <c r="O34" s="309"/>
      <c r="P34" s="310"/>
      <c r="R34" s="300"/>
    </row>
    <row r="35" spans="1:33" ht="13.8">
      <c r="A35" s="300"/>
      <c r="R35" s="301" t="s">
        <v>166</v>
      </c>
    </row>
    <row r="36" spans="1:33">
      <c r="R36" s="300"/>
    </row>
    <row r="37" spans="1:33">
      <c r="A37" s="300"/>
    </row>
    <row r="38" spans="1:33">
      <c r="A38" s="300"/>
      <c r="R38" s="302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</row>
    <row r="39" spans="1:33">
      <c r="R39" s="302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</row>
    <row r="40" spans="1:33" ht="15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R40" s="304" t="s">
        <v>174</v>
      </c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</row>
    <row r="41" spans="1:33" ht="15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R41" s="305" t="s">
        <v>167</v>
      </c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</row>
    <row r="42" spans="1:33" ht="15">
      <c r="A42" s="304" t="s">
        <v>177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R42" s="304" t="s">
        <v>175</v>
      </c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</row>
    <row r="43" spans="1:33" ht="15">
      <c r="A43" s="305" t="s">
        <v>173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R43" s="304" t="s">
        <v>348</v>
      </c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</row>
    <row r="44" spans="1:33" ht="15">
      <c r="A44" s="304" t="s">
        <v>175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R44" s="304" t="s">
        <v>176</v>
      </c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</row>
    <row r="45" spans="1:33" ht="15">
      <c r="A45" s="304" t="s">
        <v>168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R45" s="794"/>
      <c r="S45" s="789"/>
      <c r="T45" s="789"/>
      <c r="U45" s="789"/>
      <c r="V45" s="789"/>
      <c r="W45" s="789"/>
      <c r="X45" s="789"/>
      <c r="Y45" s="789"/>
      <c r="Z45" s="789"/>
      <c r="AA45" s="789"/>
      <c r="AB45" s="789"/>
      <c r="AC45" s="789"/>
      <c r="AD45" s="789"/>
      <c r="AE45" s="789"/>
      <c r="AF45" s="789"/>
      <c r="AG45" s="789"/>
    </row>
    <row r="46" spans="1:33" ht="15">
      <c r="A46" s="304" t="s">
        <v>176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R46" s="794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</row>
    <row r="47" spans="1:33">
      <c r="A47" s="794"/>
      <c r="B47" s="789"/>
      <c r="C47" s="789"/>
      <c r="D47" s="789"/>
      <c r="E47" s="789"/>
      <c r="F47" s="789"/>
      <c r="G47" s="789"/>
      <c r="H47" s="789"/>
      <c r="I47" s="789"/>
      <c r="J47" s="789"/>
      <c r="K47" s="789"/>
      <c r="L47" s="789"/>
      <c r="M47" s="789"/>
      <c r="N47" s="789"/>
      <c r="O47" s="789"/>
      <c r="P47" s="789"/>
      <c r="R47" s="794" t="s">
        <v>169</v>
      </c>
      <c r="S47" s="789"/>
      <c r="T47" s="789"/>
      <c r="U47" s="789"/>
      <c r="V47" s="789"/>
      <c r="W47" s="789"/>
      <c r="X47" s="789"/>
      <c r="Y47" s="789"/>
      <c r="Z47" s="789"/>
      <c r="AA47" s="789"/>
      <c r="AB47" s="789"/>
      <c r="AC47" s="789"/>
      <c r="AD47" s="789"/>
      <c r="AE47" s="789"/>
      <c r="AF47" s="789"/>
      <c r="AG47" s="789"/>
    </row>
    <row r="48" spans="1:33" ht="13.8" thickBot="1">
      <c r="A48" s="794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89"/>
      <c r="O48" s="789"/>
      <c r="P48" s="789"/>
      <c r="R48" s="795"/>
      <c r="S48" s="796"/>
      <c r="T48" s="796"/>
      <c r="U48" s="796"/>
      <c r="V48" s="796"/>
      <c r="W48" s="796"/>
      <c r="X48" s="796"/>
      <c r="Y48" s="796"/>
      <c r="Z48" s="796"/>
      <c r="AA48" s="796"/>
      <c r="AB48" s="796"/>
      <c r="AC48" s="796"/>
      <c r="AD48" s="796"/>
      <c r="AE48" s="796"/>
      <c r="AF48" s="796"/>
      <c r="AG48" s="796"/>
    </row>
    <row r="49" spans="1:33" ht="13.8" thickBot="1">
      <c r="A49" s="794" t="s">
        <v>169</v>
      </c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89"/>
      <c r="O49" s="789"/>
      <c r="P49" s="789"/>
      <c r="R49" s="306" t="s">
        <v>170</v>
      </c>
      <c r="S49" s="306" t="s">
        <v>24</v>
      </c>
      <c r="T49" s="306" t="s">
        <v>25</v>
      </c>
      <c r="U49" s="306" t="s">
        <v>26</v>
      </c>
      <c r="V49" s="306" t="s">
        <v>27</v>
      </c>
      <c r="W49" s="306" t="s">
        <v>4</v>
      </c>
      <c r="X49" s="306" t="s">
        <v>28</v>
      </c>
      <c r="Y49" s="306" t="s">
        <v>29</v>
      </c>
      <c r="Z49" s="306" t="s">
        <v>30</v>
      </c>
      <c r="AA49" s="306" t="s">
        <v>31</v>
      </c>
      <c r="AB49" s="306" t="s">
        <v>32</v>
      </c>
      <c r="AC49" s="306" t="s">
        <v>33</v>
      </c>
      <c r="AD49" s="306" t="s">
        <v>34</v>
      </c>
      <c r="AE49" s="306" t="s">
        <v>55</v>
      </c>
      <c r="AF49" s="306" t="s">
        <v>171</v>
      </c>
      <c r="AG49" s="307" t="s">
        <v>172</v>
      </c>
    </row>
    <row r="50" spans="1:33" ht="13.8" thickBot="1">
      <c r="A50" s="795"/>
      <c r="B50" s="796"/>
      <c r="C50" s="796"/>
      <c r="D50" s="796"/>
      <c r="E50" s="796"/>
      <c r="F50" s="796"/>
      <c r="G50" s="796"/>
      <c r="H50" s="796"/>
      <c r="I50" s="796"/>
      <c r="J50" s="796"/>
      <c r="K50" s="796"/>
      <c r="L50" s="796"/>
      <c r="M50" s="796"/>
      <c r="N50" s="796"/>
      <c r="O50" s="796"/>
      <c r="P50" s="796"/>
      <c r="R50" s="550">
        <v>2002</v>
      </c>
      <c r="S50" s="551">
        <v>114.2</v>
      </c>
      <c r="T50" s="551">
        <v>113.5</v>
      </c>
      <c r="U50" s="551">
        <v>117.6</v>
      </c>
      <c r="V50" s="551">
        <v>121.5</v>
      </c>
      <c r="W50" s="551">
        <v>121.9</v>
      </c>
      <c r="X50" s="551">
        <v>121.6</v>
      </c>
      <c r="Y50" s="551">
        <v>122.4</v>
      </c>
      <c r="Z50" s="551">
        <v>123.1</v>
      </c>
      <c r="AA50" s="551">
        <v>123.7</v>
      </c>
      <c r="AB50" s="551">
        <v>126.9</v>
      </c>
      <c r="AC50" s="551">
        <v>126.7</v>
      </c>
      <c r="AD50" s="551">
        <v>127.1</v>
      </c>
      <c r="AE50" s="551"/>
      <c r="AF50" s="551"/>
      <c r="AG50" s="552"/>
    </row>
    <row r="51" spans="1:33" ht="13.8" thickBot="1">
      <c r="A51" s="306" t="s">
        <v>170</v>
      </c>
      <c r="B51" s="306" t="s">
        <v>24</v>
      </c>
      <c r="C51" s="306" t="s">
        <v>25</v>
      </c>
      <c r="D51" s="306" t="s">
        <v>26</v>
      </c>
      <c r="E51" s="306" t="s">
        <v>27</v>
      </c>
      <c r="F51" s="306" t="s">
        <v>4</v>
      </c>
      <c r="G51" s="306" t="s">
        <v>28</v>
      </c>
      <c r="H51" s="306" t="s">
        <v>29</v>
      </c>
      <c r="I51" s="306" t="s">
        <v>30</v>
      </c>
      <c r="J51" s="306" t="s">
        <v>31</v>
      </c>
      <c r="K51" s="306" t="s">
        <v>32</v>
      </c>
      <c r="L51" s="306" t="s">
        <v>33</v>
      </c>
      <c r="M51" s="306" t="s">
        <v>34</v>
      </c>
      <c r="N51" s="306" t="s">
        <v>55</v>
      </c>
      <c r="O51" s="306" t="s">
        <v>171</v>
      </c>
      <c r="P51" s="307" t="s">
        <v>172</v>
      </c>
      <c r="R51" s="553">
        <v>2003</v>
      </c>
      <c r="S51" s="549">
        <v>133.5</v>
      </c>
      <c r="T51" s="549">
        <v>140.80000000000001</v>
      </c>
      <c r="U51" s="549">
        <v>143.9</v>
      </c>
      <c r="V51" s="549">
        <v>136.5</v>
      </c>
      <c r="W51" s="549">
        <v>129.4</v>
      </c>
      <c r="X51" s="549">
        <v>129.80000000000001</v>
      </c>
      <c r="Y51" s="549">
        <v>132.19999999999999</v>
      </c>
      <c r="Z51" s="549">
        <v>137.80000000000001</v>
      </c>
      <c r="AA51" s="549">
        <v>142.9</v>
      </c>
      <c r="AB51" s="549">
        <v>137.80000000000001</v>
      </c>
      <c r="AC51" s="549">
        <v>136.9</v>
      </c>
      <c r="AD51" s="549">
        <v>138.80000000000001</v>
      </c>
      <c r="AE51" s="549"/>
      <c r="AF51" s="549"/>
      <c r="AG51" s="554"/>
    </row>
    <row r="52" spans="1:33" ht="13.8" thickBot="1">
      <c r="A52" s="308">
        <v>2001</v>
      </c>
      <c r="B52" s="309">
        <v>132.5</v>
      </c>
      <c r="C52" s="309">
        <v>132</v>
      </c>
      <c r="D52" s="309">
        <v>129.5</v>
      </c>
      <c r="E52" s="309">
        <v>133.1</v>
      </c>
      <c r="F52" s="309">
        <v>140.1</v>
      </c>
      <c r="G52" s="309">
        <v>140.5</v>
      </c>
      <c r="H52" s="309">
        <v>132.4</v>
      </c>
      <c r="I52" s="309">
        <v>129.4</v>
      </c>
      <c r="J52" s="309">
        <v>132.5</v>
      </c>
      <c r="K52" s="309">
        <v>122.1</v>
      </c>
      <c r="L52" s="309">
        <v>116</v>
      </c>
      <c r="M52" s="309">
        <v>111.4</v>
      </c>
      <c r="N52" s="309">
        <v>129.30000000000001</v>
      </c>
      <c r="O52" s="309">
        <v>134.6</v>
      </c>
      <c r="P52" s="310">
        <v>124</v>
      </c>
      <c r="R52" s="308">
        <v>2004</v>
      </c>
      <c r="S52" s="309">
        <v>143.9</v>
      </c>
      <c r="T52" s="309">
        <v>145.80000000000001</v>
      </c>
      <c r="U52" s="309">
        <v>145.1</v>
      </c>
      <c r="V52" s="309">
        <v>143.4</v>
      </c>
      <c r="W52" s="309">
        <v>147.6</v>
      </c>
      <c r="X52" s="309">
        <v>151.5</v>
      </c>
      <c r="Y52" s="309">
        <v>151.1</v>
      </c>
      <c r="Z52" s="309">
        <v>151.5</v>
      </c>
      <c r="AA52" s="309">
        <v>152.9</v>
      </c>
      <c r="AB52" s="309">
        <v>158.6</v>
      </c>
      <c r="AC52" s="309">
        <v>163.80000000000001</v>
      </c>
      <c r="AD52" s="309">
        <v>162.30000000000001</v>
      </c>
      <c r="AE52" s="309"/>
      <c r="AF52" s="309"/>
      <c r="AG52" s="310"/>
    </row>
    <row r="53" spans="1:33" ht="13.8" thickBot="1">
      <c r="A53" s="311">
        <v>2002</v>
      </c>
      <c r="B53" s="309">
        <v>111.7</v>
      </c>
      <c r="C53" s="309">
        <v>111</v>
      </c>
      <c r="D53" s="309">
        <v>115.6</v>
      </c>
      <c r="E53" s="309">
        <v>122.2</v>
      </c>
      <c r="F53" s="309">
        <v>122.9</v>
      </c>
      <c r="G53" s="309">
        <v>124.9</v>
      </c>
      <c r="H53" s="309">
        <v>125.5</v>
      </c>
      <c r="I53" s="309">
        <v>125.8</v>
      </c>
      <c r="J53" s="309">
        <v>126.1</v>
      </c>
      <c r="K53" s="309">
        <v>125.8</v>
      </c>
      <c r="L53" s="309">
        <v>125.3</v>
      </c>
      <c r="M53" s="309">
        <v>123.3</v>
      </c>
      <c r="N53" s="309">
        <v>121.7</v>
      </c>
      <c r="O53" s="309">
        <v>118.1</v>
      </c>
      <c r="P53" s="310">
        <v>125.3</v>
      </c>
      <c r="R53" s="553">
        <v>2005</v>
      </c>
      <c r="S53" s="549">
        <v>157.19999999999999</v>
      </c>
      <c r="T53" s="549">
        <v>161.80000000000001</v>
      </c>
      <c r="U53" s="549">
        <v>163.5</v>
      </c>
      <c r="V53" s="549">
        <v>166.7</v>
      </c>
      <c r="W53" s="549">
        <v>163.30000000000001</v>
      </c>
      <c r="X53" s="549">
        <v>163.69999999999999</v>
      </c>
      <c r="Y53" s="549">
        <v>172.8</v>
      </c>
      <c r="Z53" s="549">
        <v>183.5</v>
      </c>
      <c r="AA53" s="549">
        <v>208.2</v>
      </c>
      <c r="AB53" s="549">
        <v>205.9</v>
      </c>
      <c r="AC53" s="549">
        <v>191</v>
      </c>
      <c r="AD53" s="549">
        <v>187.6</v>
      </c>
      <c r="AE53" s="549"/>
      <c r="AF53" s="549"/>
      <c r="AG53" s="554"/>
    </row>
    <row r="54" spans="1:33" ht="13.8" thickBot="1">
      <c r="A54" s="308">
        <v>2003</v>
      </c>
      <c r="B54" s="309">
        <v>127.5</v>
      </c>
      <c r="C54" s="309">
        <v>135.4</v>
      </c>
      <c r="D54" s="309">
        <v>142.6</v>
      </c>
      <c r="E54" s="309">
        <v>138.1</v>
      </c>
      <c r="F54" s="309">
        <v>134</v>
      </c>
      <c r="G54" s="309">
        <v>136.5</v>
      </c>
      <c r="H54" s="309">
        <v>136.80000000000001</v>
      </c>
      <c r="I54" s="309">
        <v>140.6</v>
      </c>
      <c r="J54" s="309">
        <v>144.6</v>
      </c>
      <c r="K54" s="309">
        <v>136.9</v>
      </c>
      <c r="L54" s="309">
        <v>133.1</v>
      </c>
      <c r="M54" s="309">
        <v>131.80000000000001</v>
      </c>
      <c r="N54" s="309">
        <v>136.5</v>
      </c>
      <c r="O54" s="309">
        <v>135.69999999999999</v>
      </c>
      <c r="P54" s="310">
        <v>137.30000000000001</v>
      </c>
      <c r="R54" s="308">
        <v>2006</v>
      </c>
      <c r="S54" s="309">
        <v>196.6</v>
      </c>
      <c r="T54" s="309">
        <v>194.1</v>
      </c>
      <c r="U54" s="309">
        <v>192</v>
      </c>
      <c r="V54" s="309">
        <v>198.5</v>
      </c>
      <c r="W54" s="309">
        <v>199.8</v>
      </c>
      <c r="X54" s="309">
        <v>199.8</v>
      </c>
      <c r="Y54" s="309">
        <v>207.9</v>
      </c>
      <c r="Z54" s="309">
        <v>211.9</v>
      </c>
      <c r="AA54" s="309">
        <v>198.1</v>
      </c>
      <c r="AB54" s="309">
        <v>184.1</v>
      </c>
      <c r="AC54" s="309">
        <v>184.1</v>
      </c>
      <c r="AD54" s="309">
        <v>192.7</v>
      </c>
      <c r="AE54" s="309"/>
      <c r="AF54" s="309"/>
      <c r="AG54" s="310"/>
    </row>
    <row r="55" spans="1:33" ht="13.8" thickBot="1">
      <c r="A55" s="311">
        <v>2004</v>
      </c>
      <c r="B55" s="309">
        <v>137.4</v>
      </c>
      <c r="C55" s="309">
        <v>140.6</v>
      </c>
      <c r="D55" s="309">
        <v>143.1</v>
      </c>
      <c r="E55" s="309">
        <v>145.9</v>
      </c>
      <c r="F55" s="309">
        <v>154.1</v>
      </c>
      <c r="G55" s="309">
        <v>159.69999999999999</v>
      </c>
      <c r="H55" s="309">
        <v>156.30000000000001</v>
      </c>
      <c r="I55" s="309">
        <v>155.30000000000001</v>
      </c>
      <c r="J55" s="309">
        <v>154.30000000000001</v>
      </c>
      <c r="K55" s="309">
        <v>157.69999999999999</v>
      </c>
      <c r="L55" s="309">
        <v>158.6</v>
      </c>
      <c r="M55" s="309">
        <v>153.69999999999999</v>
      </c>
      <c r="N55" s="309">
        <v>151.4</v>
      </c>
      <c r="O55" s="309">
        <v>146.80000000000001</v>
      </c>
      <c r="P55" s="310">
        <v>156</v>
      </c>
      <c r="R55" s="553">
        <v>2007</v>
      </c>
      <c r="S55" s="549">
        <v>190.28100000000001</v>
      </c>
      <c r="T55" s="549">
        <v>192.31</v>
      </c>
      <c r="U55" s="549">
        <v>200.20599999999999</v>
      </c>
      <c r="V55" s="549">
        <v>203.30699999999999</v>
      </c>
      <c r="W55" s="549">
        <v>208.63499999999999</v>
      </c>
      <c r="X55" s="549">
        <v>209.79900000000001</v>
      </c>
      <c r="Y55" s="549">
        <v>209.63900000000001</v>
      </c>
      <c r="Z55" s="549">
        <v>206.41200000000001</v>
      </c>
      <c r="AA55" s="549">
        <v>210.74199999999999</v>
      </c>
      <c r="AB55" s="549">
        <v>212.386</v>
      </c>
      <c r="AC55" s="549">
        <v>223.81399999999999</v>
      </c>
      <c r="AD55" s="549">
        <v>225.649</v>
      </c>
      <c r="AE55" s="549"/>
      <c r="AF55" s="549"/>
      <c r="AG55" s="554"/>
    </row>
    <row r="56" spans="1:33" ht="13.8" thickBot="1">
      <c r="A56" s="308">
        <v>2005</v>
      </c>
      <c r="B56" s="309">
        <v>151.9</v>
      </c>
      <c r="C56" s="309">
        <v>155.19999999999999</v>
      </c>
      <c r="D56" s="309">
        <v>160.80000000000001</v>
      </c>
      <c r="E56" s="309">
        <v>170.9</v>
      </c>
      <c r="F56" s="309">
        <v>169.4</v>
      </c>
      <c r="G56" s="309">
        <v>171.4</v>
      </c>
      <c r="H56" s="309">
        <v>178.5</v>
      </c>
      <c r="I56" s="309">
        <v>186.6</v>
      </c>
      <c r="J56" s="309">
        <v>208</v>
      </c>
      <c r="K56" s="309">
        <v>204.3</v>
      </c>
      <c r="L56" s="309">
        <v>187.6</v>
      </c>
      <c r="M56" s="309">
        <v>180</v>
      </c>
      <c r="N56" s="309">
        <v>177.1</v>
      </c>
      <c r="O56" s="309">
        <v>163.30000000000001</v>
      </c>
      <c r="P56" s="310">
        <v>190.8</v>
      </c>
      <c r="R56" s="308">
        <v>2008</v>
      </c>
      <c r="S56" s="309">
        <v>227.113</v>
      </c>
      <c r="T56" s="309">
        <v>229.16399999999999</v>
      </c>
      <c r="U56" s="309">
        <v>233.25399999999999</v>
      </c>
      <c r="V56" s="309">
        <v>235.03299999999999</v>
      </c>
      <c r="W56" s="309">
        <v>243.94399999999999</v>
      </c>
      <c r="X56" s="309">
        <v>262.02199999999999</v>
      </c>
      <c r="Y56" s="309">
        <v>271.63499999999999</v>
      </c>
      <c r="Z56" s="309">
        <v>262.82900000000001</v>
      </c>
      <c r="AA56" s="309">
        <v>260.09399999999999</v>
      </c>
      <c r="AB56" s="309">
        <v>237.98599999999999</v>
      </c>
      <c r="AC56" s="309">
        <v>194.48099999999999</v>
      </c>
      <c r="AD56" s="309">
        <v>176.84</v>
      </c>
      <c r="AE56" s="309"/>
      <c r="AF56" s="309"/>
      <c r="AG56" s="310"/>
    </row>
    <row r="57" spans="1:33" ht="13.8" thickBot="1">
      <c r="A57" s="311">
        <v>2006</v>
      </c>
      <c r="B57" s="309">
        <v>189.5</v>
      </c>
      <c r="C57" s="309">
        <v>186.4</v>
      </c>
      <c r="D57" s="309">
        <v>188.6</v>
      </c>
      <c r="E57" s="309">
        <v>201.4</v>
      </c>
      <c r="F57" s="309">
        <v>209.3</v>
      </c>
      <c r="G57" s="309">
        <v>211.3</v>
      </c>
      <c r="H57" s="309">
        <v>215.1</v>
      </c>
      <c r="I57" s="309">
        <v>214.7</v>
      </c>
      <c r="J57" s="309">
        <v>199.1</v>
      </c>
      <c r="K57" s="309">
        <v>181.3</v>
      </c>
      <c r="L57" s="309">
        <v>180.4</v>
      </c>
      <c r="M57" s="309">
        <v>185.2</v>
      </c>
      <c r="N57" s="309">
        <v>196.9</v>
      </c>
      <c r="O57" s="309">
        <v>197.8</v>
      </c>
      <c r="P57" s="310">
        <v>196</v>
      </c>
      <c r="R57" s="553">
        <v>2009</v>
      </c>
      <c r="S57" s="549">
        <v>179.11699999999999</v>
      </c>
      <c r="T57" s="549">
        <v>185.08500000000001</v>
      </c>
      <c r="U57" s="549">
        <v>179.108</v>
      </c>
      <c r="V57" s="549">
        <v>177.434</v>
      </c>
      <c r="W57" s="549">
        <v>179.49</v>
      </c>
      <c r="X57" s="549">
        <v>196.15899999999999</v>
      </c>
      <c r="Y57" s="549">
        <v>195.45500000000001</v>
      </c>
      <c r="Z57" s="549">
        <v>201.66200000000001</v>
      </c>
      <c r="AA57" s="549">
        <v>202.92699999999999</v>
      </c>
      <c r="AB57" s="549">
        <v>204.584</v>
      </c>
      <c r="AC57" s="549">
        <v>209.83199999999999</v>
      </c>
      <c r="AD57" s="549">
        <v>210.20400000000001</v>
      </c>
      <c r="AE57" s="549"/>
      <c r="AF57" s="549"/>
      <c r="AG57" s="554"/>
    </row>
    <row r="58" spans="1:33" ht="13.8" thickBot="1">
      <c r="A58" s="308">
        <v>2007</v>
      </c>
      <c r="B58" s="309">
        <v>183.56700000000001</v>
      </c>
      <c r="C58" s="309">
        <v>184.45099999999999</v>
      </c>
      <c r="D58" s="309">
        <v>196.929</v>
      </c>
      <c r="E58" s="309">
        <v>207.26499999999999</v>
      </c>
      <c r="F58" s="309">
        <v>219.071</v>
      </c>
      <c r="G58" s="309">
        <v>221.08799999999999</v>
      </c>
      <c r="H58" s="309">
        <v>217.274</v>
      </c>
      <c r="I58" s="309">
        <v>209.29400000000001</v>
      </c>
      <c r="J58" s="309">
        <v>209.637</v>
      </c>
      <c r="K58" s="309">
        <v>207.58799999999999</v>
      </c>
      <c r="L58" s="309">
        <v>219.00899999999999</v>
      </c>
      <c r="M58" s="309">
        <v>217.506</v>
      </c>
      <c r="N58" s="309">
        <v>207.72300000000001</v>
      </c>
      <c r="O58" s="309">
        <v>202.06200000000001</v>
      </c>
      <c r="P58" s="310">
        <v>213.38499999999999</v>
      </c>
      <c r="R58" s="308">
        <v>2010</v>
      </c>
      <c r="S58" s="309">
        <v>213.66900000000001</v>
      </c>
      <c r="T58" s="309">
        <v>211.69499999999999</v>
      </c>
      <c r="U58" s="309">
        <v>210.62200000000001</v>
      </c>
      <c r="V58" s="309">
        <v>208.755</v>
      </c>
      <c r="W58" s="309">
        <v>204.875</v>
      </c>
      <c r="X58" s="309">
        <v>202.893</v>
      </c>
      <c r="Y58" s="309">
        <v>206.35599999999999</v>
      </c>
      <c r="Z58" s="309">
        <v>209.33099999999999</v>
      </c>
      <c r="AA58" s="309">
        <v>210.691</v>
      </c>
      <c r="AB58" s="309">
        <v>216.678</v>
      </c>
      <c r="AC58" s="309">
        <v>218.36</v>
      </c>
      <c r="AD58" s="309">
        <v>227.333</v>
      </c>
      <c r="AE58" s="309"/>
      <c r="AF58" s="309"/>
      <c r="AG58" s="310"/>
    </row>
    <row r="59" spans="1:33" ht="13.8" thickBot="1">
      <c r="A59" s="311">
        <v>2008</v>
      </c>
      <c r="B59" s="309">
        <v>219.465</v>
      </c>
      <c r="C59" s="309">
        <v>219.31100000000001</v>
      </c>
      <c r="D59" s="309">
        <v>230.505</v>
      </c>
      <c r="E59" s="309">
        <v>240.19399999999999</v>
      </c>
      <c r="F59" s="309">
        <v>257.10599999999999</v>
      </c>
      <c r="G59" s="309">
        <v>275.62099999999998</v>
      </c>
      <c r="H59" s="309">
        <v>280.83300000000003</v>
      </c>
      <c r="I59" s="309">
        <v>266.28300000000002</v>
      </c>
      <c r="J59" s="309">
        <v>258.02</v>
      </c>
      <c r="K59" s="309">
        <v>231.56100000000001</v>
      </c>
      <c r="L59" s="309">
        <v>189.93799999999999</v>
      </c>
      <c r="M59" s="309">
        <v>171.15799999999999</v>
      </c>
      <c r="N59" s="309">
        <v>236.666</v>
      </c>
      <c r="O59" s="309">
        <v>240.36699999999999</v>
      </c>
      <c r="P59" s="310">
        <v>232.965</v>
      </c>
      <c r="R59" s="553">
        <v>2011</v>
      </c>
      <c r="S59" s="549">
        <v>229.096</v>
      </c>
      <c r="T59" s="549">
        <v>234.42699999999999</v>
      </c>
      <c r="U59" s="549">
        <v>242.18</v>
      </c>
      <c r="V59" s="549">
        <v>246.61099999999999</v>
      </c>
      <c r="W59" s="549">
        <v>247.285</v>
      </c>
      <c r="X59" s="549">
        <v>244.244</v>
      </c>
      <c r="Y59" s="549">
        <v>246.376</v>
      </c>
      <c r="Z59" s="549">
        <v>248.28399999999999</v>
      </c>
      <c r="AA59" s="549">
        <v>251.899</v>
      </c>
      <c r="AB59" s="549">
        <v>247.363</v>
      </c>
      <c r="AC59" s="549">
        <v>246.041</v>
      </c>
      <c r="AD59" s="549">
        <v>242.74600000000001</v>
      </c>
      <c r="AE59" s="549"/>
      <c r="AF59" s="549"/>
      <c r="AG59" s="554"/>
    </row>
    <row r="60" spans="1:33" ht="13.8" thickBot="1">
      <c r="A60" s="308">
        <v>2009</v>
      </c>
      <c r="B60" s="309">
        <v>174.62200000000001</v>
      </c>
      <c r="C60" s="309">
        <v>178.74100000000001</v>
      </c>
      <c r="D60" s="309">
        <v>177.45400000000001</v>
      </c>
      <c r="E60" s="309">
        <v>179.70400000000001</v>
      </c>
      <c r="F60" s="309">
        <v>186.90899999999999</v>
      </c>
      <c r="G60" s="309">
        <v>205.40799999999999</v>
      </c>
      <c r="H60" s="309">
        <v>201.93799999999999</v>
      </c>
      <c r="I60" s="309">
        <v>204.971</v>
      </c>
      <c r="J60" s="309">
        <v>202.24299999999999</v>
      </c>
      <c r="K60" s="309">
        <v>199.19800000000001</v>
      </c>
      <c r="L60" s="309">
        <v>204.02600000000001</v>
      </c>
      <c r="M60" s="309">
        <v>202.30099999999999</v>
      </c>
      <c r="N60" s="309">
        <v>193.126</v>
      </c>
      <c r="O60" s="309">
        <v>183.80600000000001</v>
      </c>
      <c r="P60" s="310">
        <v>202.446</v>
      </c>
      <c r="R60" s="308">
        <v>2012</v>
      </c>
      <c r="S60" s="309">
        <v>243.12100000000001</v>
      </c>
      <c r="T60" s="309">
        <v>250.86799999999999</v>
      </c>
      <c r="U60" s="309">
        <v>253.16499999999999</v>
      </c>
      <c r="V60" s="555"/>
      <c r="W60" s="555"/>
      <c r="X60" s="555"/>
      <c r="Y60" s="555"/>
      <c r="Z60" s="555"/>
      <c r="AA60" s="555"/>
      <c r="AB60" s="555"/>
      <c r="AC60" s="555"/>
      <c r="AD60" s="555"/>
      <c r="AE60" s="555"/>
      <c r="AF60" s="555"/>
      <c r="AG60" s="556"/>
    </row>
    <row r="61" spans="1:33" ht="13.8" thickBot="1">
      <c r="A61" s="311">
        <v>2010</v>
      </c>
      <c r="B61" s="309">
        <v>208.02600000000001</v>
      </c>
      <c r="C61" s="309">
        <v>204.45500000000001</v>
      </c>
      <c r="D61" s="309">
        <v>209.999</v>
      </c>
      <c r="E61" s="309">
        <v>212.977</v>
      </c>
      <c r="F61" s="309">
        <v>214.363</v>
      </c>
      <c r="G61" s="309">
        <v>211.66</v>
      </c>
      <c r="H61" s="309">
        <v>212.37200000000001</v>
      </c>
      <c r="I61" s="309">
        <v>212.66300000000001</v>
      </c>
      <c r="J61" s="309">
        <v>210.00299999999999</v>
      </c>
      <c r="K61" s="309">
        <v>210.947</v>
      </c>
      <c r="L61" s="309">
        <v>211.97</v>
      </c>
      <c r="M61" s="309">
        <v>217.953</v>
      </c>
      <c r="N61" s="309">
        <v>211.44900000000001</v>
      </c>
      <c r="O61" s="309">
        <v>210.24700000000001</v>
      </c>
      <c r="P61" s="310">
        <v>212.65100000000001</v>
      </c>
      <c r="R61" s="300"/>
    </row>
    <row r="62" spans="1:33" ht="13.8" thickBot="1">
      <c r="A62" s="308">
        <v>2011</v>
      </c>
      <c r="B62" s="309">
        <v>223.26599999999999</v>
      </c>
      <c r="C62" s="309">
        <v>226.86</v>
      </c>
      <c r="D62" s="309">
        <v>242.51599999999999</v>
      </c>
      <c r="E62" s="309">
        <v>253.495</v>
      </c>
      <c r="F62" s="309">
        <v>260.37599999999998</v>
      </c>
      <c r="G62" s="309">
        <v>254.17</v>
      </c>
      <c r="H62" s="309">
        <v>252.661</v>
      </c>
      <c r="I62" s="309">
        <v>251.70599999999999</v>
      </c>
      <c r="J62" s="309">
        <v>250.48</v>
      </c>
      <c r="K62" s="309">
        <v>240.90199999999999</v>
      </c>
      <c r="L62" s="309">
        <v>238.17699999999999</v>
      </c>
      <c r="M62" s="309">
        <v>232.3</v>
      </c>
      <c r="N62" s="309">
        <v>243.90899999999999</v>
      </c>
      <c r="O62" s="309">
        <v>243.447</v>
      </c>
      <c r="P62" s="310">
        <v>244.37100000000001</v>
      </c>
    </row>
    <row r="63" spans="1:33">
      <c r="R63" s="789" t="s">
        <v>411</v>
      </c>
      <c r="S63" s="789"/>
      <c r="T63" s="789"/>
      <c r="U63" s="789"/>
      <c r="V63" s="789"/>
      <c r="W63" s="789"/>
    </row>
    <row r="64" spans="1:33" ht="26.4">
      <c r="R64" s="610" t="s">
        <v>379</v>
      </c>
      <c r="S64" s="801" t="s">
        <v>412</v>
      </c>
      <c r="T64" s="789"/>
      <c r="U64" s="789"/>
      <c r="V64" s="789"/>
      <c r="W64" s="789"/>
    </row>
    <row r="65" spans="18:31">
      <c r="R65" s="788" t="s">
        <v>167</v>
      </c>
      <c r="S65" s="789"/>
      <c r="T65" s="789"/>
      <c r="U65" s="789"/>
      <c r="V65" s="789"/>
      <c r="W65" s="789"/>
    </row>
    <row r="66" spans="18:31">
      <c r="R66" s="610" t="s">
        <v>383</v>
      </c>
      <c r="S66" s="801" t="s">
        <v>413</v>
      </c>
      <c r="T66" s="789"/>
      <c r="U66" s="789"/>
      <c r="V66" s="789"/>
      <c r="W66" s="789"/>
    </row>
    <row r="67" spans="18:31">
      <c r="R67" s="610" t="s">
        <v>414</v>
      </c>
      <c r="S67" s="799" t="s">
        <v>415</v>
      </c>
      <c r="T67" s="800"/>
      <c r="U67" s="800"/>
      <c r="V67" s="800"/>
      <c r="W67" s="800"/>
    </row>
    <row r="68" spans="18:31" ht="26.4">
      <c r="R68" s="610" t="s">
        <v>416</v>
      </c>
      <c r="S68" s="801" t="s">
        <v>417</v>
      </c>
      <c r="T68" s="789"/>
      <c r="U68" s="789"/>
      <c r="V68" s="789"/>
      <c r="W68" s="789"/>
    </row>
    <row r="69" spans="18:31">
      <c r="R69" s="610" t="s">
        <v>390</v>
      </c>
      <c r="S69" s="808" t="s">
        <v>391</v>
      </c>
      <c r="T69" s="789"/>
      <c r="U69" s="789"/>
      <c r="V69" s="789"/>
      <c r="W69" s="789"/>
    </row>
    <row r="70" spans="18:31">
      <c r="R70" s="610"/>
      <c r="S70" s="638"/>
    </row>
    <row r="71" spans="18:31">
      <c r="R71" s="610"/>
      <c r="S71" s="638"/>
    </row>
    <row r="72" spans="18:31">
      <c r="R72" s="610"/>
      <c r="S72" s="638"/>
    </row>
    <row r="73" spans="18:31" ht="13.8" thickBot="1">
      <c r="R73" s="610"/>
      <c r="S73" s="810" t="s">
        <v>418</v>
      </c>
      <c r="T73" s="810"/>
      <c r="U73" s="810"/>
      <c r="V73" s="810"/>
      <c r="W73" s="810"/>
      <c r="X73" s="810"/>
      <c r="Y73" s="810"/>
      <c r="Z73" s="810"/>
      <c r="AA73" s="810"/>
      <c r="AB73" s="810"/>
      <c r="AC73" s="810"/>
      <c r="AD73" s="810"/>
      <c r="AE73" s="810"/>
    </row>
    <row r="75" spans="18:31">
      <c r="R75" s="639" t="s">
        <v>170</v>
      </c>
      <c r="S75" s="639" t="s">
        <v>24</v>
      </c>
      <c r="T75" s="639" t="s">
        <v>25</v>
      </c>
      <c r="U75" s="639" t="s">
        <v>26</v>
      </c>
      <c r="V75" s="639" t="s">
        <v>27</v>
      </c>
      <c r="W75" s="639" t="s">
        <v>4</v>
      </c>
      <c r="X75" s="639" t="s">
        <v>28</v>
      </c>
      <c r="Y75" s="639" t="s">
        <v>29</v>
      </c>
      <c r="Z75" s="639" t="s">
        <v>30</v>
      </c>
      <c r="AA75" s="639" t="s">
        <v>31</v>
      </c>
      <c r="AB75" s="639" t="s">
        <v>32</v>
      </c>
      <c r="AC75" s="639" t="s">
        <v>33</v>
      </c>
      <c r="AD75" s="639" t="s">
        <v>34</v>
      </c>
      <c r="AE75" s="639" t="s">
        <v>55</v>
      </c>
    </row>
    <row r="76" spans="18:31">
      <c r="R76" s="640">
        <v>2002</v>
      </c>
      <c r="S76" s="641">
        <v>114.2</v>
      </c>
      <c r="T76" s="641">
        <v>113.5</v>
      </c>
      <c r="U76" s="641">
        <v>117.6</v>
      </c>
      <c r="V76" s="641">
        <v>121.5</v>
      </c>
      <c r="W76" s="641">
        <v>121.9</v>
      </c>
      <c r="X76" s="641">
        <v>121.6</v>
      </c>
      <c r="Y76" s="641">
        <v>122.4</v>
      </c>
      <c r="Z76" s="641">
        <v>123.1</v>
      </c>
      <c r="AA76" s="641">
        <v>123.7</v>
      </c>
      <c r="AB76" s="641">
        <v>126.9</v>
      </c>
      <c r="AC76" s="641">
        <v>126.7</v>
      </c>
      <c r="AD76" s="641">
        <v>127.1</v>
      </c>
      <c r="AE76" s="642">
        <f>AVERAGE(S76:AD76)</f>
        <v>121.68333333333334</v>
      </c>
    </row>
    <row r="77" spans="18:31">
      <c r="R77" s="640">
        <v>2003</v>
      </c>
      <c r="S77" s="641">
        <v>133.5</v>
      </c>
      <c r="T77" s="641">
        <v>140.80000000000001</v>
      </c>
      <c r="U77" s="641">
        <v>143.9</v>
      </c>
      <c r="V77" s="641">
        <v>136.5</v>
      </c>
      <c r="W77" s="641">
        <v>129.4</v>
      </c>
      <c r="X77" s="641">
        <v>129.80000000000001</v>
      </c>
      <c r="Y77" s="641">
        <v>132.19999999999999</v>
      </c>
      <c r="Z77" s="641">
        <v>137.80000000000001</v>
      </c>
      <c r="AA77" s="641">
        <v>142.9</v>
      </c>
      <c r="AB77" s="641">
        <v>137.80000000000001</v>
      </c>
      <c r="AC77" s="641">
        <v>136.9</v>
      </c>
      <c r="AD77" s="641">
        <v>138.80000000000001</v>
      </c>
      <c r="AE77" s="642">
        <f t="shared" ref="AE77:AE86" si="0">AVERAGE(S77:AD77)</f>
        <v>136.69166666666669</v>
      </c>
    </row>
    <row r="78" spans="18:31">
      <c r="R78" s="640">
        <v>2004</v>
      </c>
      <c r="S78" s="641">
        <v>143.9</v>
      </c>
      <c r="T78" s="641">
        <v>145.80000000000001</v>
      </c>
      <c r="U78" s="641">
        <v>145.1</v>
      </c>
      <c r="V78" s="641">
        <v>143.4</v>
      </c>
      <c r="W78" s="641">
        <v>147.6</v>
      </c>
      <c r="X78" s="641">
        <v>151.5</v>
      </c>
      <c r="Y78" s="641">
        <v>151.1</v>
      </c>
      <c r="Z78" s="641">
        <v>151.5</v>
      </c>
      <c r="AA78" s="641">
        <v>152.9</v>
      </c>
      <c r="AB78" s="641">
        <v>158.6</v>
      </c>
      <c r="AC78" s="641">
        <v>163.80000000000001</v>
      </c>
      <c r="AD78" s="641">
        <v>162.30000000000001</v>
      </c>
      <c r="AE78" s="642">
        <f t="shared" si="0"/>
        <v>151.45833333333334</v>
      </c>
    </row>
    <row r="79" spans="18:31">
      <c r="R79" s="640">
        <v>2005</v>
      </c>
      <c r="S79" s="641">
        <v>157.19999999999999</v>
      </c>
      <c r="T79" s="641">
        <v>161.80000000000001</v>
      </c>
      <c r="U79" s="641">
        <v>163.5</v>
      </c>
      <c r="V79" s="641">
        <v>166.7</v>
      </c>
      <c r="W79" s="641">
        <v>163.30000000000001</v>
      </c>
      <c r="X79" s="641">
        <v>163.69999999999999</v>
      </c>
      <c r="Y79" s="641">
        <v>172.8</v>
      </c>
      <c r="Z79" s="641">
        <v>183.5</v>
      </c>
      <c r="AA79" s="641">
        <v>208.2</v>
      </c>
      <c r="AB79" s="641">
        <v>205.9</v>
      </c>
      <c r="AC79" s="641">
        <v>191</v>
      </c>
      <c r="AD79" s="641">
        <v>187.6</v>
      </c>
      <c r="AE79" s="642">
        <f t="shared" si="0"/>
        <v>177.10000000000002</v>
      </c>
    </row>
    <row r="80" spans="18:31">
      <c r="R80" s="640">
        <v>2006</v>
      </c>
      <c r="S80" s="641">
        <v>196.6</v>
      </c>
      <c r="T80" s="641">
        <v>194.1</v>
      </c>
      <c r="U80" s="641">
        <v>192</v>
      </c>
      <c r="V80" s="641">
        <v>198.5</v>
      </c>
      <c r="W80" s="641">
        <v>199.8</v>
      </c>
      <c r="X80" s="641">
        <v>199.8</v>
      </c>
      <c r="Y80" s="641">
        <v>207.9</v>
      </c>
      <c r="Z80" s="641">
        <v>211.9</v>
      </c>
      <c r="AA80" s="641">
        <v>198.1</v>
      </c>
      <c r="AB80" s="641">
        <v>184.1</v>
      </c>
      <c r="AC80" s="641">
        <v>184.1</v>
      </c>
      <c r="AD80" s="641">
        <v>192.7</v>
      </c>
      <c r="AE80" s="642">
        <f t="shared" si="0"/>
        <v>196.63333333333333</v>
      </c>
    </row>
    <row r="81" spans="1:31">
      <c r="R81" s="640">
        <v>2007</v>
      </c>
      <c r="S81" s="641">
        <v>190.28100000000001</v>
      </c>
      <c r="T81" s="641">
        <v>192.31</v>
      </c>
      <c r="U81" s="641">
        <v>200.20599999999999</v>
      </c>
      <c r="V81" s="641">
        <v>203.30699999999999</v>
      </c>
      <c r="W81" s="641">
        <v>208.63499999999999</v>
      </c>
      <c r="X81" s="641">
        <v>209.79900000000001</v>
      </c>
      <c r="Y81" s="641">
        <v>209.63900000000001</v>
      </c>
      <c r="Z81" s="641">
        <v>206.41200000000001</v>
      </c>
      <c r="AA81" s="641">
        <v>210.74199999999999</v>
      </c>
      <c r="AB81" s="641">
        <v>212.386</v>
      </c>
      <c r="AC81" s="641">
        <v>223.81399999999999</v>
      </c>
      <c r="AD81" s="641">
        <v>225.649</v>
      </c>
      <c r="AE81" s="642">
        <f t="shared" si="0"/>
        <v>207.76499999999999</v>
      </c>
    </row>
    <row r="82" spans="1:31">
      <c r="R82" s="640">
        <v>2008</v>
      </c>
      <c r="S82" s="641">
        <v>227.113</v>
      </c>
      <c r="T82" s="641">
        <v>229.16399999999999</v>
      </c>
      <c r="U82" s="641">
        <v>233.25399999999999</v>
      </c>
      <c r="V82" s="641">
        <v>235.03299999999999</v>
      </c>
      <c r="W82" s="641">
        <v>243.94399999999999</v>
      </c>
      <c r="X82" s="641">
        <v>262.02199999999999</v>
      </c>
      <c r="Y82" s="641">
        <v>271.63499999999999</v>
      </c>
      <c r="Z82" s="641">
        <v>262.82900000000001</v>
      </c>
      <c r="AA82" s="641">
        <v>260.09399999999999</v>
      </c>
      <c r="AB82" s="641">
        <v>237.98599999999999</v>
      </c>
      <c r="AC82" s="641">
        <v>194.48099999999999</v>
      </c>
      <c r="AD82" s="641">
        <v>176.84</v>
      </c>
      <c r="AE82" s="642">
        <f t="shared" si="0"/>
        <v>236.19958333333329</v>
      </c>
    </row>
    <row r="83" spans="1:31">
      <c r="R83" s="640">
        <v>2009</v>
      </c>
      <c r="S83" s="641">
        <v>179.11699999999999</v>
      </c>
      <c r="T83" s="641">
        <v>185.08500000000001</v>
      </c>
      <c r="U83" s="641">
        <v>179.108</v>
      </c>
      <c r="V83" s="641">
        <v>177.434</v>
      </c>
      <c r="W83" s="641">
        <v>179.49</v>
      </c>
      <c r="X83" s="641">
        <v>196.15899999999999</v>
      </c>
      <c r="Y83" s="641">
        <v>195.45500000000001</v>
      </c>
      <c r="Z83" s="641">
        <v>201.66200000000001</v>
      </c>
      <c r="AA83" s="641">
        <v>202.92699999999999</v>
      </c>
      <c r="AB83" s="641">
        <v>204.584</v>
      </c>
      <c r="AC83" s="641">
        <v>209.83199999999999</v>
      </c>
      <c r="AD83" s="641">
        <v>210.20400000000001</v>
      </c>
      <c r="AE83" s="642">
        <f t="shared" si="0"/>
        <v>193.42141666666669</v>
      </c>
    </row>
    <row r="84" spans="1:31">
      <c r="R84" s="640">
        <v>2010</v>
      </c>
      <c r="S84" s="641">
        <v>213.66900000000001</v>
      </c>
      <c r="T84" s="641">
        <v>211.69499999999999</v>
      </c>
      <c r="U84" s="641">
        <v>210.62200000000001</v>
      </c>
      <c r="V84" s="641">
        <v>208.755</v>
      </c>
      <c r="W84" s="641">
        <v>204.875</v>
      </c>
      <c r="X84" s="641">
        <v>202.893</v>
      </c>
      <c r="Y84" s="641">
        <v>206.35599999999999</v>
      </c>
      <c r="Z84" s="641">
        <v>209.33099999999999</v>
      </c>
      <c r="AA84" s="641">
        <v>210.691</v>
      </c>
      <c r="AB84" s="641">
        <v>216.678</v>
      </c>
      <c r="AC84" s="641">
        <v>218.36</v>
      </c>
      <c r="AD84" s="641">
        <v>227.333</v>
      </c>
      <c r="AE84" s="642">
        <f t="shared" si="0"/>
        <v>211.77150000000003</v>
      </c>
    </row>
    <row r="85" spans="1:31">
      <c r="R85" s="640">
        <v>2011</v>
      </c>
      <c r="S85" s="641">
        <v>229.096</v>
      </c>
      <c r="T85" s="641">
        <v>234.42699999999999</v>
      </c>
      <c r="U85" s="641">
        <v>242.18</v>
      </c>
      <c r="V85" s="641">
        <v>246.61099999999999</v>
      </c>
      <c r="W85" s="641">
        <v>247.285</v>
      </c>
      <c r="X85" s="641">
        <v>244.244</v>
      </c>
      <c r="Y85" s="641">
        <v>246.376</v>
      </c>
      <c r="Z85" s="641">
        <v>248.28399999999999</v>
      </c>
      <c r="AA85" s="641">
        <v>251.899</v>
      </c>
      <c r="AB85" s="641">
        <v>247.363</v>
      </c>
      <c r="AC85" s="641">
        <v>246.041</v>
      </c>
      <c r="AD85" s="641">
        <v>242.74600000000001</v>
      </c>
      <c r="AE85" s="642">
        <f t="shared" si="0"/>
        <v>243.87933333333331</v>
      </c>
    </row>
    <row r="86" spans="1:31">
      <c r="R86" s="640">
        <v>2012</v>
      </c>
      <c r="S86" s="641">
        <v>243.12100000000001</v>
      </c>
      <c r="T86" s="641">
        <v>250.86799999999999</v>
      </c>
      <c r="U86" s="641">
        <v>253.16499999999999</v>
      </c>
      <c r="V86" s="641">
        <v>248.82599999999999</v>
      </c>
      <c r="W86" s="641"/>
      <c r="X86" s="641"/>
      <c r="Y86" s="641"/>
      <c r="Z86" s="641"/>
      <c r="AA86" s="641"/>
      <c r="AB86" s="641"/>
      <c r="AC86" s="641"/>
      <c r="AD86" s="641"/>
      <c r="AE86" s="642">
        <f t="shared" si="0"/>
        <v>248.995</v>
      </c>
    </row>
    <row r="89" spans="1:31" ht="26.4">
      <c r="A89" s="610" t="s">
        <v>379</v>
      </c>
      <c r="B89" s="801" t="s">
        <v>412</v>
      </c>
      <c r="C89" s="789"/>
      <c r="D89" s="789"/>
      <c r="E89" s="789"/>
      <c r="F89" s="789"/>
      <c r="G89" s="45" t="s">
        <v>434</v>
      </c>
    </row>
    <row r="90" spans="1:31">
      <c r="A90" s="799" t="s">
        <v>167</v>
      </c>
      <c r="B90" s="809"/>
      <c r="C90" s="809"/>
      <c r="D90" s="809"/>
      <c r="E90" s="809"/>
      <c r="F90" s="809"/>
    </row>
    <row r="91" spans="1:31">
      <c r="A91" s="610" t="s">
        <v>383</v>
      </c>
      <c r="B91" s="801" t="s">
        <v>413</v>
      </c>
      <c r="C91" s="789"/>
      <c r="D91" s="789"/>
      <c r="E91" s="789"/>
      <c r="F91" s="789"/>
    </row>
    <row r="92" spans="1:31">
      <c r="A92" s="610" t="s">
        <v>414</v>
      </c>
      <c r="B92" s="799" t="s">
        <v>415</v>
      </c>
      <c r="C92" s="800"/>
      <c r="D92" s="800"/>
      <c r="E92" s="800"/>
      <c r="F92" s="800"/>
    </row>
    <row r="93" spans="1:31" ht="26.4">
      <c r="A93" s="610" t="s">
        <v>416</v>
      </c>
      <c r="B93" s="801" t="s">
        <v>417</v>
      </c>
      <c r="C93" s="789"/>
      <c r="D93" s="789"/>
      <c r="E93" s="789"/>
      <c r="F93" s="789"/>
    </row>
    <row r="94" spans="1:31">
      <c r="A94" s="610" t="s">
        <v>390</v>
      </c>
      <c r="B94" s="808" t="s">
        <v>391</v>
      </c>
      <c r="C94" s="789"/>
      <c r="D94" s="789"/>
      <c r="E94" s="789"/>
      <c r="F94" s="789"/>
    </row>
    <row r="96" spans="1:31" ht="13.8" thickBot="1">
      <c r="A96" s="611" t="s">
        <v>170</v>
      </c>
      <c r="B96" s="611" t="s">
        <v>24</v>
      </c>
      <c r="C96" s="611" t="s">
        <v>25</v>
      </c>
      <c r="D96" s="611" t="s">
        <v>26</v>
      </c>
      <c r="E96" s="611" t="s">
        <v>27</v>
      </c>
      <c r="F96" s="611" t="s">
        <v>4</v>
      </c>
      <c r="G96" s="611" t="s">
        <v>28</v>
      </c>
      <c r="H96" s="611" t="s">
        <v>29</v>
      </c>
      <c r="I96" s="611" t="s">
        <v>30</v>
      </c>
      <c r="J96" s="611" t="s">
        <v>31</v>
      </c>
      <c r="K96" s="611" t="s">
        <v>32</v>
      </c>
      <c r="L96" s="611" t="s">
        <v>33</v>
      </c>
      <c r="M96" s="611" t="s">
        <v>34</v>
      </c>
      <c r="N96" s="611" t="s">
        <v>55</v>
      </c>
      <c r="O96" s="611" t="s">
        <v>171</v>
      </c>
      <c r="P96" s="611" t="s">
        <v>172</v>
      </c>
    </row>
    <row r="97" spans="1:13" ht="13.8" thickTop="1">
      <c r="A97" s="612">
        <v>2002</v>
      </c>
      <c r="B97" s="604">
        <v>114.2</v>
      </c>
      <c r="C97" s="604">
        <v>113.5</v>
      </c>
      <c r="D97" s="604">
        <v>117.6</v>
      </c>
      <c r="E97" s="604">
        <v>121.5</v>
      </c>
      <c r="F97" s="604">
        <v>121.9</v>
      </c>
      <c r="G97" s="604">
        <v>121.6</v>
      </c>
      <c r="H97" s="604">
        <v>122.4</v>
      </c>
      <c r="I97" s="604">
        <v>123.1</v>
      </c>
      <c r="J97" s="604">
        <v>123.7</v>
      </c>
      <c r="K97" s="604">
        <v>126.9</v>
      </c>
      <c r="L97" s="604">
        <v>126.7</v>
      </c>
      <c r="M97" s="604">
        <v>127.1</v>
      </c>
    </row>
    <row r="98" spans="1:13">
      <c r="A98" s="612">
        <v>2003</v>
      </c>
      <c r="B98" s="604">
        <v>133.5</v>
      </c>
      <c r="C98" s="604">
        <v>140.80000000000001</v>
      </c>
      <c r="D98" s="604">
        <v>143.9</v>
      </c>
      <c r="E98" s="604">
        <v>136.5</v>
      </c>
      <c r="F98" s="604">
        <v>129.4</v>
      </c>
      <c r="G98" s="604">
        <v>129.80000000000001</v>
      </c>
      <c r="H98" s="604">
        <v>132.19999999999999</v>
      </c>
      <c r="I98" s="604">
        <v>137.80000000000001</v>
      </c>
      <c r="J98" s="604">
        <v>142.9</v>
      </c>
      <c r="K98" s="604">
        <v>137.80000000000001</v>
      </c>
      <c r="L98" s="604">
        <v>136.9</v>
      </c>
      <c r="M98" s="604">
        <v>138.80000000000001</v>
      </c>
    </row>
    <row r="99" spans="1:13">
      <c r="A99" s="612">
        <v>2004</v>
      </c>
      <c r="B99" s="604">
        <v>143.9</v>
      </c>
      <c r="C99" s="604">
        <v>145.80000000000001</v>
      </c>
      <c r="D99" s="604">
        <v>145.1</v>
      </c>
      <c r="E99" s="604">
        <v>143.4</v>
      </c>
      <c r="F99" s="604">
        <v>147.6</v>
      </c>
      <c r="G99" s="604">
        <v>151.5</v>
      </c>
      <c r="H99" s="604">
        <v>151.1</v>
      </c>
      <c r="I99" s="604">
        <v>151.5</v>
      </c>
      <c r="J99" s="604">
        <v>152.9</v>
      </c>
      <c r="K99" s="604">
        <v>158.6</v>
      </c>
      <c r="L99" s="604">
        <v>163.80000000000001</v>
      </c>
      <c r="M99" s="604">
        <v>162.30000000000001</v>
      </c>
    </row>
    <row r="100" spans="1:13">
      <c r="A100" s="612">
        <v>2005</v>
      </c>
      <c r="B100" s="604">
        <v>157.19999999999999</v>
      </c>
      <c r="C100" s="604">
        <v>161.80000000000001</v>
      </c>
      <c r="D100" s="604">
        <v>163.5</v>
      </c>
      <c r="E100" s="604">
        <v>166.7</v>
      </c>
      <c r="F100" s="604">
        <v>163.30000000000001</v>
      </c>
      <c r="G100" s="604">
        <v>163.69999999999999</v>
      </c>
      <c r="H100" s="604">
        <v>172.8</v>
      </c>
      <c r="I100" s="604">
        <v>183.5</v>
      </c>
      <c r="J100" s="604">
        <v>208.2</v>
      </c>
      <c r="K100" s="604">
        <v>205.9</v>
      </c>
      <c r="L100" s="604">
        <v>191</v>
      </c>
      <c r="M100" s="604">
        <v>187.6</v>
      </c>
    </row>
    <row r="101" spans="1:13">
      <c r="A101" s="612">
        <v>2006</v>
      </c>
      <c r="B101" s="604">
        <v>196.6</v>
      </c>
      <c r="C101" s="604">
        <v>194.1</v>
      </c>
      <c r="D101" s="604">
        <v>192</v>
      </c>
      <c r="E101" s="604">
        <v>198.5</v>
      </c>
      <c r="F101" s="604">
        <v>199.8</v>
      </c>
      <c r="G101" s="604">
        <v>199.8</v>
      </c>
      <c r="H101" s="604">
        <v>207.9</v>
      </c>
      <c r="I101" s="604">
        <v>211.9</v>
      </c>
      <c r="J101" s="604">
        <v>198.1</v>
      </c>
      <c r="K101" s="604">
        <v>184.1</v>
      </c>
      <c r="L101" s="604">
        <v>184.1</v>
      </c>
      <c r="M101" s="604">
        <v>192.7</v>
      </c>
    </row>
    <row r="102" spans="1:13">
      <c r="A102" s="612">
        <v>2007</v>
      </c>
      <c r="B102" s="702">
        <v>190.28100000000001</v>
      </c>
      <c r="C102" s="702">
        <v>192.31</v>
      </c>
      <c r="D102" s="702">
        <v>200.20599999999999</v>
      </c>
      <c r="E102" s="702">
        <v>203.30699999999999</v>
      </c>
      <c r="F102" s="702">
        <v>208.63499999999999</v>
      </c>
      <c r="G102" s="702">
        <v>209.79900000000001</v>
      </c>
      <c r="H102" s="702">
        <v>209.63900000000001</v>
      </c>
      <c r="I102" s="702">
        <v>206.41200000000001</v>
      </c>
      <c r="J102" s="702">
        <v>210.74199999999999</v>
      </c>
      <c r="K102" s="702">
        <v>212.386</v>
      </c>
      <c r="L102" s="702">
        <v>223.81399999999999</v>
      </c>
      <c r="M102" s="702">
        <v>225.649</v>
      </c>
    </row>
    <row r="103" spans="1:13">
      <c r="A103" s="612">
        <v>2008</v>
      </c>
      <c r="B103" s="702">
        <v>227.113</v>
      </c>
      <c r="C103" s="702">
        <v>229.16399999999999</v>
      </c>
      <c r="D103" s="702">
        <v>233.25399999999999</v>
      </c>
      <c r="E103" s="702">
        <v>235.03299999999999</v>
      </c>
      <c r="F103" s="702">
        <v>243.94399999999999</v>
      </c>
      <c r="G103" s="702">
        <v>262.02199999999999</v>
      </c>
      <c r="H103" s="702">
        <v>271.63499999999999</v>
      </c>
      <c r="I103" s="702">
        <v>262.82900000000001</v>
      </c>
      <c r="J103" s="702">
        <v>260.09399999999999</v>
      </c>
      <c r="K103" s="702">
        <v>237.98599999999999</v>
      </c>
      <c r="L103" s="702">
        <v>194.48099999999999</v>
      </c>
      <c r="M103" s="702">
        <v>176.84</v>
      </c>
    </row>
    <row r="104" spans="1:13">
      <c r="A104" s="612">
        <v>2009</v>
      </c>
      <c r="B104" s="702">
        <v>179.11699999999999</v>
      </c>
      <c r="C104" s="702">
        <v>185.08500000000001</v>
      </c>
      <c r="D104" s="702">
        <v>179.108</v>
      </c>
      <c r="E104" s="702">
        <v>177.434</v>
      </c>
      <c r="F104" s="702">
        <v>179.49</v>
      </c>
      <c r="G104" s="702">
        <v>196.15899999999999</v>
      </c>
      <c r="H104" s="702">
        <v>195.45500000000001</v>
      </c>
      <c r="I104" s="702">
        <v>201.66200000000001</v>
      </c>
      <c r="J104" s="702">
        <v>202.92699999999999</v>
      </c>
      <c r="K104" s="702">
        <v>204.584</v>
      </c>
      <c r="L104" s="702">
        <v>209.83199999999999</v>
      </c>
      <c r="M104" s="702">
        <v>210.20400000000001</v>
      </c>
    </row>
    <row r="105" spans="1:13">
      <c r="A105" s="612">
        <v>2010</v>
      </c>
      <c r="B105" s="702">
        <v>213.66900000000001</v>
      </c>
      <c r="C105" s="702">
        <v>211.69499999999999</v>
      </c>
      <c r="D105" s="702">
        <v>210.62200000000001</v>
      </c>
      <c r="E105" s="702">
        <v>208.755</v>
      </c>
      <c r="F105" s="702">
        <v>204.875</v>
      </c>
      <c r="G105" s="702">
        <v>202.893</v>
      </c>
      <c r="H105" s="702">
        <v>206.35599999999999</v>
      </c>
      <c r="I105" s="702">
        <v>209.33099999999999</v>
      </c>
      <c r="J105" s="702">
        <v>210.691</v>
      </c>
      <c r="K105" s="702">
        <v>216.678</v>
      </c>
      <c r="L105" s="702">
        <v>218.36</v>
      </c>
      <c r="M105" s="702">
        <v>227.333</v>
      </c>
    </row>
    <row r="106" spans="1:13">
      <c r="A106" s="612">
        <v>2011</v>
      </c>
      <c r="B106" s="702">
        <v>229.096</v>
      </c>
      <c r="C106" s="702">
        <v>234.42699999999999</v>
      </c>
      <c r="D106" s="702">
        <v>242.18</v>
      </c>
      <c r="E106" s="702">
        <v>246.61099999999999</v>
      </c>
      <c r="F106" s="702">
        <v>247.285</v>
      </c>
      <c r="G106" s="702">
        <v>244.244</v>
      </c>
      <c r="H106" s="702">
        <v>246.376</v>
      </c>
      <c r="I106" s="702">
        <v>248.28399999999999</v>
      </c>
      <c r="J106" s="702">
        <v>251.899</v>
      </c>
      <c r="K106" s="702">
        <v>247.363</v>
      </c>
      <c r="L106" s="702">
        <v>246.041</v>
      </c>
      <c r="M106" s="702">
        <v>242.74600000000001</v>
      </c>
    </row>
    <row r="107" spans="1:13">
      <c r="A107" s="612">
        <v>2012</v>
      </c>
      <c r="B107" s="702">
        <v>243.12100000000001</v>
      </c>
      <c r="C107" s="702">
        <v>250.86799999999999</v>
      </c>
      <c r="D107" s="702">
        <v>253.16499999999999</v>
      </c>
      <c r="E107" s="702">
        <v>248.82599999999999</v>
      </c>
      <c r="F107" s="702">
        <v>238.084</v>
      </c>
    </row>
  </sheetData>
  <mergeCells count="32">
    <mergeCell ref="S69:W69"/>
    <mergeCell ref="S73:AE73"/>
    <mergeCell ref="R63:W63"/>
    <mergeCell ref="S64:W64"/>
    <mergeCell ref="R65:W65"/>
    <mergeCell ref="S66:W66"/>
    <mergeCell ref="S67:W67"/>
    <mergeCell ref="A1:B1"/>
    <mergeCell ref="S68:W68"/>
    <mergeCell ref="B6:F6"/>
    <mergeCell ref="A19:P19"/>
    <mergeCell ref="A20:P20"/>
    <mergeCell ref="A21:P21"/>
    <mergeCell ref="A50:P50"/>
    <mergeCell ref="A22:P22"/>
    <mergeCell ref="A49:P49"/>
    <mergeCell ref="R47:AG47"/>
    <mergeCell ref="R15:AG15"/>
    <mergeCell ref="R16:AG16"/>
    <mergeCell ref="R17:AG17"/>
    <mergeCell ref="R18:AG18"/>
    <mergeCell ref="R48:AG48"/>
    <mergeCell ref="A47:P47"/>
    <mergeCell ref="R45:AG45"/>
    <mergeCell ref="R46:AG46"/>
    <mergeCell ref="A48:P48"/>
    <mergeCell ref="B94:F94"/>
    <mergeCell ref="B89:F89"/>
    <mergeCell ref="A90:F90"/>
    <mergeCell ref="B91:F91"/>
    <mergeCell ref="B92:F92"/>
    <mergeCell ref="B93:F93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22"/>
  <dimension ref="A1:R42"/>
  <sheetViews>
    <sheetView topLeftCell="B1" workbookViewId="0">
      <selection activeCell="D10" sqref="D10"/>
    </sheetView>
  </sheetViews>
  <sheetFormatPr defaultColWidth="9.109375" defaultRowHeight="13.2"/>
  <cols>
    <col min="1" max="1" width="35.88671875" style="180" customWidth="1"/>
    <col min="2" max="2" width="12.109375" style="180" customWidth="1"/>
    <col min="3" max="3" width="11.44140625" style="180" customWidth="1"/>
    <col min="4" max="4" width="8.44140625" style="180" customWidth="1"/>
    <col min="5" max="5" width="9.33203125" style="180" customWidth="1"/>
    <col min="6" max="6" width="9.6640625" style="180" customWidth="1"/>
    <col min="7" max="7" width="10.88671875" style="180" customWidth="1"/>
    <col min="8" max="8" width="9.109375" style="180"/>
    <col min="9" max="11" width="10" style="180" bestFit="1" customWidth="1"/>
    <col min="12" max="12" width="10.109375" style="180" customWidth="1"/>
    <col min="13" max="13" width="10.88671875" style="180" customWidth="1"/>
    <col min="14" max="14" width="11.109375" style="180" customWidth="1"/>
    <col min="15" max="15" width="14" style="180" bestFit="1" customWidth="1"/>
    <col min="16" max="16" width="14.6640625" style="180" customWidth="1"/>
    <col min="17" max="17" width="12.44140625" style="180" customWidth="1"/>
    <col min="18" max="18" width="13.88671875" style="180" customWidth="1"/>
    <col min="19" max="16384" width="9.109375" style="272"/>
  </cols>
  <sheetData>
    <row r="1" spans="1:18" ht="63.75" customHeight="1">
      <c r="B1" s="783" t="s">
        <v>501</v>
      </c>
    </row>
    <row r="2" spans="1:18" ht="39.6">
      <c r="A2" s="422" t="s">
        <v>273</v>
      </c>
      <c r="B2" s="269" t="s">
        <v>78</v>
      </c>
      <c r="C2" s="269" t="s">
        <v>79</v>
      </c>
      <c r="D2" s="269" t="s">
        <v>149</v>
      </c>
      <c r="E2" s="423" t="s">
        <v>274</v>
      </c>
      <c r="F2" s="269" t="s">
        <v>150</v>
      </c>
      <c r="G2" s="269" t="s">
        <v>151</v>
      </c>
      <c r="H2" s="270"/>
      <c r="I2" s="271" t="s">
        <v>80</v>
      </c>
      <c r="J2" s="271" t="s">
        <v>152</v>
      </c>
      <c r="K2" s="271" t="s">
        <v>153</v>
      </c>
      <c r="L2" s="271" t="s">
        <v>81</v>
      </c>
      <c r="M2" s="271" t="s">
        <v>154</v>
      </c>
      <c r="N2" s="271" t="s">
        <v>155</v>
      </c>
      <c r="O2" s="271" t="s">
        <v>82</v>
      </c>
      <c r="P2" s="271" t="s">
        <v>156</v>
      </c>
      <c r="Q2" s="271" t="s">
        <v>48</v>
      </c>
      <c r="R2" s="271" t="s">
        <v>275</v>
      </c>
    </row>
    <row r="3" spans="1:18">
      <c r="A3" s="424">
        <v>40541</v>
      </c>
      <c r="B3" s="425">
        <v>0</v>
      </c>
      <c r="C3" s="425">
        <v>1.1334017571500756</v>
      </c>
      <c r="D3" s="414">
        <v>11.270133957707664</v>
      </c>
      <c r="E3" s="425">
        <v>2.3717682145500869</v>
      </c>
      <c r="F3" s="414">
        <v>0</v>
      </c>
      <c r="G3" s="425">
        <v>0</v>
      </c>
      <c r="H3" s="274"/>
      <c r="I3" s="275">
        <f>B3-C3</f>
        <v>-1.1334017571500756</v>
      </c>
      <c r="J3" s="275">
        <f>D3-E3</f>
        <v>8.8983657431575764</v>
      </c>
      <c r="K3" s="275">
        <f>F3-G3</f>
        <v>0</v>
      </c>
      <c r="L3" s="273">
        <f>I3*$B$11*$C$28</f>
        <v>-15061.449549382269</v>
      </c>
      <c r="M3" s="273">
        <f>J3*$B$12*$C$28</f>
        <v>48876.6230778756</v>
      </c>
      <c r="N3" s="273">
        <f>K3*$B$10*$C$28</f>
        <v>0</v>
      </c>
      <c r="O3" s="273">
        <f>SUM(L3:N3)</f>
        <v>33815.173528493331</v>
      </c>
      <c r="P3" s="273">
        <f>SUM(O$2:O3)</f>
        <v>33815.173528493331</v>
      </c>
      <c r="Q3" s="181">
        <v>341336</v>
      </c>
      <c r="R3" s="276">
        <f>+Q3-O3</f>
        <v>307520.82647150668</v>
      </c>
    </row>
    <row r="4" spans="1:18">
      <c r="A4" s="424">
        <v>40542</v>
      </c>
      <c r="B4" s="425">
        <v>4.0275819760620259E-2</v>
      </c>
      <c r="C4" s="425">
        <v>1.0618198396367848</v>
      </c>
      <c r="D4" s="414">
        <v>0.87535179739792568</v>
      </c>
      <c r="E4" s="425">
        <v>2.213807281398672</v>
      </c>
      <c r="F4" s="414">
        <v>0</v>
      </c>
      <c r="G4" s="425">
        <v>0</v>
      </c>
      <c r="H4" s="274"/>
      <c r="I4" s="275">
        <f>B4-C4</f>
        <v>-1.0215440198761645</v>
      </c>
      <c r="J4" s="275">
        <f>D4-E4</f>
        <v>-1.3384554840007463</v>
      </c>
      <c r="K4" s="275">
        <f>F4-G4</f>
        <v>0</v>
      </c>
      <c r="L4" s="273">
        <f>I4*$B$11*$C$28</f>
        <v>-13575.004291969464</v>
      </c>
      <c r="M4" s="273">
        <f>J4*$B$12*$C$28</f>
        <v>-7351.8201079028813</v>
      </c>
      <c r="N4" s="273">
        <f>K4*$B$10*$C$28</f>
        <v>0</v>
      </c>
      <c r="O4" s="273">
        <f>SUM(L4:N4)</f>
        <v>-20926.824399872345</v>
      </c>
      <c r="P4" s="273">
        <f>SUM(O$2:O4)</f>
        <v>12888.349128620986</v>
      </c>
      <c r="Q4" s="181">
        <v>269403</v>
      </c>
      <c r="R4" s="276">
        <f>+Q4-O4</f>
        <v>290329.82439987233</v>
      </c>
    </row>
    <row r="5" spans="1:18">
      <c r="A5" s="424">
        <v>40543</v>
      </c>
      <c r="B5" s="425">
        <v>1.0554048112283028</v>
      </c>
      <c r="C5" s="425">
        <v>1.2221985502865746</v>
      </c>
      <c r="D5" s="414">
        <v>0</v>
      </c>
      <c r="E5" s="425">
        <v>1.8605858674319999</v>
      </c>
      <c r="F5" s="414">
        <v>0</v>
      </c>
      <c r="G5" s="425">
        <v>4.6395986102359996E-2</v>
      </c>
      <c r="H5" s="277"/>
      <c r="I5" s="275">
        <f>B5-C5</f>
        <v>-0.16679373905827188</v>
      </c>
      <c r="J5" s="275">
        <f>D5-E5</f>
        <v>-1.8605858674319999</v>
      </c>
      <c r="K5" s="275">
        <f>F5-G5</f>
        <v>-4.6395986102359996E-2</v>
      </c>
      <c r="L5" s="273">
        <f>I5*$B$11*$C$28</f>
        <v>-2216.4739644446786</v>
      </c>
      <c r="M5" s="273">
        <f>J5*$B$12*$C$28</f>
        <v>-10219.759085135831</v>
      </c>
      <c r="N5" s="273">
        <f>K5*$B$10*$C$28</f>
        <v>-3662.6244008674557</v>
      </c>
      <c r="O5" s="273">
        <f>SUM(L5:N5)</f>
        <v>-16098.857450447966</v>
      </c>
      <c r="P5" s="273">
        <f>SUM(O$2:O5)</f>
        <v>-3210.5083218269792</v>
      </c>
      <c r="Q5" s="181">
        <v>237279</v>
      </c>
      <c r="R5" s="276">
        <f>+Q5-O5</f>
        <v>253377.85745044798</v>
      </c>
    </row>
    <row r="6" spans="1:18">
      <c r="L6" s="273"/>
      <c r="O6" s="426">
        <f>SUM(O3:O5)</f>
        <v>-3210.5083218269792</v>
      </c>
      <c r="P6" s="426">
        <f>SUM(P3:P5)</f>
        <v>43493.014335287335</v>
      </c>
      <c r="Q6" s="426">
        <f>SUM(Q3:Q5)</f>
        <v>848018</v>
      </c>
      <c r="R6" s="426">
        <f>SUM(R3:R5)</f>
        <v>851228.50832182704</v>
      </c>
    </row>
    <row r="7" spans="1:18">
      <c r="L7" s="273"/>
      <c r="R7" s="426">
        <f>+R6-808797</f>
        <v>42431.508321827045</v>
      </c>
    </row>
    <row r="8" spans="1:18">
      <c r="A8" s="239" t="s">
        <v>157</v>
      </c>
      <c r="B8" s="1" t="s">
        <v>19</v>
      </c>
      <c r="C8" s="272"/>
    </row>
    <row r="9" spans="1:18">
      <c r="A9" t="s">
        <v>84</v>
      </c>
      <c r="B9" s="279">
        <v>1.548202048113029</v>
      </c>
      <c r="C9" s="272"/>
    </row>
    <row r="10" spans="1:18">
      <c r="A10" s="412" t="s">
        <v>85</v>
      </c>
      <c r="B10" s="427">
        <v>1.7438085153939766E-2</v>
      </c>
      <c r="C10" s="272"/>
    </row>
    <row r="11" spans="1:18">
      <c r="A11" s="412" t="s">
        <v>86</v>
      </c>
      <c r="B11" s="427">
        <v>2.9354163517797079E-3</v>
      </c>
      <c r="C11" s="272"/>
    </row>
    <row r="12" spans="1:18">
      <c r="A12" s="412" t="s">
        <v>87</v>
      </c>
      <c r="B12" s="427">
        <v>1.2133267139738657E-3</v>
      </c>
      <c r="C12" s="272"/>
    </row>
    <row r="13" spans="1:18">
      <c r="A13" t="s">
        <v>88</v>
      </c>
      <c r="B13" s="279">
        <v>-2.6984927541592394</v>
      </c>
    </row>
    <row r="14" spans="1:18">
      <c r="A14" t="s">
        <v>89</v>
      </c>
      <c r="B14" s="279">
        <v>-1.7962555069603001</v>
      </c>
    </row>
    <row r="15" spans="1:18">
      <c r="A15" t="s">
        <v>90</v>
      </c>
      <c r="B15" s="279">
        <v>2.2062176858550154E-2</v>
      </c>
    </row>
    <row r="16" spans="1:18">
      <c r="A16" t="s">
        <v>91</v>
      </c>
      <c r="B16" s="279">
        <v>9.8040700862934496E-2</v>
      </c>
    </row>
    <row r="17" spans="1:3">
      <c r="A17" t="s">
        <v>22</v>
      </c>
      <c r="B17" s="279">
        <v>-0.14680895291551435</v>
      </c>
    </row>
    <row r="18" spans="1:3">
      <c r="A18" t="s">
        <v>92</v>
      </c>
      <c r="B18" s="279">
        <v>-3.6304981975131996E-2</v>
      </c>
    </row>
    <row r="19" spans="1:3">
      <c r="A19" t="s">
        <v>93</v>
      </c>
      <c r="B19" s="279">
        <v>-5.4592407450387181E-2</v>
      </c>
    </row>
    <row r="20" spans="1:3">
      <c r="A20" t="s">
        <v>94</v>
      </c>
      <c r="B20" s="279">
        <v>-5.1858489753623678E-2</v>
      </c>
    </row>
    <row r="21" spans="1:3">
      <c r="A21" t="s">
        <v>95</v>
      </c>
      <c r="B21" s="279">
        <v>0.11149920037514183</v>
      </c>
    </row>
    <row r="22" spans="1:3">
      <c r="A22" t="s">
        <v>96</v>
      </c>
      <c r="B22" s="279">
        <v>-5.6538730487937831E-2</v>
      </c>
    </row>
    <row r="23" spans="1:3">
      <c r="A23" t="s">
        <v>97</v>
      </c>
      <c r="B23" s="279">
        <v>0.10606078306781035</v>
      </c>
    </row>
    <row r="24" spans="1:3">
      <c r="A24" t="s">
        <v>98</v>
      </c>
      <c r="B24" s="279">
        <v>-3.7732034739855242E-4</v>
      </c>
    </row>
    <row r="25" spans="1:3">
      <c r="A25" t="s">
        <v>99</v>
      </c>
      <c r="B25" s="279">
        <v>0.32325220069960209</v>
      </c>
    </row>
    <row r="28" spans="1:3">
      <c r="A28" s="180" t="s">
        <v>12</v>
      </c>
      <c r="B28" s="428">
        <v>40513</v>
      </c>
      <c r="C28" s="278">
        <v>4527028</v>
      </c>
    </row>
    <row r="29" spans="1:3">
      <c r="B29" s="428">
        <v>40544</v>
      </c>
      <c r="C29" s="278">
        <v>4533029</v>
      </c>
    </row>
    <row r="33" spans="1:18" ht="39.6">
      <c r="A33" s="422" t="s">
        <v>276</v>
      </c>
      <c r="B33" s="269" t="s">
        <v>78</v>
      </c>
      <c r="C33" s="269" t="s">
        <v>79</v>
      </c>
      <c r="D33" s="269" t="s">
        <v>149</v>
      </c>
      <c r="E33" s="423" t="s">
        <v>274</v>
      </c>
      <c r="F33" s="269" t="s">
        <v>150</v>
      </c>
      <c r="G33" s="269" t="s">
        <v>151</v>
      </c>
      <c r="H33"/>
      <c r="I33" s="271" t="s">
        <v>80</v>
      </c>
      <c r="J33" s="271" t="s">
        <v>152</v>
      </c>
      <c r="K33" s="271" t="s">
        <v>153</v>
      </c>
      <c r="L33" s="271" t="s">
        <v>81</v>
      </c>
      <c r="M33" s="271" t="s">
        <v>154</v>
      </c>
      <c r="N33" s="271" t="s">
        <v>155</v>
      </c>
      <c r="O33" s="271" t="s">
        <v>82</v>
      </c>
      <c r="P33" s="271" t="s">
        <v>156</v>
      </c>
      <c r="Q33" s="271" t="s">
        <v>48</v>
      </c>
      <c r="R33" s="271" t="s">
        <v>275</v>
      </c>
    </row>
    <row r="34" spans="1:18">
      <c r="A34" s="424">
        <v>40572</v>
      </c>
      <c r="B34" s="425">
        <v>0</v>
      </c>
      <c r="C34" s="425">
        <v>1.0978312236547805</v>
      </c>
      <c r="D34" s="414">
        <v>7.5246959485146405</v>
      </c>
      <c r="E34" s="425">
        <v>2.0232744013736492</v>
      </c>
      <c r="F34" s="414">
        <v>0</v>
      </c>
      <c r="G34" s="425">
        <v>0</v>
      </c>
      <c r="H34"/>
      <c r="I34" s="275">
        <f>B34-C34</f>
        <v>-1.0978312236547805</v>
      </c>
      <c r="J34" s="275">
        <f>D34-E34</f>
        <v>5.5014215471409909</v>
      </c>
      <c r="K34" s="275">
        <f>F34-G34</f>
        <v>0</v>
      </c>
      <c r="L34" s="273">
        <f>I34*$B$11*$C$29</f>
        <v>-14608.101746446144</v>
      </c>
      <c r="M34" s="273">
        <f>J34*$B$12*$C$29</f>
        <v>30258.067068552566</v>
      </c>
      <c r="N34" s="273">
        <f>K34*$B$10*$C$29</f>
        <v>0</v>
      </c>
      <c r="O34" s="273">
        <f>SUM(L34:N34)</f>
        <v>15649.965322106422</v>
      </c>
      <c r="P34" s="273">
        <f>SUM(O$34:O34)</f>
        <v>15649.965322106422</v>
      </c>
      <c r="Q34" s="181">
        <v>261851</v>
      </c>
      <c r="R34" s="276">
        <f>+Q34-O34</f>
        <v>246201.03467789356</v>
      </c>
    </row>
    <row r="35" spans="1:18">
      <c r="A35" s="424">
        <v>40573</v>
      </c>
      <c r="B35" s="425">
        <v>1.3427648162936142E-2</v>
      </c>
      <c r="C35" s="425">
        <v>1.0978312236547805</v>
      </c>
      <c r="D35" s="414">
        <v>4.6682753389374128</v>
      </c>
      <c r="E35" s="425">
        <v>1.5224286229001649</v>
      </c>
      <c r="F35" s="414">
        <v>0</v>
      </c>
      <c r="G35" s="425">
        <v>0</v>
      </c>
      <c r="H35"/>
      <c r="I35" s="275">
        <f>B35-C35</f>
        <v>-1.0844035754918444</v>
      </c>
      <c r="J35" s="275">
        <f>D35-E35</f>
        <v>3.1458467160372479</v>
      </c>
      <c r="K35" s="275">
        <f>F35-G35</f>
        <v>0</v>
      </c>
      <c r="L35" s="273">
        <f>I35*$B$11*$C$29</f>
        <v>-14429.429063110865</v>
      </c>
      <c r="M35" s="273">
        <f>J35*$B$12*$C$29</f>
        <v>17302.299070448131</v>
      </c>
      <c r="N35" s="273">
        <f>K35*$B$10*$C$29</f>
        <v>0</v>
      </c>
      <c r="O35" s="273">
        <f>SUM(L35:N35)</f>
        <v>2872.8700073372656</v>
      </c>
      <c r="P35" s="273">
        <f>SUM(O$34:O35)</f>
        <v>18522.835329443689</v>
      </c>
      <c r="Q35" s="181">
        <v>243158</v>
      </c>
      <c r="R35" s="276">
        <f>+Q35-O35</f>
        <v>240285.12999266273</v>
      </c>
    </row>
    <row r="36" spans="1:18">
      <c r="A36" s="424">
        <v>40574</v>
      </c>
      <c r="B36" s="425">
        <v>0.48642527174739786</v>
      </c>
      <c r="C36" s="425">
        <v>1.0978312236547805</v>
      </c>
      <c r="D36" s="414">
        <v>0</v>
      </c>
      <c r="E36" s="425">
        <v>2.6564426068175919</v>
      </c>
      <c r="F36" s="414">
        <v>0</v>
      </c>
      <c r="G36" s="425">
        <v>0</v>
      </c>
      <c r="H36"/>
      <c r="I36" s="275">
        <f>B36-C36</f>
        <v>-0.61140595190738267</v>
      </c>
      <c r="J36" s="275">
        <f>D36-E36</f>
        <v>-2.6564426068175919</v>
      </c>
      <c r="K36" s="275">
        <f>F36-G36</f>
        <v>0</v>
      </c>
      <c r="L36" s="273">
        <f>I36*$B$11*$C$29</f>
        <v>-8135.567800770039</v>
      </c>
      <c r="M36" s="273">
        <f>J36*$B$12*$C$29</f>
        <v>-14610.55435801298</v>
      </c>
      <c r="N36" s="273">
        <f>K36*$B$10*$C$29</f>
        <v>0</v>
      </c>
      <c r="O36" s="273">
        <f>SUM(L36:N36)</f>
        <v>-22746.122158783019</v>
      </c>
      <c r="P36" s="273">
        <f>SUM(O$34:O36)</f>
        <v>-4223.2868293393294</v>
      </c>
      <c r="Q36" s="181">
        <v>245750</v>
      </c>
      <c r="R36" s="276">
        <f>+Q36-O36</f>
        <v>268496.12215878302</v>
      </c>
    </row>
    <row r="37" spans="1:18">
      <c r="H37"/>
      <c r="L37" s="273"/>
      <c r="O37" s="426">
        <f>SUM(O34:O36)</f>
        <v>-4223.2868293393294</v>
      </c>
      <c r="P37" s="426">
        <f>SUM(P34:P36)</f>
        <v>29949.513822210782</v>
      </c>
      <c r="Q37" s="426">
        <f>SUM(Q34:Q36)</f>
        <v>750759</v>
      </c>
      <c r="R37" s="426">
        <f>SUM(R34:R36)</f>
        <v>754982.28682933934</v>
      </c>
    </row>
    <row r="38" spans="1:18">
      <c r="H38"/>
      <c r="L38" s="273"/>
      <c r="R38" s="426"/>
    </row>
    <row r="39" spans="1:18">
      <c r="H39"/>
    </row>
    <row r="40" spans="1:18">
      <c r="H40"/>
      <c r="O40" s="426">
        <f>O37-O6</f>
        <v>-1012.7785075123502</v>
      </c>
    </row>
    <row r="41" spans="1:18">
      <c r="H41"/>
    </row>
    <row r="42" spans="1:18">
      <c r="H42"/>
    </row>
  </sheetData>
  <phoneticPr fontId="2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D1" sqref="D1"/>
    </sheetView>
  </sheetViews>
  <sheetFormatPr defaultRowHeight="13.2"/>
  <cols>
    <col min="4" max="4" width="15" bestFit="1" customWidth="1"/>
    <col min="11" max="11" width="10.33203125" bestFit="1" customWidth="1"/>
  </cols>
  <sheetData>
    <row r="1" spans="1:11" ht="54.75" customHeight="1">
      <c r="A1" s="806" t="s">
        <v>502</v>
      </c>
      <c r="B1" s="807"/>
    </row>
    <row r="3" spans="1:11">
      <c r="I3" s="485" t="s">
        <v>75</v>
      </c>
      <c r="J3" s="485" t="s">
        <v>330</v>
      </c>
      <c r="K3" s="485" t="s">
        <v>331</v>
      </c>
    </row>
    <row r="4" spans="1:11">
      <c r="D4" t="s">
        <v>316</v>
      </c>
    </row>
    <row r="5" spans="1:11">
      <c r="B5" s="417">
        <f>[38]Feb!A34</f>
        <v>40968</v>
      </c>
      <c r="D5">
        <f>[38]Feb!C34</f>
        <v>295106</v>
      </c>
      <c r="F5" s="131">
        <f ca="1">D5/'Growth Plan'!E65</f>
        <v>3.834560341706824E-2</v>
      </c>
      <c r="H5" s="485" t="s">
        <v>328</v>
      </c>
      <c r="I5" s="50">
        <f>'[22]Cooling &amp; Heating Degree Hours'!$BL$37</f>
        <v>3.3971804059818393</v>
      </c>
      <c r="J5">
        <f ca="1">'Variance Plan'!E8/(28.2)</f>
        <v>1.144915030255397</v>
      </c>
      <c r="K5">
        <f ca="1">'Variance Plan'!B8*(I5-J5)</f>
        <v>6.6113366124546666E-3</v>
      </c>
    </row>
    <row r="6" spans="1:11">
      <c r="H6" s="485" t="s">
        <v>329</v>
      </c>
      <c r="I6">
        <v>0</v>
      </c>
      <c r="J6">
        <f ca="1">'Variance Plan'!E9/28.2</f>
        <v>2.1500134472265411</v>
      </c>
      <c r="K6">
        <f ca="1">'Variance Plan'!B9*(I6-J6)</f>
        <v>-2.6086687509230023E-3</v>
      </c>
    </row>
    <row r="7" spans="1:11">
      <c r="D7" t="s">
        <v>317</v>
      </c>
      <c r="H7" s="485" t="s">
        <v>332</v>
      </c>
      <c r="I7">
        <v>0</v>
      </c>
      <c r="J7" s="50">
        <f ca="1">'Variance Plan'!E7</f>
        <v>0</v>
      </c>
      <c r="K7">
        <f ca="1">'Variance Plan'!B10*(I7-J7)</f>
        <v>0</v>
      </c>
    </row>
    <row r="8" spans="1:11">
      <c r="K8">
        <f ca="1">SUM(K5:K7)</f>
        <v>4.0026678615316643E-3</v>
      </c>
    </row>
    <row r="9" spans="1:11">
      <c r="D9" s="97">
        <f ca="1">D5*'Summary Plan Retail Delivered'!C3</f>
        <v>279177.91615145659</v>
      </c>
      <c r="K9" s="97">
        <f ca="1">K8*'Variance Plan'!E24</f>
        <v>18274.914376802048</v>
      </c>
    </row>
    <row r="10" spans="1:11">
      <c r="I10" s="485" t="s">
        <v>333</v>
      </c>
    </row>
    <row r="11" spans="1:11">
      <c r="B11" t="s">
        <v>318</v>
      </c>
      <c r="D11" s="482">
        <f ca="1">D9*'P6 Summary Plan Forecast_Feb'!O9</f>
        <v>11304123.630650375</v>
      </c>
      <c r="H11" s="417">
        <f>B5</f>
        <v>40968</v>
      </c>
      <c r="I11" s="51">
        <f>D5-K9</f>
        <v>276831.08562319796</v>
      </c>
    </row>
    <row r="13" spans="1:11">
      <c r="B13" t="s">
        <v>319</v>
      </c>
      <c r="D13" s="482">
        <f ca="1">'P6 Summary Plan Forecast_Feb'!D56*1000</f>
        <v>10335768.043575358</v>
      </c>
      <c r="I13" s="132">
        <f ca="1">I11/'Variance Plan'!E33</f>
        <v>3.735397021857273E-2</v>
      </c>
    </row>
    <row r="15" spans="1:11">
      <c r="B15" t="s">
        <v>320</v>
      </c>
      <c r="D15" s="481">
        <f>D13-D11</f>
        <v>-968355.58707501739</v>
      </c>
    </row>
  </sheetData>
  <mergeCells count="1">
    <mergeCell ref="A1:B1"/>
  </mergeCells>
  <phoneticPr fontId="2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24"/>
  <dimension ref="A1:S41"/>
  <sheetViews>
    <sheetView workbookViewId="0">
      <pane xSplit="1" ySplit="2" topLeftCell="C3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3.2"/>
  <cols>
    <col min="1" max="1" width="28.6640625" style="180" customWidth="1"/>
    <col min="2" max="2" width="16.5546875" style="180" customWidth="1"/>
    <col min="3" max="3" width="12.109375" style="180" customWidth="1"/>
    <col min="4" max="4" width="12.6640625" style="180" customWidth="1"/>
    <col min="5" max="5" width="8.44140625" style="180" customWidth="1"/>
    <col min="6" max="6" width="9.33203125" style="180" customWidth="1"/>
    <col min="7" max="7" width="9.6640625" style="180" customWidth="1"/>
    <col min="8" max="8" width="10.88671875" style="180" customWidth="1"/>
    <col min="9" max="9" width="5" style="180" customWidth="1"/>
    <col min="10" max="12" width="10" style="180" bestFit="1" customWidth="1"/>
    <col min="13" max="13" width="10.109375" style="180" customWidth="1"/>
    <col min="14" max="14" width="10.88671875" style="180" customWidth="1"/>
    <col min="15" max="15" width="11.109375" style="180" customWidth="1"/>
    <col min="16" max="16" width="14" style="180" bestFit="1" customWidth="1"/>
    <col min="17" max="17" width="14.6640625" style="180" customWidth="1"/>
    <col min="18" max="18" width="12.44140625" style="180" customWidth="1"/>
    <col min="19" max="19" width="13.88671875" style="180" customWidth="1"/>
    <col min="20" max="16384" width="9.109375" style="272"/>
  </cols>
  <sheetData>
    <row r="1" spans="1:19" ht="36" customHeight="1">
      <c r="A1" s="783" t="s">
        <v>503</v>
      </c>
    </row>
    <row r="2" spans="1:19" ht="39.6">
      <c r="A2" s="455">
        <v>40544</v>
      </c>
      <c r="C2" s="269" t="s">
        <v>78</v>
      </c>
      <c r="D2" s="269" t="s">
        <v>79</v>
      </c>
      <c r="E2" s="269" t="s">
        <v>149</v>
      </c>
      <c r="F2" s="423" t="s">
        <v>274</v>
      </c>
      <c r="G2" s="269" t="s">
        <v>150</v>
      </c>
      <c r="H2" s="269" t="s">
        <v>151</v>
      </c>
      <c r="I2" s="270"/>
      <c r="J2" s="271" t="s">
        <v>80</v>
      </c>
      <c r="K2" s="271" t="s">
        <v>152</v>
      </c>
      <c r="L2" s="271" t="s">
        <v>153</v>
      </c>
      <c r="M2" s="271" t="s">
        <v>81</v>
      </c>
      <c r="N2" s="271" t="s">
        <v>154</v>
      </c>
      <c r="O2" s="271" t="s">
        <v>155</v>
      </c>
      <c r="P2" s="271" t="s">
        <v>82</v>
      </c>
      <c r="Q2" s="271" t="s">
        <v>156</v>
      </c>
      <c r="R2" s="271" t="s">
        <v>48</v>
      </c>
      <c r="S2" s="271" t="s">
        <v>275</v>
      </c>
    </row>
    <row r="3" spans="1:19">
      <c r="A3" s="456">
        <v>40572</v>
      </c>
      <c r="B3" s="457"/>
      <c r="C3" s="425">
        <f>+'[18]Daily Actuals vs Daily Normals'!$B37</f>
        <v>0</v>
      </c>
      <c r="D3" s="425">
        <f ca="1">+'Variance Plan'!$D$8/31</f>
        <v>0.81421991789431969</v>
      </c>
      <c r="E3" s="414">
        <f ca="1">+'[18]Daily Actuals vs Daily Normals'!$I37</f>
        <v>7.5246959485146405</v>
      </c>
      <c r="F3" s="425">
        <f ca="1">+'Variance Plan'!$D$9/31</f>
        <v>3.4375399936078623</v>
      </c>
      <c r="G3" s="414">
        <v>0</v>
      </c>
      <c r="H3" s="425">
        <f ca="1">+'Variance Plan'!$D$7/31</f>
        <v>1.5350491556351551E-2</v>
      </c>
      <c r="I3" s="274"/>
      <c r="J3" s="275">
        <f>C3-D3</f>
        <v>-0.81421991789431969</v>
      </c>
      <c r="K3" s="275">
        <f>E3-F3</f>
        <v>4.0871559549067786</v>
      </c>
      <c r="L3" s="275">
        <f>G3-H3</f>
        <v>-1.5350491556351551E-2</v>
      </c>
      <c r="M3" s="273">
        <f>J3*$C$11*$D$28</f>
        <v>-10834.27684356284</v>
      </c>
      <c r="N3" s="273">
        <f>K3*$C$12*$D$28</f>
        <v>22479.54241344631</v>
      </c>
      <c r="O3" s="273">
        <f>L3*$C$10*$D$28</f>
        <v>-1213.4156128315794</v>
      </c>
      <c r="P3" s="273">
        <f>SUM(M3:O3)</f>
        <v>10431.849957051891</v>
      </c>
      <c r="Q3" s="273">
        <f>SUM(P$2:P3)</f>
        <v>10431.849957051891</v>
      </c>
      <c r="R3" s="181">
        <f>+'[34]Feb_SAP_impact '!C31</f>
        <v>261851</v>
      </c>
      <c r="S3" s="276">
        <f>+R3-P3</f>
        <v>251419.15004294811</v>
      </c>
    </row>
    <row r="4" spans="1:19">
      <c r="A4" s="456">
        <f>+A3+1</f>
        <v>40573</v>
      </c>
      <c r="B4" s="457"/>
      <c r="C4" s="425">
        <f>+'[18]Daily Actuals vs Daily Normals'!$B38</f>
        <v>1.3427648162936142E-2</v>
      </c>
      <c r="D4" s="425">
        <f ca="1">+'Variance Plan'!$D$8/31</f>
        <v>0.81421991789431969</v>
      </c>
      <c r="E4" s="414">
        <f ca="1">+'[18]Daily Actuals vs Daily Normals'!$I38</f>
        <v>4.6682753389374128</v>
      </c>
      <c r="F4" s="425">
        <f ca="1">+'Variance Plan'!$D$9/31</f>
        <v>3.4375399936078623</v>
      </c>
      <c r="G4" s="414">
        <v>0</v>
      </c>
      <c r="H4" s="425">
        <f ca="1">+'Variance Plan'!$D$7/31</f>
        <v>1.5350491556351551E-2</v>
      </c>
      <c r="I4" s="274"/>
      <c r="J4" s="275">
        <f>C4-D4</f>
        <v>-0.80079226973138351</v>
      </c>
      <c r="K4" s="275">
        <f>E4-F4</f>
        <v>1.2307353453295504</v>
      </c>
      <c r="L4" s="275">
        <f>G4-H4</f>
        <v>-1.5350491556351551E-2</v>
      </c>
      <c r="M4" s="273">
        <f>J4*$C$11*$D$28</f>
        <v>-10655.604160227562</v>
      </c>
      <c r="N4" s="273">
        <f>K4*$C$12*$D$28</f>
        <v>6769.1000050655375</v>
      </c>
      <c r="O4" s="273">
        <f>L4*$C$10*$D$28</f>
        <v>-1213.4156128315794</v>
      </c>
      <c r="P4" s="273">
        <f>SUM(M4:O4)</f>
        <v>-5099.9197679936042</v>
      </c>
      <c r="Q4" s="273">
        <f>SUM(P$2:P4)</f>
        <v>5331.9301890582865</v>
      </c>
      <c r="R4" s="181">
        <f>+'[34]Feb_SAP_impact '!C32</f>
        <v>243158</v>
      </c>
      <c r="S4" s="276">
        <f>+R4-P4</f>
        <v>248257.91976799362</v>
      </c>
    </row>
    <row r="5" spans="1:19">
      <c r="A5" s="456">
        <f>+A4+1</f>
        <v>40574</v>
      </c>
      <c r="B5" s="457"/>
      <c r="C5" s="425">
        <f>+'[18]Daily Actuals vs Daily Normals'!$B39</f>
        <v>0.48642527174739786</v>
      </c>
      <c r="D5" s="425">
        <f ca="1">+'Variance Plan'!$D$8/31</f>
        <v>0.81421991789431969</v>
      </c>
      <c r="E5" s="414">
        <f ca="1">+'[18]Daily Actuals vs Daily Normals'!$I39</f>
        <v>0</v>
      </c>
      <c r="F5" s="425">
        <f ca="1">+'Variance Plan'!$D$9/31</f>
        <v>3.4375399936078623</v>
      </c>
      <c r="G5" s="414">
        <v>0</v>
      </c>
      <c r="H5" s="425">
        <f ca="1">+'Variance Plan'!$D$7/31</f>
        <v>1.5350491556351551E-2</v>
      </c>
      <c r="I5" s="277"/>
      <c r="J5" s="275">
        <f>C5-D5</f>
        <v>-0.32779464614692183</v>
      </c>
      <c r="K5" s="275">
        <f>E5-F5</f>
        <v>-3.4375399936078623</v>
      </c>
      <c r="L5" s="275">
        <f>G5-H5</f>
        <v>-1.5350491556351551E-2</v>
      </c>
      <c r="M5" s="273">
        <f>J5*$C$11*$D$28</f>
        <v>-4361.7428978867365</v>
      </c>
      <c r="N5" s="273">
        <f>K5*$C$12*$D$28</f>
        <v>-18906.625276056635</v>
      </c>
      <c r="O5" s="273">
        <f>L5*$C$10*$D$28</f>
        <v>-1213.4156128315794</v>
      </c>
      <c r="P5" s="273">
        <f>SUM(M5:O5)</f>
        <v>-24481.783786774951</v>
      </c>
      <c r="Q5" s="273">
        <f>SUM(P$2:P5)</f>
        <v>-19149.853597716665</v>
      </c>
      <c r="R5" s="181">
        <f>+'[34]Feb_SAP_impact '!C33</f>
        <v>245750</v>
      </c>
      <c r="S5" s="276">
        <f>+R5-P5</f>
        <v>270231.78378677496</v>
      </c>
    </row>
    <row r="6" spans="1:19">
      <c r="C6" s="458"/>
      <c r="M6" s="273"/>
      <c r="P6" s="426">
        <f>SUM(P3:P5)</f>
        <v>-19149.853597716665</v>
      </c>
      <c r="Q6" s="426">
        <f>SUM(Q3:Q5)</f>
        <v>-3386.0734516064877</v>
      </c>
      <c r="R6" s="459">
        <f>SUM(R3:R5)</f>
        <v>750759</v>
      </c>
      <c r="S6" s="459">
        <f>SUM(S3:S5)</f>
        <v>769908.85359771666</v>
      </c>
    </row>
    <row r="7" spans="1:19">
      <c r="D7" s="460">
        <f>+'[39]Monthly Summaries'!$F$42/31</f>
        <v>0.89154551634608825</v>
      </c>
      <c r="M7" s="273"/>
      <c r="S7" s="426">
        <f>+S6-808797</f>
        <v>-38888.146402283339</v>
      </c>
    </row>
    <row r="8" spans="1:19">
      <c r="A8" s="239" t="s">
        <v>157</v>
      </c>
      <c r="B8" s="239"/>
      <c r="C8" s="1" t="s">
        <v>19</v>
      </c>
      <c r="D8" s="272"/>
    </row>
    <row r="9" spans="1:19">
      <c r="A9" t="s">
        <v>84</v>
      </c>
      <c r="B9"/>
      <c r="C9" s="279">
        <v>1.548202048113029</v>
      </c>
      <c r="D9" s="187"/>
    </row>
    <row r="10" spans="1:19">
      <c r="A10" s="412" t="s">
        <v>85</v>
      </c>
      <c r="B10" s="412"/>
      <c r="C10" s="427">
        <v>1.7438085153939766E-2</v>
      </c>
      <c r="D10" s="187"/>
    </row>
    <row r="11" spans="1:19">
      <c r="A11" s="412" t="s">
        <v>86</v>
      </c>
      <c r="B11" s="412"/>
      <c r="C11" s="427">
        <v>2.9354163517797079E-3</v>
      </c>
      <c r="D11" s="187"/>
    </row>
    <row r="12" spans="1:19">
      <c r="A12" s="412" t="s">
        <v>87</v>
      </c>
      <c r="B12" s="412"/>
      <c r="C12" s="427">
        <v>1.2133267139738657E-3</v>
      </c>
      <c r="D12" s="187"/>
    </row>
    <row r="13" spans="1:19">
      <c r="A13" t="s">
        <v>88</v>
      </c>
      <c r="B13"/>
      <c r="C13" s="279">
        <v>-2.6984927541592394</v>
      </c>
      <c r="D13" s="187"/>
    </row>
    <row r="14" spans="1:19">
      <c r="A14" t="s">
        <v>89</v>
      </c>
      <c r="B14"/>
      <c r="C14" s="279">
        <v>-1.7962555069603001</v>
      </c>
      <c r="D14" s="187"/>
    </row>
    <row r="15" spans="1:19">
      <c r="A15" t="s">
        <v>90</v>
      </c>
      <c r="B15"/>
      <c r="C15" s="279">
        <v>2.2062176858550154E-2</v>
      </c>
      <c r="D15" s="187"/>
    </row>
    <row r="16" spans="1:19">
      <c r="A16" t="s">
        <v>91</v>
      </c>
      <c r="B16"/>
      <c r="C16" s="279">
        <v>9.8040700862934496E-2</v>
      </c>
      <c r="D16" s="187"/>
    </row>
    <row r="17" spans="1:5">
      <c r="A17" t="s">
        <v>22</v>
      </c>
      <c r="B17"/>
      <c r="C17" s="279">
        <v>-0.14680895291551435</v>
      </c>
      <c r="D17" s="187"/>
    </row>
    <row r="18" spans="1:5">
      <c r="A18" t="s">
        <v>92</v>
      </c>
      <c r="B18"/>
      <c r="C18" s="279">
        <v>-3.6304981975131996E-2</v>
      </c>
      <c r="D18" s="187"/>
    </row>
    <row r="19" spans="1:5">
      <c r="A19" t="s">
        <v>93</v>
      </c>
      <c r="B19"/>
      <c r="C19" s="279">
        <v>-5.4592407450387181E-2</v>
      </c>
      <c r="D19" s="187"/>
    </row>
    <row r="20" spans="1:5">
      <c r="A20" t="s">
        <v>94</v>
      </c>
      <c r="B20"/>
      <c r="C20" s="279">
        <v>-5.1858489753623678E-2</v>
      </c>
      <c r="D20" s="187"/>
    </row>
    <row r="21" spans="1:5">
      <c r="A21" t="s">
        <v>95</v>
      </c>
      <c r="B21"/>
      <c r="C21" s="279">
        <v>0.11149920037514183</v>
      </c>
      <c r="D21" s="187"/>
    </row>
    <row r="22" spans="1:5">
      <c r="A22" t="s">
        <v>96</v>
      </c>
      <c r="B22"/>
      <c r="C22" s="279">
        <v>-5.6538730487937831E-2</v>
      </c>
      <c r="D22" s="187"/>
    </row>
    <row r="23" spans="1:5">
      <c r="A23" t="s">
        <v>97</v>
      </c>
      <c r="B23"/>
      <c r="C23" s="279">
        <v>0.10606078306781035</v>
      </c>
      <c r="D23" s="187"/>
    </row>
    <row r="24" spans="1:5">
      <c r="A24" t="s">
        <v>98</v>
      </c>
      <c r="B24"/>
      <c r="C24" s="279">
        <v>-3.7732034739855242E-4</v>
      </c>
      <c r="D24" s="187"/>
    </row>
    <row r="25" spans="1:5">
      <c r="A25" t="s">
        <v>99</v>
      </c>
      <c r="B25"/>
      <c r="C25" s="279">
        <v>0.32325220069960209</v>
      </c>
      <c r="D25" s="187"/>
    </row>
    <row r="27" spans="1:5">
      <c r="D27" s="458"/>
    </row>
    <row r="28" spans="1:5">
      <c r="A28" s="180" t="s">
        <v>12</v>
      </c>
      <c r="B28" s="428"/>
      <c r="C28" s="461">
        <v>40544</v>
      </c>
      <c r="D28" s="47">
        <f>+'[20]System - Monthly'!$I$557</f>
        <v>4533029</v>
      </c>
      <c r="E28" s="3"/>
    </row>
    <row r="29" spans="1:5">
      <c r="B29" s="428"/>
      <c r="C29" s="461">
        <v>40575</v>
      </c>
      <c r="D29" s="47">
        <f>+'[20]System - Monthly'!$I$558</f>
        <v>4539389</v>
      </c>
    </row>
    <row r="32" spans="1:5">
      <c r="C32" s="458"/>
    </row>
    <row r="33" spans="1:19" ht="39.6">
      <c r="A33" s="422"/>
      <c r="B33" s="422"/>
      <c r="C33" s="269" t="s">
        <v>78</v>
      </c>
      <c r="D33" s="269" t="s">
        <v>79</v>
      </c>
      <c r="E33" s="269" t="s">
        <v>149</v>
      </c>
      <c r="F33" s="423" t="s">
        <v>274</v>
      </c>
      <c r="G33" s="269" t="s">
        <v>150</v>
      </c>
      <c r="H33" s="269" t="s">
        <v>151</v>
      </c>
      <c r="I33"/>
      <c r="J33" s="271" t="s">
        <v>80</v>
      </c>
      <c r="K33" s="271" t="s">
        <v>152</v>
      </c>
      <c r="L33" s="271" t="s">
        <v>153</v>
      </c>
      <c r="M33" s="271" t="s">
        <v>81</v>
      </c>
      <c r="N33" s="271" t="s">
        <v>154</v>
      </c>
      <c r="O33" s="271" t="s">
        <v>155</v>
      </c>
      <c r="P33" s="271" t="s">
        <v>82</v>
      </c>
      <c r="Q33" s="271" t="s">
        <v>156</v>
      </c>
      <c r="R33" s="271" t="s">
        <v>48</v>
      </c>
      <c r="S33" s="271" t="s">
        <v>275</v>
      </c>
    </row>
    <row r="34" spans="1:19">
      <c r="A34" s="462">
        <v>40600</v>
      </c>
      <c r="B34" s="457"/>
      <c r="C34" s="425">
        <f>+'[18]Daily Actuals vs Daily Normals'!$B69</f>
        <v>2.5208261792431874</v>
      </c>
      <c r="D34" s="464">
        <f>+'[18]Daily Actuals vs Daily Normals'!$C$65/28</f>
        <v>1.0760783109912819</v>
      </c>
      <c r="E34" s="414">
        <f>+'[18]Daily Actuals vs Daily Normals'!$I69</f>
        <v>0</v>
      </c>
      <c r="F34" s="414">
        <f>+'[18]Daily Actuals vs Daily Normals'!$E$65/28</f>
        <v>2.9407625444617809</v>
      </c>
      <c r="G34" s="414">
        <v>0</v>
      </c>
      <c r="H34" s="414">
        <f ca="1">+'Variance Plan'!$E$7/28</f>
        <v>0</v>
      </c>
      <c r="I34"/>
      <c r="J34" s="275">
        <f>C34-D34</f>
        <v>1.4447478682519055</v>
      </c>
      <c r="K34" s="275">
        <f>E34-F34</f>
        <v>-2.9407625444617809</v>
      </c>
      <c r="L34" s="275">
        <f>G34-H34</f>
        <v>0</v>
      </c>
      <c r="M34" s="273">
        <f>J34*$C$11*$D$29</f>
        <v>19251.26057344977</v>
      </c>
      <c r="N34" s="273">
        <f>K34*$C$12*$D$29</f>
        <v>-16197.020013491445</v>
      </c>
      <c r="O34" s="273">
        <f>L34*$C$10*$D$29</f>
        <v>0</v>
      </c>
      <c r="P34" s="273">
        <f>SUM(M34:O34)</f>
        <v>3054.2405599583253</v>
      </c>
      <c r="Q34" s="273">
        <f>SUM(P$34:P34)</f>
        <v>3054.2405599583253</v>
      </c>
      <c r="R34" s="181">
        <v>261851</v>
      </c>
      <c r="S34" s="276">
        <f>+R34-P34</f>
        <v>258796.75944004167</v>
      </c>
    </row>
    <row r="35" spans="1:19">
      <c r="A35" s="462">
        <f>+A34+1</f>
        <v>40601</v>
      </c>
      <c r="B35" s="457"/>
      <c r="C35" s="425">
        <f>+'[18]Daily Actuals vs Daily Normals'!$B70</f>
        <v>3.2059797557225589</v>
      </c>
      <c r="D35" s="464">
        <f>+'[18]Daily Actuals vs Daily Normals'!$C$65/28</f>
        <v>1.0760783109912819</v>
      </c>
      <c r="E35" s="414">
        <f>+'[18]Daily Actuals vs Daily Normals'!$I70</f>
        <v>0</v>
      </c>
      <c r="F35" s="414">
        <f>+'[18]Daily Actuals vs Daily Normals'!$E$65/28</f>
        <v>2.9407625444617809</v>
      </c>
      <c r="G35" s="414">
        <v>0</v>
      </c>
      <c r="H35" s="414">
        <f ca="1">+'Variance Plan'!$E$7/28</f>
        <v>0</v>
      </c>
      <c r="I35"/>
      <c r="J35" s="275">
        <f>C35-D35</f>
        <v>2.129901444731277</v>
      </c>
      <c r="K35" s="275">
        <f>E35-F35</f>
        <v>-2.9407625444617809</v>
      </c>
      <c r="L35" s="275">
        <f>G35-H35</f>
        <v>0</v>
      </c>
      <c r="M35" s="273">
        <f>J35*$C$11*$D$29</f>
        <v>28380.929717447161</v>
      </c>
      <c r="N35" s="273">
        <f>K35*$C$12*$D$29</f>
        <v>-16197.020013491445</v>
      </c>
      <c r="O35" s="273">
        <f>L35*$C$10*$D$29</f>
        <v>0</v>
      </c>
      <c r="P35" s="273">
        <f>SUM(M35:O35)</f>
        <v>12183.909703955716</v>
      </c>
      <c r="Q35" s="273">
        <f>SUM(P$34:P35)</f>
        <v>15238.150263914042</v>
      </c>
      <c r="R35" s="181">
        <v>243158</v>
      </c>
      <c r="S35" s="276">
        <f>+R35-P35</f>
        <v>230974.09029604428</v>
      </c>
    </row>
    <row r="36" spans="1:19">
      <c r="A36" s="462">
        <f>+A35+1</f>
        <v>40602</v>
      </c>
      <c r="B36" s="457"/>
      <c r="C36" s="425">
        <f>+'[18]Daily Actuals vs Daily Normals'!$B71</f>
        <v>3.7076098015535153</v>
      </c>
      <c r="D36" s="464">
        <f>+'[18]Daily Actuals vs Daily Normals'!$C$65/28</f>
        <v>1.0760783109912819</v>
      </c>
      <c r="E36" s="414">
        <f>+'[18]Daily Actuals vs Daily Normals'!$I71</f>
        <v>0</v>
      </c>
      <c r="F36" s="414">
        <f>+'[18]Daily Actuals vs Daily Normals'!$E$65/28</f>
        <v>2.9407625444617809</v>
      </c>
      <c r="G36" s="414">
        <v>0</v>
      </c>
      <c r="H36" s="414">
        <f ca="1">+'Variance Plan'!$E$7/28</f>
        <v>0</v>
      </c>
      <c r="I36"/>
      <c r="J36" s="275">
        <f>C36-D36</f>
        <v>2.6315314905622333</v>
      </c>
      <c r="K36" s="275">
        <f>E36-F36</f>
        <v>-2.9407625444617809</v>
      </c>
      <c r="L36" s="275">
        <f>G36-H36</f>
        <v>0</v>
      </c>
      <c r="M36" s="273">
        <f>J36*$C$11*$D$29</f>
        <v>35065.148421606202</v>
      </c>
      <c r="N36" s="273">
        <f>K36*$C$12*$D$29</f>
        <v>-16197.020013491445</v>
      </c>
      <c r="O36" s="273">
        <f>L36*$C$10*$D$29</f>
        <v>0</v>
      </c>
      <c r="P36" s="273">
        <f>SUM(M36:O36)</f>
        <v>18868.128408114757</v>
      </c>
      <c r="Q36" s="273">
        <f>SUM(P$34:P36)</f>
        <v>34106.278672028799</v>
      </c>
      <c r="R36" s="181">
        <v>245750</v>
      </c>
      <c r="S36" s="276">
        <f>+R36-P36</f>
        <v>226881.87159188525</v>
      </c>
    </row>
    <row r="37" spans="1:19">
      <c r="A37" s="463" t="s">
        <v>309</v>
      </c>
      <c r="I37"/>
      <c r="M37" s="273"/>
      <c r="P37" s="426">
        <f>SUM(P34:P36)</f>
        <v>34106.278672028799</v>
      </c>
      <c r="Q37" s="426">
        <f>SUM(Q34:Q36)</f>
        <v>52398.669495901166</v>
      </c>
      <c r="R37" s="459">
        <f>SUM(R34:R36)</f>
        <v>750759</v>
      </c>
      <c r="S37" s="459">
        <f>SUM(S34:S36)</f>
        <v>716652.7213279712</v>
      </c>
    </row>
    <row r="38" spans="1:19">
      <c r="B38" s="458"/>
      <c r="I38"/>
      <c r="M38" s="273"/>
      <c r="S38" s="426"/>
    </row>
    <row r="39" spans="1:19">
      <c r="C39" s="460">
        <f>+'[39]Monthly Summaries'!$O$42/28</f>
        <v>1.0760783109912819</v>
      </c>
      <c r="I39"/>
    </row>
    <row r="40" spans="1:19">
      <c r="I40"/>
      <c r="P40" s="426">
        <f>P37-P6</f>
        <v>53256.13226974546</v>
      </c>
    </row>
    <row r="41" spans="1:19">
      <c r="I41"/>
    </row>
  </sheetData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26"/>
  <dimension ref="A1:R42"/>
  <sheetViews>
    <sheetView topLeftCell="B1" workbookViewId="0">
      <selection activeCell="B1" sqref="B1"/>
    </sheetView>
  </sheetViews>
  <sheetFormatPr defaultColWidth="9.109375" defaultRowHeight="13.2"/>
  <cols>
    <col min="1" max="1" width="40.109375" style="180" customWidth="1"/>
    <col min="2" max="2" width="12.109375" style="180" customWidth="1"/>
    <col min="3" max="3" width="12.6640625" style="180" customWidth="1"/>
    <col min="4" max="4" width="8.44140625" style="180" customWidth="1"/>
    <col min="5" max="5" width="9.33203125" style="180" customWidth="1"/>
    <col min="6" max="6" width="9.6640625" style="180" customWidth="1"/>
    <col min="7" max="7" width="10.88671875" style="180" customWidth="1"/>
    <col min="8" max="8" width="9.109375" style="180"/>
    <col min="9" max="11" width="10" style="180" bestFit="1" customWidth="1"/>
    <col min="12" max="12" width="10.109375" style="180" customWidth="1"/>
    <col min="13" max="13" width="10.88671875" style="180" customWidth="1"/>
    <col min="14" max="14" width="11.109375" style="180" customWidth="1"/>
    <col min="15" max="15" width="14" style="180" bestFit="1" customWidth="1"/>
    <col min="16" max="16" width="14.6640625" style="180" customWidth="1"/>
    <col min="17" max="17" width="12.44140625" style="180" customWidth="1"/>
    <col min="18" max="18" width="13.88671875" style="180" customWidth="1"/>
    <col min="19" max="16384" width="9.109375" style="272"/>
  </cols>
  <sheetData>
    <row r="1" spans="1:18" ht="66.75" customHeight="1">
      <c r="B1" s="783" t="s">
        <v>504</v>
      </c>
    </row>
    <row r="2" spans="1:18" ht="39.6">
      <c r="A2" s="483">
        <v>40575</v>
      </c>
      <c r="B2" s="269" t="s">
        <v>78</v>
      </c>
      <c r="C2" s="269" t="s">
        <v>79</v>
      </c>
      <c r="D2" s="269" t="s">
        <v>149</v>
      </c>
      <c r="E2" s="423" t="s">
        <v>274</v>
      </c>
      <c r="F2" s="269" t="s">
        <v>150</v>
      </c>
      <c r="G2" s="269" t="s">
        <v>151</v>
      </c>
      <c r="H2" s="270"/>
      <c r="I2" s="271" t="s">
        <v>80</v>
      </c>
      <c r="J2" s="271" t="s">
        <v>152</v>
      </c>
      <c r="K2" s="271" t="s">
        <v>153</v>
      </c>
      <c r="L2" s="271" t="s">
        <v>81</v>
      </c>
      <c r="M2" s="271" t="s">
        <v>154</v>
      </c>
      <c r="N2" s="271" t="s">
        <v>155</v>
      </c>
      <c r="O2" s="271" t="s">
        <v>82</v>
      </c>
      <c r="P2" s="271" t="s">
        <v>156</v>
      </c>
      <c r="Q2" s="271" t="s">
        <v>48</v>
      </c>
      <c r="R2" s="271" t="s">
        <v>275</v>
      </c>
    </row>
    <row r="3" spans="1:18">
      <c r="A3" s="424">
        <v>40600</v>
      </c>
      <c r="B3" s="425">
        <f>+'[18]Daily Actuals vs Daily Normals'!$B69</f>
        <v>2.5208261792431874</v>
      </c>
      <c r="C3" s="464">
        <f>+'[18]Daily Actuals vs Daily Normals'!$C$65/28</f>
        <v>1.0760783109912819</v>
      </c>
      <c r="D3" s="414">
        <f>+'[18]Daily Actuals vs Daily Normals'!I69</f>
        <v>0</v>
      </c>
      <c r="E3" s="425">
        <f ca="1">+'Variance Plan'!$E$9/28</f>
        <v>2.1653706861353017</v>
      </c>
      <c r="F3" s="414">
        <v>0</v>
      </c>
      <c r="G3" s="464">
        <f ca="1">+'Variance Plan'!$E$7/28</f>
        <v>0</v>
      </c>
      <c r="H3" s="274"/>
      <c r="I3" s="275">
        <f>B3-C3</f>
        <v>1.4447478682519055</v>
      </c>
      <c r="J3" s="275">
        <f>D3-E3</f>
        <v>-2.1653706861353017</v>
      </c>
      <c r="K3" s="275">
        <f>F3-G3</f>
        <v>0</v>
      </c>
      <c r="L3" s="273">
        <f>I3*$B$11*$C$28</f>
        <v>19251.26057344977</v>
      </c>
      <c r="M3" s="273">
        <f>J3*$B$12*$C$28</f>
        <v>-11926.346248530643</v>
      </c>
      <c r="N3" s="273">
        <f>K3*$B$10*$C$28</f>
        <v>0</v>
      </c>
      <c r="O3" s="273">
        <f>SUM(L3:N3)</f>
        <v>7324.9143249191275</v>
      </c>
      <c r="P3" s="273">
        <f>SUM(O$2:O3)</f>
        <v>7324.9143249191275</v>
      </c>
      <c r="Q3" s="181">
        <f>+'[30]Daily Log (Levelized)'!$C71</f>
        <v>258628</v>
      </c>
      <c r="R3" s="276">
        <f>+Q3-O3</f>
        <v>251303.08567508086</v>
      </c>
    </row>
    <row r="4" spans="1:18">
      <c r="A4" s="424">
        <f>+A3+1</f>
        <v>40601</v>
      </c>
      <c r="B4" s="425">
        <f>+'[18]Daily Actuals vs Daily Normals'!$B70</f>
        <v>3.2059797557225589</v>
      </c>
      <c r="C4" s="464">
        <f>+'[18]Daily Actuals vs Daily Normals'!$C$65/28</f>
        <v>1.0760783109912819</v>
      </c>
      <c r="D4" s="414">
        <f>+'[18]Daily Actuals vs Daily Normals'!I70</f>
        <v>0</v>
      </c>
      <c r="E4" s="425">
        <f ca="1">+'Variance Plan'!$E$9/28</f>
        <v>2.1653706861353017</v>
      </c>
      <c r="F4" s="414">
        <v>0</v>
      </c>
      <c r="G4" s="464">
        <f ca="1">+'Variance Plan'!$E$7/28</f>
        <v>0</v>
      </c>
      <c r="H4" s="274"/>
      <c r="I4" s="275">
        <f>B4-C4</f>
        <v>2.129901444731277</v>
      </c>
      <c r="J4" s="275">
        <f>D4-E4</f>
        <v>-2.1653706861353017</v>
      </c>
      <c r="K4" s="275">
        <f>F4-G4</f>
        <v>0</v>
      </c>
      <c r="L4" s="273">
        <f>I4*$B$11*$C$28</f>
        <v>28380.929717447161</v>
      </c>
      <c r="M4" s="273">
        <f>J4*$B$12*$C$28</f>
        <v>-11926.346248530643</v>
      </c>
      <c r="N4" s="273">
        <f>K4*$B$10*$C$28</f>
        <v>0</v>
      </c>
      <c r="O4" s="273">
        <f>SUM(L4:N4)</f>
        <v>16454.58346891652</v>
      </c>
      <c r="P4" s="273">
        <f>SUM(O$2:O4)</f>
        <v>23779.497793835646</v>
      </c>
      <c r="Q4" s="181">
        <f>+'[30]Daily Log (Levelized)'!$C72</f>
        <v>262186</v>
      </c>
      <c r="R4" s="276">
        <f>+Q4-O4</f>
        <v>245731.41653108347</v>
      </c>
    </row>
    <row r="5" spans="1:18">
      <c r="A5" s="424">
        <f>+A4+1</f>
        <v>40602</v>
      </c>
      <c r="B5" s="425">
        <f>+'[18]Daily Actuals vs Daily Normals'!$B71</f>
        <v>3.7076098015535153</v>
      </c>
      <c r="C5" s="464">
        <f>+'[18]Daily Actuals vs Daily Normals'!$C$65/28</f>
        <v>1.0760783109912819</v>
      </c>
      <c r="D5" s="414">
        <f>+'[18]Daily Actuals vs Daily Normals'!I71</f>
        <v>0</v>
      </c>
      <c r="E5" s="425">
        <f ca="1">+'Variance Plan'!$E$9/28</f>
        <v>2.1653706861353017</v>
      </c>
      <c r="F5" s="414">
        <v>0</v>
      </c>
      <c r="G5" s="464">
        <f ca="1">+'Variance Plan'!$E$7/28</f>
        <v>0</v>
      </c>
      <c r="H5" s="277"/>
      <c r="I5" s="275">
        <f>B5-C5</f>
        <v>2.6315314905622333</v>
      </c>
      <c r="J5" s="275">
        <f>D5-E5</f>
        <v>-2.1653706861353017</v>
      </c>
      <c r="K5" s="275">
        <f>F5-G5</f>
        <v>0</v>
      </c>
      <c r="L5" s="273">
        <f>I5*$B$11*$C$28</f>
        <v>35065.148421606202</v>
      </c>
      <c r="M5" s="273">
        <f>J5*$B$12*$C$28</f>
        <v>-11926.346248530643</v>
      </c>
      <c r="N5" s="273">
        <f>K5*$B$10*$C$28</f>
        <v>0</v>
      </c>
      <c r="O5" s="273">
        <f>SUM(L5:N5)</f>
        <v>23138.802173075557</v>
      </c>
      <c r="P5" s="273">
        <f>SUM(O$2:O5)</f>
        <v>46918.299966911203</v>
      </c>
      <c r="Q5" s="181">
        <f>+'[30]Daily Log (Levelized)'!$C73</f>
        <v>283612</v>
      </c>
      <c r="R5" s="276">
        <f>+Q5-O5</f>
        <v>260473.19782692444</v>
      </c>
    </row>
    <row r="6" spans="1:18">
      <c r="L6" s="273"/>
      <c r="O6" s="426">
        <f>SUM(O3:O5)</f>
        <v>46918.299966911203</v>
      </c>
      <c r="P6" s="426">
        <f>SUM(P3:P5)</f>
        <v>78022.712085665975</v>
      </c>
      <c r="Q6" s="426">
        <f>SUM(Q3:Q5)</f>
        <v>804426</v>
      </c>
      <c r="R6" s="426">
        <f>SUM(R3:R5)</f>
        <v>757507.70003308868</v>
      </c>
    </row>
    <row r="7" spans="1:18">
      <c r="L7" s="273"/>
      <c r="R7" s="426"/>
    </row>
    <row r="8" spans="1:18">
      <c r="A8" s="239" t="s">
        <v>157</v>
      </c>
      <c r="B8" s="1" t="s">
        <v>19</v>
      </c>
      <c r="C8" s="272"/>
    </row>
    <row r="9" spans="1:18">
      <c r="A9" t="s">
        <v>84</v>
      </c>
      <c r="B9" s="279">
        <v>1.548202048113029</v>
      </c>
      <c r="C9" s="272"/>
    </row>
    <row r="10" spans="1:18">
      <c r="A10" s="412" t="s">
        <v>85</v>
      </c>
      <c r="B10" s="427">
        <v>1.7438085153939766E-2</v>
      </c>
      <c r="C10" s="272"/>
    </row>
    <row r="11" spans="1:18">
      <c r="A11" s="412" t="s">
        <v>86</v>
      </c>
      <c r="B11" s="427">
        <v>2.9354163517797079E-3</v>
      </c>
      <c r="C11" s="272"/>
    </row>
    <row r="12" spans="1:18">
      <c r="A12" s="412" t="s">
        <v>87</v>
      </c>
      <c r="B12" s="427">
        <v>1.2133267139738657E-3</v>
      </c>
      <c r="C12" s="272"/>
    </row>
    <row r="13" spans="1:18">
      <c r="A13" t="s">
        <v>88</v>
      </c>
      <c r="B13" s="279">
        <v>-2.6984927541592394</v>
      </c>
    </row>
    <row r="14" spans="1:18">
      <c r="A14" t="s">
        <v>89</v>
      </c>
      <c r="B14" s="279">
        <v>-1.7962555069603001</v>
      </c>
    </row>
    <row r="15" spans="1:18">
      <c r="A15" t="s">
        <v>90</v>
      </c>
      <c r="B15" s="279">
        <v>2.2062176858550154E-2</v>
      </c>
    </row>
    <row r="16" spans="1:18">
      <c r="A16" t="s">
        <v>91</v>
      </c>
      <c r="B16" s="279">
        <v>9.8040700862934496E-2</v>
      </c>
    </row>
    <row r="17" spans="1:3">
      <c r="A17" t="s">
        <v>22</v>
      </c>
      <c r="B17" s="279">
        <v>-0.14680895291551435</v>
      </c>
    </row>
    <row r="18" spans="1:3">
      <c r="A18" t="s">
        <v>92</v>
      </c>
      <c r="B18" s="279">
        <v>-3.6304981975131996E-2</v>
      </c>
    </row>
    <row r="19" spans="1:3">
      <c r="A19" t="s">
        <v>93</v>
      </c>
      <c r="B19" s="279">
        <v>-5.4592407450387181E-2</v>
      </c>
    </row>
    <row r="20" spans="1:3">
      <c r="A20" t="s">
        <v>94</v>
      </c>
      <c r="B20" s="279">
        <v>-5.1858489753623678E-2</v>
      </c>
    </row>
    <row r="21" spans="1:3">
      <c r="A21" t="s">
        <v>95</v>
      </c>
      <c r="B21" s="279">
        <v>0.11149920037514183</v>
      </c>
    </row>
    <row r="22" spans="1:3">
      <c r="A22" t="s">
        <v>96</v>
      </c>
      <c r="B22" s="279">
        <v>-5.6538730487937831E-2</v>
      </c>
    </row>
    <row r="23" spans="1:3">
      <c r="A23" t="s">
        <v>97</v>
      </c>
      <c r="B23" s="279">
        <v>0.10606078306781035</v>
      </c>
    </row>
    <row r="24" spans="1:3">
      <c r="A24" t="s">
        <v>98</v>
      </c>
      <c r="B24" s="279">
        <v>-3.7732034739855242E-4</v>
      </c>
    </row>
    <row r="25" spans="1:3">
      <c r="A25" t="s">
        <v>99</v>
      </c>
      <c r="B25" s="279">
        <v>0.32325220069960209</v>
      </c>
    </row>
    <row r="28" spans="1:3">
      <c r="A28" s="180" t="s">
        <v>12</v>
      </c>
      <c r="B28" s="428">
        <v>40575</v>
      </c>
      <c r="C28" s="47">
        <f>+'[20]System - Monthly'!$I$558</f>
        <v>4539389</v>
      </c>
    </row>
    <row r="29" spans="1:3">
      <c r="B29" s="428">
        <v>40603</v>
      </c>
      <c r="C29" s="47">
        <f>+'[20]System - Monthly'!$I$559</f>
        <v>4546574</v>
      </c>
    </row>
    <row r="33" spans="1:18" ht="39.6">
      <c r="A33" s="422" t="s">
        <v>321</v>
      </c>
      <c r="B33" s="269" t="s">
        <v>78</v>
      </c>
      <c r="C33" s="269" t="s">
        <v>79</v>
      </c>
      <c r="D33" s="269" t="s">
        <v>149</v>
      </c>
      <c r="E33" s="423" t="s">
        <v>274</v>
      </c>
      <c r="F33" s="269" t="s">
        <v>150</v>
      </c>
      <c r="G33" s="269" t="s">
        <v>151</v>
      </c>
      <c r="H33"/>
      <c r="I33" s="271" t="s">
        <v>80</v>
      </c>
      <c r="J33" s="271" t="s">
        <v>152</v>
      </c>
      <c r="K33" s="271" t="s">
        <v>153</v>
      </c>
      <c r="L33" s="271" t="s">
        <v>81</v>
      </c>
      <c r="M33" s="271" t="s">
        <v>154</v>
      </c>
      <c r="N33" s="271" t="s">
        <v>155</v>
      </c>
      <c r="O33" s="271" t="s">
        <v>82</v>
      </c>
      <c r="P33" s="271" t="s">
        <v>156</v>
      </c>
      <c r="Q33" s="271" t="s">
        <v>48</v>
      </c>
      <c r="R33" s="271" t="s">
        <v>275</v>
      </c>
    </row>
    <row r="34" spans="1:18">
      <c r="A34" s="424">
        <v>40631</v>
      </c>
      <c r="B34" s="425">
        <f>+'[18]Daily Actuals vs Daily Normals'!$B104</f>
        <v>3.6653947130134306</v>
      </c>
      <c r="C34" s="425">
        <f>+'[18]Daily Actuals vs Daily Normals'!$C$100/31</f>
        <v>1.8998905941626978</v>
      </c>
      <c r="D34" s="425">
        <f>+'[18]Daily Actuals vs Daily Normals'!$I104</f>
        <v>0</v>
      </c>
      <c r="E34" s="425">
        <f ca="1">+'Variance Plan'!$F$9/31</f>
        <v>0.90642769616834673</v>
      </c>
      <c r="F34" s="414">
        <v>0</v>
      </c>
      <c r="G34" s="425">
        <f ca="1">+'Variance Plan'!$F$7/31</f>
        <v>0</v>
      </c>
      <c r="H34"/>
      <c r="I34" s="275">
        <f>B34-C34</f>
        <v>1.7655041188507328</v>
      </c>
      <c r="J34" s="275">
        <f>D34-E34</f>
        <v>-0.90642769616834673</v>
      </c>
      <c r="K34" s="275">
        <f>F34-G34</f>
        <v>0</v>
      </c>
      <c r="L34" s="273">
        <f>I34*$B$11*$C$29</f>
        <v>23562.57274164652</v>
      </c>
      <c r="M34" s="273">
        <f>J34*$B$12*$C$29</f>
        <v>-5000.2899775073811</v>
      </c>
      <c r="N34" s="273">
        <f>K34*$B$10*$C$29</f>
        <v>0</v>
      </c>
      <c r="O34" s="273">
        <f>SUM(L34:N34)</f>
        <v>18562.282764139138</v>
      </c>
      <c r="P34" s="273">
        <f>SUM(O$34:O34)</f>
        <v>18562.282764139138</v>
      </c>
      <c r="Q34" s="181">
        <f>+'[30]Daily Log (Levelized)'!$C102</f>
        <v>285970</v>
      </c>
      <c r="R34" s="276">
        <f>+Q34-O34</f>
        <v>267407.71723586088</v>
      </c>
    </row>
    <row r="35" spans="1:18">
      <c r="A35" s="424">
        <f>+A34+1</f>
        <v>40632</v>
      </c>
      <c r="B35" s="425">
        <f>+'[18]Daily Actuals vs Daily Normals'!$B105</f>
        <v>6.326022275940872</v>
      </c>
      <c r="C35" s="425">
        <f>+'[18]Daily Actuals vs Daily Normals'!$C$100/31</f>
        <v>1.8998905941626978</v>
      </c>
      <c r="D35" s="425">
        <f>+'[18]Daily Actuals vs Daily Normals'!$I105</f>
        <v>0</v>
      </c>
      <c r="E35" s="425">
        <f ca="1">+'Variance Plan'!$F$9/31</f>
        <v>0.90642769616834673</v>
      </c>
      <c r="F35" s="414">
        <v>0</v>
      </c>
      <c r="G35" s="425">
        <f ca="1">+'Variance Plan'!$F$7/31</f>
        <v>0</v>
      </c>
      <c r="H35"/>
      <c r="I35" s="275">
        <f>B35-C35</f>
        <v>4.4261316817781742</v>
      </c>
      <c r="J35" s="275">
        <f>D35-E35</f>
        <v>-0.90642769616834673</v>
      </c>
      <c r="K35" s="275">
        <f>F35-G35</f>
        <v>0</v>
      </c>
      <c r="L35" s="273">
        <f>I35*$B$11*$C$29</f>
        <v>59071.541438200366</v>
      </c>
      <c r="M35" s="273">
        <f>J35*$B$12*$C$29</f>
        <v>-5000.2899775073811</v>
      </c>
      <c r="N35" s="273">
        <f>K35*$B$10*$C$29</f>
        <v>0</v>
      </c>
      <c r="O35" s="273">
        <f>SUM(L35:N35)</f>
        <v>54071.251460692984</v>
      </c>
      <c r="P35" s="273">
        <f>SUM(O$34:O35)</f>
        <v>72633.534224832125</v>
      </c>
      <c r="Q35" s="181">
        <f>+'[30]Daily Log (Levelized)'!$C103</f>
        <v>311584</v>
      </c>
      <c r="R35" s="276">
        <f>+Q35-O35</f>
        <v>257512.74853930701</v>
      </c>
    </row>
    <row r="36" spans="1:18">
      <c r="A36" s="424">
        <f>+A35+1</f>
        <v>40633</v>
      </c>
      <c r="B36" s="425">
        <f>+'[18]Daily Actuals vs Daily Normals'!$B106</f>
        <v>6.5187488833047214</v>
      </c>
      <c r="C36" s="425">
        <f>+'[18]Daily Actuals vs Daily Normals'!$C$100/31</f>
        <v>1.8998905941626978</v>
      </c>
      <c r="D36" s="425">
        <f>+'[18]Daily Actuals vs Daily Normals'!$I106</f>
        <v>0</v>
      </c>
      <c r="E36" s="425">
        <f ca="1">+'Variance Plan'!$F$9/31</f>
        <v>0.90642769616834673</v>
      </c>
      <c r="F36" s="414">
        <v>0</v>
      </c>
      <c r="G36" s="425">
        <f ca="1">+'Variance Plan'!$F$7/31</f>
        <v>0</v>
      </c>
      <c r="H36"/>
      <c r="I36" s="275">
        <f>B36-C36</f>
        <v>4.6188582891420236</v>
      </c>
      <c r="J36" s="275">
        <f>D36-E36</f>
        <v>-0.90642769616834673</v>
      </c>
      <c r="K36" s="275">
        <f>F36-G36</f>
        <v>0</v>
      </c>
      <c r="L36" s="273">
        <f>I36*$B$11*$C$29</f>
        <v>61643.687635297618</v>
      </c>
      <c r="M36" s="273">
        <f>J36*$B$12*$C$29</f>
        <v>-5000.2899775073811</v>
      </c>
      <c r="N36" s="273">
        <f>K36*$B$10*$C$29</f>
        <v>0</v>
      </c>
      <c r="O36" s="273">
        <f>SUM(L36:N36)</f>
        <v>56643.397657790236</v>
      </c>
      <c r="P36" s="273">
        <f>SUM(O$34:O36)</f>
        <v>129276.93188262236</v>
      </c>
      <c r="Q36" s="181">
        <f>+'[30]Daily Log (Levelized)'!$C104</f>
        <v>314535</v>
      </c>
      <c r="R36" s="276">
        <f>+Q36-O36</f>
        <v>257891.60234220978</v>
      </c>
    </row>
    <row r="37" spans="1:18">
      <c r="H37"/>
      <c r="L37" s="273"/>
      <c r="O37" s="426">
        <f>SUM(O34:O36)</f>
        <v>129276.93188262236</v>
      </c>
      <c r="P37" s="426">
        <f>SUM(P34:P36)</f>
        <v>220472.74887159362</v>
      </c>
      <c r="Q37" s="426">
        <f>SUM(Q34:Q36)</f>
        <v>912089</v>
      </c>
      <c r="R37" s="426">
        <f>SUM(R34:R36)</f>
        <v>782812.0681173777</v>
      </c>
    </row>
    <row r="38" spans="1:18">
      <c r="H38"/>
      <c r="L38" s="273"/>
      <c r="R38" s="426"/>
    </row>
    <row r="39" spans="1:18">
      <c r="H39"/>
    </row>
    <row r="40" spans="1:18">
      <c r="H40"/>
      <c r="O40" s="426">
        <f>O37-O6</f>
        <v>82358.631915711157</v>
      </c>
    </row>
    <row r="41" spans="1:18">
      <c r="H41"/>
    </row>
    <row r="42" spans="1:18">
      <c r="H42"/>
    </row>
  </sheetData>
  <phoneticPr fontId="2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B47"/>
  <sheetViews>
    <sheetView topLeftCell="B1" workbookViewId="0">
      <selection activeCell="B1" sqref="B1"/>
    </sheetView>
  </sheetViews>
  <sheetFormatPr defaultRowHeight="13.2"/>
  <cols>
    <col min="1" max="1" width="3.88671875" customWidth="1"/>
    <col min="2" max="2" width="34.33203125" customWidth="1"/>
    <col min="3" max="3" width="10.5546875" bestFit="1" customWidth="1"/>
    <col min="9" max="9" width="2.33203125" customWidth="1"/>
  </cols>
  <sheetData>
    <row r="1" spans="1:28" ht="56.25" customHeight="1">
      <c r="B1" s="780" t="s">
        <v>505</v>
      </c>
    </row>
    <row r="2" spans="1:28" ht="52.8">
      <c r="A2" s="511"/>
      <c r="B2" s="511">
        <v>40603</v>
      </c>
      <c r="C2" s="512" t="s">
        <v>78</v>
      </c>
      <c r="D2" s="512" t="s">
        <v>79</v>
      </c>
      <c r="E2" s="512" t="s">
        <v>149</v>
      </c>
      <c r="F2" s="513" t="s">
        <v>274</v>
      </c>
      <c r="G2" s="512" t="s">
        <v>150</v>
      </c>
      <c r="H2" s="512" t="s">
        <v>151</v>
      </c>
      <c r="I2" s="514"/>
      <c r="J2" s="515" t="s">
        <v>80</v>
      </c>
      <c r="K2" s="515" t="s">
        <v>152</v>
      </c>
      <c r="L2" s="515" t="s">
        <v>153</v>
      </c>
      <c r="M2" s="515" t="s">
        <v>81</v>
      </c>
      <c r="N2" s="515" t="s">
        <v>154</v>
      </c>
      <c r="O2" s="515" t="s">
        <v>155</v>
      </c>
      <c r="P2" s="515" t="s">
        <v>82</v>
      </c>
      <c r="Q2" s="515" t="s">
        <v>156</v>
      </c>
      <c r="R2" s="515" t="s">
        <v>48</v>
      </c>
      <c r="S2" s="515" t="s">
        <v>275</v>
      </c>
      <c r="T2" s="511">
        <v>40603</v>
      </c>
      <c r="U2" s="516"/>
      <c r="V2" s="516"/>
      <c r="W2" s="516"/>
      <c r="X2" s="516"/>
      <c r="Y2" s="516"/>
      <c r="Z2" s="516"/>
      <c r="AA2" s="516"/>
      <c r="AB2" s="516"/>
    </row>
    <row r="3" spans="1:28">
      <c r="A3" s="517"/>
      <c r="B3" s="517">
        <v>40631</v>
      </c>
      <c r="C3" s="518">
        <f>+'[18]Daily Actuals vs Daily Normals'!$B104</f>
        <v>3.6653947130134306</v>
      </c>
      <c r="D3" s="519">
        <f>+'[18]Daily Actuals vs Daily Normals'!$C$100/31</f>
        <v>1.8998905941626978</v>
      </c>
      <c r="E3" s="520">
        <f>+'[18]Daily Actuals vs Daily Normals'!$I104</f>
        <v>0</v>
      </c>
      <c r="F3" s="518">
        <f>+'[18]Daily Actuals vs Daily Normals'!$E$100/31</f>
        <v>1.659831000633279</v>
      </c>
      <c r="G3" s="520">
        <v>0</v>
      </c>
      <c r="H3" s="519">
        <f ca="1">+'Variance Plan'!$E$7/28</f>
        <v>0</v>
      </c>
      <c r="I3" s="521"/>
      <c r="J3" s="522">
        <f>C3-D3</f>
        <v>1.7655041188507328</v>
      </c>
      <c r="K3" s="522">
        <f>E3-F3</f>
        <v>-1.659831000633279</v>
      </c>
      <c r="L3" s="522">
        <f>G3-H3</f>
        <v>0</v>
      </c>
      <c r="M3" s="523">
        <f>J3*$C$11*$D$28</f>
        <v>23562.57274164652</v>
      </c>
      <c r="N3" s="523">
        <f>K3*$C$12*$D$28</f>
        <v>-9156.4240059156127</v>
      </c>
      <c r="O3" s="523">
        <f>L3*$C$10*$D$28</f>
        <v>0</v>
      </c>
      <c r="P3" s="523">
        <f>SUM(M3:O3)</f>
        <v>14406.148735730907</v>
      </c>
      <c r="Q3" s="523">
        <f>SUM(P$2:P3)</f>
        <v>14406.148735730907</v>
      </c>
      <c r="R3" s="524">
        <f>+[32]Apr_SAP_impact!C31</f>
        <v>285970</v>
      </c>
      <c r="S3" s="525">
        <f>+R3-P3</f>
        <v>271563.85126426909</v>
      </c>
      <c r="T3" s="517">
        <v>40631</v>
      </c>
      <c r="U3" s="516"/>
      <c r="V3" s="516"/>
      <c r="W3" s="516"/>
      <c r="X3" s="516"/>
      <c r="Y3" s="516"/>
      <c r="Z3" s="516"/>
      <c r="AA3" s="516"/>
      <c r="AB3" s="516"/>
    </row>
    <row r="4" spans="1:28">
      <c r="A4" s="517"/>
      <c r="B4" s="517">
        <f>+B3+1</f>
        <v>40632</v>
      </c>
      <c r="C4" s="518">
        <f>+'[18]Daily Actuals vs Daily Normals'!$B105</f>
        <v>6.326022275940872</v>
      </c>
      <c r="D4" s="519">
        <f>+D3</f>
        <v>1.8998905941626978</v>
      </c>
      <c r="E4" s="520">
        <f>+'[18]Daily Actuals vs Daily Normals'!$I105</f>
        <v>0</v>
      </c>
      <c r="F4" s="518">
        <f>+F3</f>
        <v>1.659831000633279</v>
      </c>
      <c r="G4" s="520">
        <v>0</v>
      </c>
      <c r="H4" s="519">
        <f ca="1">+'Variance Plan'!$E$7/28</f>
        <v>0</v>
      </c>
      <c r="I4" s="521"/>
      <c r="J4" s="522">
        <f>C4-D4</f>
        <v>4.4261316817781742</v>
      </c>
      <c r="K4" s="522">
        <f>E4-F4</f>
        <v>-1.659831000633279</v>
      </c>
      <c r="L4" s="522">
        <f>G4-H4</f>
        <v>0</v>
      </c>
      <c r="M4" s="523">
        <f>J4*$C$11*$D$28</f>
        <v>59071.541438200366</v>
      </c>
      <c r="N4" s="523">
        <f>K4*$C$12*$D$28</f>
        <v>-9156.4240059156127</v>
      </c>
      <c r="O4" s="523">
        <f>L4*$C$10*$D$28</f>
        <v>0</v>
      </c>
      <c r="P4" s="523">
        <f>SUM(M4:O4)</f>
        <v>49915.117432284751</v>
      </c>
      <c r="Q4" s="523">
        <f>SUM(P$2:P4)</f>
        <v>64321.26616801566</v>
      </c>
      <c r="R4" s="524">
        <f>+[32]Apr_SAP_impact!C32</f>
        <v>311584</v>
      </c>
      <c r="S4" s="525">
        <f>+R4-P4</f>
        <v>261668.88256771525</v>
      </c>
      <c r="T4" s="517">
        <f>+T3+1</f>
        <v>40632</v>
      </c>
      <c r="U4" s="516"/>
      <c r="V4" s="516"/>
      <c r="W4" s="516"/>
      <c r="X4" s="516"/>
      <c r="Y4" s="516"/>
      <c r="Z4" s="516"/>
      <c r="AA4" s="516"/>
      <c r="AB4" s="516"/>
    </row>
    <row r="5" spans="1:28">
      <c r="A5" s="517"/>
      <c r="B5" s="517">
        <f>+B4+1</f>
        <v>40633</v>
      </c>
      <c r="C5" s="518">
        <f>+'[18]Daily Actuals vs Daily Normals'!$B106</f>
        <v>6.5187488833047214</v>
      </c>
      <c r="D5" s="519">
        <f>+D4</f>
        <v>1.8998905941626978</v>
      </c>
      <c r="E5" s="520">
        <f>+'[18]Daily Actuals vs Daily Normals'!$I106</f>
        <v>0</v>
      </c>
      <c r="F5" s="518">
        <f>+F4</f>
        <v>1.659831000633279</v>
      </c>
      <c r="G5" s="520">
        <v>0</v>
      </c>
      <c r="H5" s="519">
        <f ca="1">+'Variance Plan'!$E$7/28</f>
        <v>0</v>
      </c>
      <c r="I5" s="277"/>
      <c r="J5" s="522">
        <f>C5-D5</f>
        <v>4.6188582891420236</v>
      </c>
      <c r="K5" s="522">
        <f>E5-F5</f>
        <v>-1.659831000633279</v>
      </c>
      <c r="L5" s="522">
        <f>G5-H5</f>
        <v>0</v>
      </c>
      <c r="M5" s="523">
        <f>J5*$C$11*$D$28</f>
        <v>61643.687635297618</v>
      </c>
      <c r="N5" s="523">
        <f>K5*$C$12*$D$28</f>
        <v>-9156.4240059156127</v>
      </c>
      <c r="O5" s="523">
        <f>L5*$C$10*$D$28</f>
        <v>0</v>
      </c>
      <c r="P5" s="523">
        <f>SUM(M5:O5)</f>
        <v>52487.263629382003</v>
      </c>
      <c r="Q5" s="523">
        <f>SUM(P$2:P5)</f>
        <v>116808.52979739767</v>
      </c>
      <c r="R5" s="524">
        <f>+[32]Apr_SAP_impact!C33</f>
        <v>314535</v>
      </c>
      <c r="S5" s="525">
        <f>+R5-P5</f>
        <v>262047.73637061799</v>
      </c>
      <c r="T5" s="517">
        <f>+T4+1</f>
        <v>40633</v>
      </c>
      <c r="U5" s="516"/>
      <c r="V5" s="516"/>
      <c r="W5" s="516"/>
      <c r="X5" s="516"/>
      <c r="Y5" s="516"/>
      <c r="Z5" s="516"/>
      <c r="AA5" s="516"/>
      <c r="AB5" s="516"/>
    </row>
    <row r="6" spans="1:28">
      <c r="A6" s="526"/>
      <c r="B6" s="526"/>
      <c r="C6" s="527"/>
      <c r="D6" s="526"/>
      <c r="E6" s="526"/>
      <c r="F6" s="526"/>
      <c r="G6" s="526"/>
      <c r="H6" s="526"/>
      <c r="I6" s="526"/>
      <c r="J6" s="526"/>
      <c r="K6" s="526"/>
      <c r="L6" s="526"/>
      <c r="M6" s="523"/>
      <c r="N6" s="526"/>
      <c r="O6" s="526"/>
      <c r="P6" s="528">
        <f>SUM(P3:P5)</f>
        <v>116808.52979739767</v>
      </c>
      <c r="Q6" s="528">
        <f>SUM(Q3:Q5)</f>
        <v>195535.94470114424</v>
      </c>
      <c r="R6" s="529">
        <f>SUM(R3:R5)</f>
        <v>912089</v>
      </c>
      <c r="S6" s="529">
        <f>SUM(S3:S5)</f>
        <v>795280.47020260233</v>
      </c>
      <c r="T6" s="516"/>
      <c r="U6" s="516"/>
      <c r="V6" s="516"/>
      <c r="W6" s="516"/>
      <c r="X6" s="516"/>
      <c r="Y6" s="516"/>
      <c r="Z6" s="516"/>
      <c r="AA6" s="516"/>
      <c r="AB6" s="516"/>
    </row>
    <row r="7" spans="1:28">
      <c r="A7" s="526"/>
      <c r="B7" s="526"/>
      <c r="C7" s="526"/>
      <c r="D7" s="530"/>
      <c r="E7" s="526"/>
      <c r="F7" s="526"/>
      <c r="G7" s="526"/>
      <c r="H7" s="526"/>
      <c r="I7" s="526"/>
      <c r="J7" s="526"/>
      <c r="K7" s="526"/>
      <c r="L7" s="526"/>
      <c r="M7" s="523"/>
      <c r="N7" s="526"/>
      <c r="O7" s="526"/>
      <c r="P7" s="526"/>
      <c r="Q7" s="526"/>
      <c r="R7" s="526"/>
      <c r="S7" s="528"/>
      <c r="T7" s="516"/>
      <c r="U7" s="516"/>
      <c r="V7" s="516"/>
      <c r="W7" s="516"/>
      <c r="X7" s="516"/>
      <c r="Y7" s="516"/>
      <c r="Z7" s="516"/>
      <c r="AA7" s="516"/>
      <c r="AB7" s="516"/>
    </row>
    <row r="8" spans="1:28">
      <c r="A8" s="531"/>
      <c r="B8" s="531" t="s">
        <v>157</v>
      </c>
      <c r="C8" s="532" t="s">
        <v>19</v>
      </c>
      <c r="D8" s="533"/>
      <c r="E8" s="526"/>
      <c r="F8" s="526"/>
      <c r="G8" s="526"/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16"/>
      <c r="U8" s="516"/>
      <c r="V8" s="516"/>
      <c r="W8" s="516"/>
      <c r="X8" s="516"/>
      <c r="Y8" s="516"/>
      <c r="Z8" s="516"/>
      <c r="AA8" s="516"/>
      <c r="AB8" s="516"/>
    </row>
    <row r="9" spans="1:28">
      <c r="A9" s="534"/>
      <c r="B9" s="534" t="s">
        <v>84</v>
      </c>
      <c r="C9" s="535">
        <v>1.548202048113029</v>
      </c>
      <c r="D9" s="51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16"/>
      <c r="U9" s="516"/>
      <c r="V9" s="516"/>
      <c r="W9" s="516"/>
      <c r="X9" s="516"/>
      <c r="Y9" s="516"/>
      <c r="Z9" s="516"/>
      <c r="AA9" s="516"/>
      <c r="AB9" s="516"/>
    </row>
    <row r="10" spans="1:28">
      <c r="A10" s="536"/>
      <c r="B10" s="536" t="s">
        <v>85</v>
      </c>
      <c r="C10" s="537">
        <v>1.7438085153939766E-2</v>
      </c>
      <c r="D10" s="51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16"/>
      <c r="U10" s="516"/>
      <c r="V10" s="516"/>
      <c r="W10" s="516"/>
      <c r="X10" s="516"/>
      <c r="Y10" s="516"/>
      <c r="Z10" s="516"/>
      <c r="AA10" s="516"/>
      <c r="AB10" s="516"/>
    </row>
    <row r="11" spans="1:28">
      <c r="A11" s="536"/>
      <c r="B11" s="536" t="s">
        <v>86</v>
      </c>
      <c r="C11" s="537">
        <v>2.9354163517797079E-3</v>
      </c>
      <c r="D11" s="51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16"/>
      <c r="U11" s="516"/>
      <c r="V11" s="516"/>
      <c r="W11" s="516"/>
      <c r="X11" s="516"/>
      <c r="Y11" s="516"/>
      <c r="Z11" s="516"/>
      <c r="AA11" s="516"/>
      <c r="AB11" s="516"/>
    </row>
    <row r="12" spans="1:28">
      <c r="A12" s="536"/>
      <c r="B12" s="536" t="s">
        <v>87</v>
      </c>
      <c r="C12" s="537">
        <v>1.2133267139738657E-3</v>
      </c>
      <c r="D12" s="516"/>
      <c r="E12" s="526"/>
      <c r="F12" s="526"/>
      <c r="G12" s="526"/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526"/>
      <c r="S12" s="526"/>
      <c r="T12" s="516"/>
      <c r="U12" s="516"/>
      <c r="V12" s="516"/>
      <c r="W12" s="516"/>
      <c r="X12" s="516"/>
      <c r="Y12" s="516"/>
      <c r="Z12" s="516"/>
      <c r="AA12" s="516"/>
      <c r="AB12" s="516"/>
    </row>
    <row r="13" spans="1:28">
      <c r="A13" s="534"/>
      <c r="B13" s="534" t="s">
        <v>88</v>
      </c>
      <c r="C13" s="535">
        <v>-2.6984927541592394</v>
      </c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16"/>
      <c r="U13" s="516"/>
      <c r="V13" s="516"/>
      <c r="W13" s="516"/>
      <c r="X13" s="516"/>
      <c r="Y13" s="516"/>
      <c r="Z13" s="516"/>
      <c r="AA13" s="516"/>
      <c r="AB13" s="516"/>
    </row>
    <row r="14" spans="1:28">
      <c r="A14" s="534"/>
      <c r="B14" s="534" t="s">
        <v>89</v>
      </c>
      <c r="C14" s="535">
        <v>-1.7962555069603001</v>
      </c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16"/>
      <c r="U14" s="516"/>
      <c r="V14" s="516"/>
      <c r="W14" s="516"/>
      <c r="X14" s="516"/>
      <c r="Y14" s="516"/>
      <c r="Z14" s="516"/>
      <c r="AA14" s="516"/>
      <c r="AB14" s="516"/>
    </row>
    <row r="15" spans="1:28">
      <c r="A15" s="534"/>
      <c r="B15" s="534" t="s">
        <v>90</v>
      </c>
      <c r="C15" s="535">
        <v>2.2062176858550154E-2</v>
      </c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16"/>
      <c r="U15" s="516"/>
      <c r="V15" s="516"/>
      <c r="W15" s="516"/>
      <c r="X15" s="516"/>
      <c r="Y15" s="516"/>
      <c r="Z15" s="516"/>
      <c r="AA15" s="516"/>
      <c r="AB15" s="516"/>
    </row>
    <row r="16" spans="1:28">
      <c r="A16" s="534"/>
      <c r="B16" s="534" t="s">
        <v>91</v>
      </c>
      <c r="C16" s="535">
        <v>9.8040700862934496E-2</v>
      </c>
      <c r="D16" s="526"/>
      <c r="E16" s="526"/>
      <c r="F16" s="526"/>
      <c r="G16" s="526"/>
      <c r="H16" s="526"/>
      <c r="I16" s="526"/>
      <c r="J16" s="526"/>
      <c r="K16" s="526"/>
      <c r="L16" s="526"/>
      <c r="M16" s="526"/>
      <c r="N16" s="526"/>
      <c r="O16" s="526"/>
      <c r="P16" s="526"/>
      <c r="Q16" s="526"/>
      <c r="R16" s="526"/>
      <c r="S16" s="526"/>
      <c r="T16" s="516"/>
      <c r="U16" s="516"/>
      <c r="V16" s="516"/>
      <c r="W16" s="516"/>
      <c r="X16" s="516"/>
      <c r="Y16" s="516"/>
      <c r="Z16" s="516"/>
      <c r="AA16" s="516"/>
      <c r="AB16" s="516"/>
    </row>
    <row r="17" spans="1:28">
      <c r="A17" s="534"/>
      <c r="B17" s="534" t="s">
        <v>22</v>
      </c>
      <c r="C17" s="535">
        <v>-0.14680895291551435</v>
      </c>
      <c r="D17" s="526"/>
      <c r="E17" s="526"/>
      <c r="F17" s="526"/>
      <c r="G17" s="526"/>
      <c r="H17" s="526"/>
      <c r="I17" s="526"/>
      <c r="J17" s="526"/>
      <c r="K17" s="526"/>
      <c r="L17" s="526"/>
      <c r="M17" s="526"/>
      <c r="N17" s="526"/>
      <c r="O17" s="526"/>
      <c r="P17" s="526"/>
      <c r="Q17" s="526"/>
      <c r="R17" s="526"/>
      <c r="S17" s="526"/>
      <c r="T17" s="516"/>
      <c r="U17" s="516"/>
      <c r="V17" s="516"/>
      <c r="W17" s="516"/>
      <c r="X17" s="516"/>
      <c r="Y17" s="516"/>
      <c r="Z17" s="516"/>
      <c r="AA17" s="516"/>
      <c r="AB17" s="516"/>
    </row>
    <row r="18" spans="1:28">
      <c r="A18" s="534"/>
      <c r="B18" s="534" t="s">
        <v>92</v>
      </c>
      <c r="C18" s="535">
        <v>-3.6304981975131996E-2</v>
      </c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16"/>
      <c r="U18" s="516"/>
      <c r="V18" s="516"/>
      <c r="W18" s="516"/>
      <c r="X18" s="516"/>
      <c r="Y18" s="516"/>
      <c r="Z18" s="516"/>
      <c r="AA18" s="516"/>
      <c r="AB18" s="516"/>
    </row>
    <row r="19" spans="1:28">
      <c r="A19" s="534"/>
      <c r="B19" s="534" t="s">
        <v>93</v>
      </c>
      <c r="C19" s="535">
        <v>-5.4592407450387181E-2</v>
      </c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16"/>
      <c r="U19" s="516"/>
      <c r="V19" s="516"/>
      <c r="W19" s="516"/>
      <c r="X19" s="516"/>
      <c r="Y19" s="516"/>
      <c r="Z19" s="516"/>
      <c r="AA19" s="516"/>
      <c r="AB19" s="516"/>
    </row>
    <row r="20" spans="1:28">
      <c r="A20" s="534"/>
      <c r="B20" s="534" t="s">
        <v>94</v>
      </c>
      <c r="C20" s="535">
        <v>-5.1858489753623678E-2</v>
      </c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16"/>
      <c r="U20" s="516"/>
      <c r="V20" s="516"/>
      <c r="W20" s="516"/>
      <c r="X20" s="516"/>
      <c r="Y20" s="516"/>
      <c r="Z20" s="516"/>
      <c r="AA20" s="516"/>
      <c r="AB20" s="516"/>
    </row>
    <row r="21" spans="1:28">
      <c r="A21" s="534"/>
      <c r="B21" s="534" t="s">
        <v>95</v>
      </c>
      <c r="C21" s="535">
        <v>0.11149920037514183</v>
      </c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16"/>
      <c r="U21" s="516"/>
      <c r="V21" s="516"/>
      <c r="W21" s="516"/>
      <c r="X21" s="516"/>
      <c r="Y21" s="516"/>
      <c r="Z21" s="516"/>
      <c r="AA21" s="516"/>
      <c r="AB21" s="516"/>
    </row>
    <row r="22" spans="1:28">
      <c r="A22" s="534"/>
      <c r="B22" s="534" t="s">
        <v>96</v>
      </c>
      <c r="C22" s="535">
        <v>-5.6538730487937831E-2</v>
      </c>
      <c r="D22" s="526"/>
      <c r="E22" s="526"/>
      <c r="F22" s="526"/>
      <c r="G22" s="526"/>
      <c r="H22" s="526"/>
      <c r="I22" s="526"/>
      <c r="J22" s="526"/>
      <c r="K22" s="526"/>
      <c r="L22" s="526"/>
      <c r="M22" s="526"/>
      <c r="N22" s="526"/>
      <c r="O22" s="526"/>
      <c r="P22" s="526"/>
      <c r="Q22" s="526"/>
      <c r="R22" s="526"/>
      <c r="S22" s="526"/>
      <c r="T22" s="516"/>
      <c r="U22" s="516"/>
      <c r="V22" s="516"/>
      <c r="W22" s="516"/>
      <c r="X22" s="516"/>
      <c r="Y22" s="516"/>
      <c r="Z22" s="516"/>
      <c r="AA22" s="516"/>
      <c r="AB22" s="516"/>
    </row>
    <row r="23" spans="1:28">
      <c r="A23" s="534"/>
      <c r="B23" s="534" t="s">
        <v>97</v>
      </c>
      <c r="C23" s="535">
        <v>0.10606078306781035</v>
      </c>
      <c r="D23" s="526"/>
      <c r="E23" s="526"/>
      <c r="F23" s="526"/>
      <c r="G23" s="526"/>
      <c r="H23" s="526"/>
      <c r="I23" s="526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16"/>
      <c r="U23" s="516"/>
      <c r="V23" s="516"/>
      <c r="W23" s="516"/>
      <c r="X23" s="516"/>
      <c r="Y23" s="516"/>
      <c r="Z23" s="516"/>
      <c r="AA23" s="516"/>
      <c r="AB23" s="516"/>
    </row>
    <row r="24" spans="1:28">
      <c r="A24" s="534"/>
      <c r="B24" s="534" t="s">
        <v>98</v>
      </c>
      <c r="C24" s="535">
        <v>-3.7732034739855242E-4</v>
      </c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6"/>
      <c r="T24" s="516"/>
      <c r="U24" s="516"/>
      <c r="V24" s="516"/>
      <c r="W24" s="516"/>
      <c r="X24" s="516"/>
      <c r="Y24" s="516"/>
      <c r="Z24" s="516"/>
      <c r="AA24" s="516"/>
      <c r="AB24" s="516"/>
    </row>
    <row r="25" spans="1:28">
      <c r="A25" s="534"/>
      <c r="B25" s="534" t="s">
        <v>99</v>
      </c>
      <c r="C25" s="535">
        <v>0.32325220069960209</v>
      </c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16"/>
      <c r="U25" s="516"/>
      <c r="V25" s="516"/>
      <c r="W25" s="516"/>
      <c r="X25" s="516"/>
      <c r="Y25" s="516"/>
      <c r="Z25" s="516"/>
      <c r="AA25" s="516"/>
      <c r="AB25" s="516"/>
    </row>
    <row r="26" spans="1:28">
      <c r="A26" s="526"/>
      <c r="B26" s="526"/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16"/>
      <c r="U26" s="516"/>
      <c r="V26" s="516"/>
      <c r="W26" s="516"/>
      <c r="X26" s="516"/>
      <c r="Y26" s="516"/>
      <c r="Z26" s="516"/>
      <c r="AA26" s="516"/>
      <c r="AB26" s="516"/>
    </row>
    <row r="27" spans="1:28">
      <c r="A27" s="526"/>
      <c r="B27" s="526"/>
      <c r="C27" s="526"/>
      <c r="D27" s="526"/>
      <c r="E27" s="526"/>
      <c r="F27" s="526"/>
      <c r="G27" s="526"/>
      <c r="H27" s="526"/>
      <c r="I27" s="526"/>
      <c r="J27" s="526"/>
      <c r="K27" s="526"/>
      <c r="L27" s="526"/>
      <c r="M27" s="526"/>
      <c r="N27" s="526"/>
      <c r="O27" s="526"/>
      <c r="P27" s="526"/>
      <c r="Q27" s="526"/>
      <c r="R27" s="526"/>
      <c r="S27" s="526"/>
      <c r="T27" s="516"/>
      <c r="U27" s="516"/>
      <c r="V27" s="516"/>
      <c r="W27" s="516"/>
      <c r="X27" s="516"/>
      <c r="Y27" s="516"/>
      <c r="Z27" s="516"/>
      <c r="AA27" s="516"/>
      <c r="AB27" s="516"/>
    </row>
    <row r="28" spans="1:28">
      <c r="A28" s="526"/>
      <c r="B28" s="526" t="s">
        <v>12</v>
      </c>
      <c r="C28" s="538">
        <v>40603</v>
      </c>
      <c r="D28" s="539">
        <f>+'[20]System - Monthly'!$I$559</f>
        <v>4546574</v>
      </c>
      <c r="E28" s="526"/>
      <c r="F28" s="526"/>
      <c r="G28" s="526"/>
      <c r="H28" s="526"/>
      <c r="I28" s="526"/>
      <c r="J28" s="526"/>
      <c r="K28" s="526"/>
      <c r="L28" s="526"/>
      <c r="M28" s="526"/>
      <c r="N28" s="526"/>
      <c r="O28" s="526"/>
      <c r="P28" s="526"/>
      <c r="Q28" s="526"/>
      <c r="R28" s="526"/>
      <c r="S28" s="526"/>
      <c r="T28" s="516"/>
      <c r="U28" s="516"/>
      <c r="V28" s="516"/>
      <c r="W28" s="516"/>
      <c r="X28" s="516"/>
      <c r="Y28" s="516"/>
      <c r="Z28" s="516"/>
      <c r="AA28" s="516"/>
      <c r="AB28" s="516"/>
    </row>
    <row r="29" spans="1:28">
      <c r="A29" s="526"/>
      <c r="B29" s="526"/>
      <c r="C29" s="538">
        <v>40634</v>
      </c>
      <c r="D29" s="539">
        <f>+'[20]System - Monthly'!$I$560</f>
        <v>4550254</v>
      </c>
      <c r="E29" s="526"/>
      <c r="F29" s="526"/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16"/>
      <c r="U29" s="516"/>
      <c r="V29" s="516"/>
      <c r="W29" s="516"/>
      <c r="X29" s="516"/>
      <c r="Y29" s="516"/>
      <c r="Z29" s="516"/>
      <c r="AA29" s="516"/>
      <c r="AB29" s="516"/>
    </row>
    <row r="30" spans="1:28">
      <c r="A30" s="526"/>
      <c r="B30" s="526"/>
      <c r="C30" s="526"/>
      <c r="D30" s="526"/>
      <c r="E30" s="526"/>
      <c r="F30" s="526"/>
      <c r="G30" s="526"/>
      <c r="H30" s="526"/>
      <c r="I30" s="526"/>
      <c r="J30" s="526"/>
      <c r="K30" s="526"/>
      <c r="L30" s="526"/>
      <c r="M30" s="526"/>
      <c r="N30" s="526"/>
      <c r="O30" s="526"/>
      <c r="P30" s="526"/>
      <c r="Q30" s="526"/>
      <c r="R30" s="526"/>
      <c r="S30" s="526"/>
      <c r="T30" s="516"/>
      <c r="U30" s="516"/>
      <c r="V30" s="516"/>
      <c r="W30" s="516"/>
      <c r="X30" s="516"/>
      <c r="Y30" s="516"/>
      <c r="Z30" s="516"/>
      <c r="AA30" s="516"/>
      <c r="AB30" s="516"/>
    </row>
    <row r="31" spans="1:28">
      <c r="A31" s="526"/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16"/>
      <c r="U31" s="516"/>
      <c r="V31" s="516"/>
      <c r="W31" s="516"/>
      <c r="X31" s="516"/>
      <c r="Y31" s="516"/>
      <c r="Z31" s="516"/>
      <c r="AA31" s="516"/>
      <c r="AB31" s="516"/>
    </row>
    <row r="32" spans="1:28">
      <c r="A32" s="526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16"/>
      <c r="U32" s="516"/>
      <c r="V32" s="516"/>
      <c r="W32" s="516"/>
      <c r="X32" s="516"/>
      <c r="Y32" s="516"/>
      <c r="Z32" s="516"/>
      <c r="AA32" s="516"/>
      <c r="AB32" s="516"/>
    </row>
    <row r="33" spans="1:28" ht="52.8">
      <c r="A33" s="540"/>
      <c r="B33" s="540" t="s">
        <v>354</v>
      </c>
      <c r="C33" s="512" t="s">
        <v>78</v>
      </c>
      <c r="D33" s="512" t="s">
        <v>79</v>
      </c>
      <c r="E33" s="512" t="s">
        <v>149</v>
      </c>
      <c r="F33" s="513" t="s">
        <v>274</v>
      </c>
      <c r="G33" s="512" t="s">
        <v>150</v>
      </c>
      <c r="H33" s="512" t="s">
        <v>151</v>
      </c>
      <c r="I33" s="534"/>
      <c r="J33" s="515" t="s">
        <v>80</v>
      </c>
      <c r="K33" s="515" t="s">
        <v>152</v>
      </c>
      <c r="L33" s="515" t="s">
        <v>153</v>
      </c>
      <c r="M33" s="515" t="s">
        <v>81</v>
      </c>
      <c r="N33" s="515" t="s">
        <v>154</v>
      </c>
      <c r="O33" s="515" t="s">
        <v>155</v>
      </c>
      <c r="P33" s="515" t="s">
        <v>82</v>
      </c>
      <c r="Q33" s="515" t="s">
        <v>156</v>
      </c>
      <c r="R33" s="515" t="s">
        <v>48</v>
      </c>
      <c r="S33" s="515" t="s">
        <v>275</v>
      </c>
      <c r="T33" s="516"/>
      <c r="U33" s="516"/>
      <c r="V33" s="516"/>
      <c r="W33" s="516"/>
      <c r="X33" s="516"/>
      <c r="Y33" s="516"/>
      <c r="Z33" s="516"/>
      <c r="AA33" s="516"/>
      <c r="AB33" s="516"/>
    </row>
    <row r="34" spans="1:28">
      <c r="A34" s="517"/>
      <c r="B34" s="517">
        <v>40662</v>
      </c>
      <c r="C34" s="518">
        <f>+'[18]Daily Actuals vs Daily Normals'!$B139</f>
        <v>7.0332682922257916</v>
      </c>
      <c r="D34" s="518">
        <f>+'[18]Daily Actuals vs Daily Normals'!$C$135/31</f>
        <v>3.5347661158224923</v>
      </c>
      <c r="E34" s="518">
        <f>+'[18]Daily Actuals vs Daily Normals'!$I139</f>
        <v>0</v>
      </c>
      <c r="F34" s="518">
        <f>+'[18]Daily Actuals vs Daily Normals'!$E$135/31</f>
        <v>0.45979541774913685</v>
      </c>
      <c r="G34" s="520">
        <v>0</v>
      </c>
      <c r="H34" s="518">
        <f ca="1">+'Variance Plan'!$F$7/31</f>
        <v>0</v>
      </c>
      <c r="I34" s="534"/>
      <c r="J34" s="522">
        <f>C34-D34</f>
        <v>3.4985021764032993</v>
      </c>
      <c r="K34" s="522">
        <f>E34-F34</f>
        <v>-0.45979541774913685</v>
      </c>
      <c r="L34" s="522">
        <f>G34-H34</f>
        <v>0</v>
      </c>
      <c r="M34" s="523">
        <f>J34*$C$11*$D$29</f>
        <v>46729.10872221351</v>
      </c>
      <c r="N34" s="523">
        <f>K34*$C$12*$D$29</f>
        <v>-2538.5050901400778</v>
      </c>
      <c r="O34" s="523">
        <f>L34*$C$10*$D$29</f>
        <v>0</v>
      </c>
      <c r="P34" s="523">
        <f>SUM(M34:O34)</f>
        <v>44190.603632073435</v>
      </c>
      <c r="Q34" s="523">
        <f>SUM(P$34:P34)</f>
        <v>44190.603632073435</v>
      </c>
      <c r="R34" s="524">
        <f>+'[30]Daily Log (Levelized)'!$C102</f>
        <v>285970</v>
      </c>
      <c r="S34" s="525">
        <f>+R34-P34</f>
        <v>241779.39636792656</v>
      </c>
      <c r="T34" s="516"/>
      <c r="U34" s="516"/>
      <c r="V34" s="516"/>
      <c r="W34" s="516"/>
      <c r="X34" s="516"/>
      <c r="Y34" s="516"/>
      <c r="Z34" s="516"/>
      <c r="AA34" s="516"/>
      <c r="AB34" s="516"/>
    </row>
    <row r="35" spans="1:28">
      <c r="A35" s="517"/>
      <c r="B35" s="517">
        <f>+B34+1</f>
        <v>40663</v>
      </c>
      <c r="C35" s="518">
        <f>+'[18]Daily Actuals vs Daily Normals'!$B140</f>
        <v>5.7925128836943456</v>
      </c>
      <c r="D35" s="518">
        <f>+D34</f>
        <v>3.5347661158224923</v>
      </c>
      <c r="E35" s="518">
        <f>+'[18]Daily Actuals vs Daily Normals'!$I140</f>
        <v>0</v>
      </c>
      <c r="F35" s="518">
        <f>+F34</f>
        <v>0.45979541774913685</v>
      </c>
      <c r="G35" s="520">
        <v>0</v>
      </c>
      <c r="H35" s="518">
        <f ca="1">+'Variance Plan'!$F$7/31</f>
        <v>0</v>
      </c>
      <c r="I35" s="534"/>
      <c r="J35" s="522">
        <f>C35-D35</f>
        <v>2.2577467678718532</v>
      </c>
      <c r="K35" s="522">
        <f>E35-F35</f>
        <v>-0.45979541774913685</v>
      </c>
      <c r="L35" s="522">
        <f>G35-H35</f>
        <v>0</v>
      </c>
      <c r="M35" s="523">
        <f>J35*$C$11*$D$29</f>
        <v>30156.47521808141</v>
      </c>
      <c r="N35" s="523">
        <f>K35*$C$12*$D$29</f>
        <v>-2538.5050901400778</v>
      </c>
      <c r="O35" s="523">
        <f>L35*$C$10*$D$29</f>
        <v>0</v>
      </c>
      <c r="P35" s="523">
        <f>SUM(M35:O35)</f>
        <v>27617.970127941331</v>
      </c>
      <c r="Q35" s="523">
        <f>SUM(P$34:P35)</f>
        <v>71808.57376001477</v>
      </c>
      <c r="R35" s="524">
        <f>+'[30]Daily Log (Levelized)'!$C103</f>
        <v>311584</v>
      </c>
      <c r="S35" s="525">
        <f>+R35-P35</f>
        <v>283966.02987205866</v>
      </c>
      <c r="T35" s="516"/>
      <c r="U35" s="516"/>
      <c r="V35" s="516"/>
      <c r="W35" s="516"/>
      <c r="X35" s="516"/>
      <c r="Y35" s="516"/>
      <c r="Z35" s="516"/>
      <c r="AA35" s="516"/>
      <c r="AB35" s="516"/>
    </row>
    <row r="36" spans="1:28">
      <c r="A36" s="517"/>
      <c r="B36" s="517"/>
      <c r="C36" s="518"/>
      <c r="D36" s="518"/>
      <c r="E36" s="518"/>
      <c r="F36" s="518"/>
      <c r="G36" s="520"/>
      <c r="H36" s="518"/>
      <c r="I36" s="534"/>
      <c r="J36" s="522"/>
      <c r="K36" s="522"/>
      <c r="L36" s="522"/>
      <c r="M36" s="523"/>
      <c r="N36" s="523"/>
      <c r="O36" s="523"/>
      <c r="P36" s="523"/>
      <c r="Q36" s="523"/>
      <c r="R36" s="524"/>
      <c r="S36" s="525"/>
      <c r="T36" s="516"/>
      <c r="U36" s="516"/>
      <c r="V36" s="516"/>
      <c r="W36" s="516"/>
      <c r="X36" s="516"/>
      <c r="Y36" s="516"/>
      <c r="Z36" s="516"/>
      <c r="AA36" s="516"/>
      <c r="AB36" s="516"/>
    </row>
    <row r="37" spans="1:28">
      <c r="A37" s="526"/>
      <c r="B37" s="526"/>
      <c r="C37" s="526"/>
      <c r="D37" s="526"/>
      <c r="E37" s="526"/>
      <c r="F37" s="526"/>
      <c r="G37" s="526"/>
      <c r="H37" s="526"/>
      <c r="I37" s="534"/>
      <c r="J37" s="526"/>
      <c r="K37" s="526"/>
      <c r="L37" s="526"/>
      <c r="M37" s="523"/>
      <c r="N37" s="526"/>
      <c r="O37" s="526"/>
      <c r="P37" s="528">
        <f>SUM(P34:P36)</f>
        <v>71808.57376001477</v>
      </c>
      <c r="Q37" s="528">
        <f>SUM(Q34:Q36)</f>
        <v>115999.1773920882</v>
      </c>
      <c r="R37" s="528">
        <f>SUM(R34:R36)</f>
        <v>597554</v>
      </c>
      <c r="S37" s="528">
        <f>SUM(S34:S36)</f>
        <v>525745.42623998527</v>
      </c>
      <c r="T37" s="516"/>
      <c r="U37" s="516"/>
      <c r="V37" s="516"/>
      <c r="W37" s="516"/>
      <c r="X37" s="516"/>
      <c r="Y37" s="516"/>
      <c r="Z37" s="516"/>
      <c r="AA37" s="516"/>
      <c r="AB37" s="516"/>
    </row>
    <row r="38" spans="1:28">
      <c r="A38" s="526"/>
      <c r="B38" s="526"/>
      <c r="C38" s="526"/>
      <c r="D38" s="526"/>
      <c r="E38" s="526"/>
      <c r="F38" s="526"/>
      <c r="G38" s="526"/>
      <c r="H38" s="526"/>
      <c r="I38" s="534"/>
      <c r="J38" s="526"/>
      <c r="K38" s="526"/>
      <c r="L38" s="526"/>
      <c r="M38" s="523"/>
      <c r="N38" s="526"/>
      <c r="O38" s="526"/>
      <c r="P38" s="526"/>
      <c r="Q38" s="526"/>
      <c r="R38" s="526"/>
      <c r="S38" s="528"/>
      <c r="T38" s="516"/>
      <c r="U38" s="516"/>
      <c r="V38" s="516"/>
      <c r="W38" s="516"/>
      <c r="X38" s="516"/>
      <c r="Y38" s="516"/>
      <c r="Z38" s="516"/>
      <c r="AA38" s="516"/>
      <c r="AB38" s="516"/>
    </row>
    <row r="39" spans="1:28">
      <c r="A39" s="526"/>
      <c r="B39" s="526"/>
      <c r="C39" s="526"/>
      <c r="D39" s="526"/>
      <c r="E39" s="526"/>
      <c r="F39" s="526"/>
      <c r="G39" s="526"/>
      <c r="H39" s="526"/>
      <c r="I39" s="534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16"/>
      <c r="U39" s="516"/>
      <c r="V39" s="516"/>
      <c r="W39" s="516"/>
      <c r="X39" s="516"/>
      <c r="Y39" s="516"/>
      <c r="Z39" s="516"/>
      <c r="AA39" s="516"/>
      <c r="AB39" s="516"/>
    </row>
    <row r="40" spans="1:28">
      <c r="A40" s="526"/>
      <c r="B40" s="526"/>
      <c r="C40" s="526"/>
      <c r="D40" s="526"/>
      <c r="E40" s="526"/>
      <c r="F40" s="526"/>
      <c r="G40" s="526"/>
      <c r="H40" s="526"/>
      <c r="I40" s="534"/>
      <c r="J40" s="526"/>
      <c r="K40" s="526"/>
      <c r="L40" s="526"/>
      <c r="M40" s="526"/>
      <c r="N40" s="526"/>
      <c r="O40" s="526"/>
      <c r="P40" s="528">
        <f>P37-P6</f>
        <v>-44999.956037382901</v>
      </c>
      <c r="Q40" s="526"/>
      <c r="R40" s="526"/>
      <c r="S40" s="526"/>
      <c r="T40" s="516"/>
      <c r="U40" s="516"/>
      <c r="V40" s="516"/>
      <c r="W40" s="516"/>
      <c r="X40" s="516"/>
      <c r="Y40" s="516"/>
      <c r="Z40" s="516"/>
      <c r="AA40" s="516"/>
      <c r="AB40" s="516"/>
    </row>
    <row r="41" spans="1:28">
      <c r="A41" s="526"/>
      <c r="B41" s="526"/>
      <c r="C41" s="526"/>
      <c r="D41" s="526"/>
      <c r="E41" s="526"/>
      <c r="F41" s="526"/>
      <c r="G41" s="526"/>
      <c r="H41" s="526"/>
      <c r="I41" s="534"/>
      <c r="J41" s="526"/>
      <c r="K41" s="526"/>
      <c r="L41" s="526"/>
      <c r="M41" s="526"/>
      <c r="N41" s="526"/>
      <c r="O41" s="526"/>
      <c r="P41" s="526"/>
      <c r="Q41" s="526"/>
      <c r="R41" s="526"/>
      <c r="S41" s="526"/>
      <c r="T41" s="516"/>
      <c r="U41" s="516"/>
      <c r="V41" s="516"/>
      <c r="W41" s="516"/>
      <c r="X41" s="516"/>
      <c r="Y41" s="516"/>
      <c r="Z41" s="516"/>
      <c r="AA41" s="516"/>
      <c r="AB41" s="516"/>
    </row>
    <row r="42" spans="1:28">
      <c r="A42" s="526"/>
      <c r="B42" s="526"/>
      <c r="C42" s="526"/>
      <c r="D42" s="526"/>
      <c r="E42" s="526"/>
      <c r="F42" s="526"/>
      <c r="G42" s="526"/>
      <c r="H42" s="526"/>
      <c r="I42" s="534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16"/>
      <c r="U42" s="516"/>
      <c r="V42" s="516"/>
      <c r="W42" s="516"/>
      <c r="X42" s="516"/>
      <c r="Y42" s="516"/>
      <c r="Z42" s="516"/>
      <c r="AA42" s="516"/>
      <c r="AB42" s="516"/>
    </row>
    <row r="43" spans="1:28">
      <c r="A43" s="526"/>
      <c r="B43" s="526"/>
      <c r="C43" s="526"/>
      <c r="D43" s="526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26"/>
      <c r="S43" s="526"/>
      <c r="T43" s="516"/>
      <c r="U43" s="516"/>
      <c r="V43" s="516"/>
      <c r="W43" s="516"/>
      <c r="X43" s="516"/>
      <c r="Y43" s="516"/>
      <c r="Z43" s="516"/>
      <c r="AA43" s="516"/>
      <c r="AB43" s="516"/>
    </row>
    <row r="44" spans="1:28">
      <c r="A44" s="526"/>
      <c r="B44" s="526"/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16"/>
      <c r="U44" s="516"/>
      <c r="V44" s="516"/>
      <c r="W44" s="516"/>
      <c r="X44" s="516"/>
      <c r="Y44" s="516"/>
      <c r="Z44" s="516"/>
      <c r="AA44" s="516"/>
      <c r="AB44" s="516"/>
    </row>
    <row r="45" spans="1:28">
      <c r="A45" s="526"/>
      <c r="B45" s="526"/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16"/>
      <c r="U45" s="516"/>
      <c r="V45" s="516"/>
      <c r="W45" s="516"/>
      <c r="X45" s="516"/>
      <c r="Y45" s="516"/>
      <c r="Z45" s="516"/>
      <c r="AA45" s="516"/>
      <c r="AB45" s="516"/>
    </row>
    <row r="46" spans="1:28">
      <c r="A46" s="526"/>
      <c r="B46" s="526"/>
      <c r="C46" s="526"/>
      <c r="D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16"/>
      <c r="U46" s="516"/>
      <c r="V46" s="516"/>
      <c r="W46" s="516"/>
      <c r="X46" s="516"/>
      <c r="Y46" s="516"/>
      <c r="Z46" s="516"/>
      <c r="AA46" s="516"/>
      <c r="AB46" s="516"/>
    </row>
    <row r="47" spans="1:28">
      <c r="A47" s="526"/>
      <c r="B47" s="526"/>
      <c r="C47" s="526"/>
      <c r="D47" s="526"/>
      <c r="E47" s="526"/>
      <c r="F47" s="526"/>
      <c r="G47" s="526"/>
      <c r="H47" s="526"/>
      <c r="I47" s="526"/>
      <c r="J47" s="526"/>
      <c r="K47" s="526"/>
      <c r="L47" s="526"/>
      <c r="M47" s="526"/>
      <c r="N47" s="526"/>
      <c r="O47" s="526"/>
      <c r="P47" s="526"/>
      <c r="Q47" s="526"/>
      <c r="R47" s="526"/>
      <c r="S47" s="526"/>
      <c r="T47" s="516"/>
      <c r="U47" s="516"/>
      <c r="V47" s="516"/>
      <c r="W47" s="516"/>
      <c r="X47" s="516"/>
      <c r="Y47" s="516"/>
      <c r="Z47" s="516"/>
      <c r="AA47" s="516"/>
      <c r="AB47" s="51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"/>
  <sheetViews>
    <sheetView workbookViewId="0"/>
  </sheetViews>
  <sheetFormatPr defaultRowHeight="13.2"/>
  <cols>
    <col min="1" max="1" width="33.5546875" customWidth="1"/>
    <col min="2" max="2" width="12.6640625" customWidth="1"/>
    <col min="4" max="4" width="13.5546875" customWidth="1"/>
    <col min="5" max="5" width="11.5546875" bestFit="1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</cols>
  <sheetData>
    <row r="1" spans="1:16" ht="42.75" customHeight="1">
      <c r="A1" s="780" t="s">
        <v>471</v>
      </c>
    </row>
    <row r="2" spans="1:16" ht="13.8">
      <c r="A2" s="436" t="s">
        <v>142</v>
      </c>
    </row>
    <row r="3" spans="1:16">
      <c r="J3" s="281"/>
    </row>
    <row r="4" spans="1:16">
      <c r="A4" s="1"/>
      <c r="B4" s="230" t="s">
        <v>3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6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</row>
    <row r="6" spans="1:16">
      <c r="A6" s="46" t="s">
        <v>141</v>
      </c>
      <c r="B6" s="47">
        <f ca="1">+'Summary Plan Retail Delivered'!E6</f>
        <v>9030384.3930000011</v>
      </c>
      <c r="I6" s="232" t="s">
        <v>147</v>
      </c>
    </row>
    <row r="7" spans="1:16">
      <c r="A7" s="1"/>
      <c r="B7" s="232"/>
      <c r="C7" s="232"/>
      <c r="O7" s="440">
        <f>+[3]Retail!$N$9</f>
        <v>9030384.3930000011</v>
      </c>
      <c r="P7" t="s">
        <v>133</v>
      </c>
    </row>
    <row r="8" spans="1:16">
      <c r="A8" s="1" t="s">
        <v>12</v>
      </c>
      <c r="B8" s="31">
        <f ca="1">+'Summary Plan Retail Delivered'!E8</f>
        <v>52487.266564489153</v>
      </c>
      <c r="C8" s="50">
        <f>O9</f>
        <v>39.089544220689731</v>
      </c>
      <c r="D8" s="234"/>
      <c r="I8" s="249" t="s">
        <v>281</v>
      </c>
      <c r="O8" s="440">
        <f ca="1">+April_Prices!E16</f>
        <v>352993.61005999998</v>
      </c>
      <c r="P8" t="s">
        <v>134</v>
      </c>
    </row>
    <row r="9" spans="1:16">
      <c r="A9" s="1"/>
      <c r="B9" s="3"/>
      <c r="C9" s="50"/>
      <c r="D9" s="234"/>
      <c r="O9" s="50">
        <f>O8/O7*1000</f>
        <v>39.089544220689731</v>
      </c>
    </row>
    <row r="10" spans="1:16">
      <c r="A10" s="1" t="s">
        <v>106</v>
      </c>
      <c r="B10" s="31">
        <f ca="1">+'Summary Plan Retail Delivered'!E10</f>
        <v>8247.3913920292307</v>
      </c>
      <c r="C10" s="50">
        <f>C8</f>
        <v>39.089544220689731</v>
      </c>
      <c r="D10" s="434">
        <f>+C10*B10/1000</f>
        <v>322.38677052406246</v>
      </c>
      <c r="E10" s="602">
        <f>D10</f>
        <v>322.38677052406246</v>
      </c>
      <c r="F10" s="602">
        <f>+E10</f>
        <v>322.38677052406246</v>
      </c>
      <c r="G10" s="602">
        <f ca="1">+E10+'P6 Summary Plan Forecast_Mar'!G10</f>
        <v>-965.36133002797624</v>
      </c>
      <c r="H10" s="238"/>
      <c r="I10" s="235"/>
      <c r="K10" s="236"/>
      <c r="P10" s="81"/>
    </row>
    <row r="11" spans="1:16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O11" s="5"/>
    </row>
    <row r="12" spans="1:16">
      <c r="A12" s="1" t="s">
        <v>13</v>
      </c>
      <c r="B12" s="31">
        <f ca="1">+'Summary Plan Retail Delivered'!E12</f>
        <v>30969.396479942458</v>
      </c>
      <c r="C12" s="50">
        <f>C10</f>
        <v>39.089544220689731</v>
      </c>
      <c r="D12" s="434">
        <f>+C12*B12/1000</f>
        <v>1210.5795931907837</v>
      </c>
      <c r="E12" s="602">
        <f>D12</f>
        <v>1210.5795931907837</v>
      </c>
      <c r="F12" s="602">
        <f>+E12</f>
        <v>1210.5795931907837</v>
      </c>
      <c r="G12" s="602">
        <f ca="1">+E12+'P6 Summary Plan Forecast_Mar'!G12</f>
        <v>4309.8324386910572</v>
      </c>
      <c r="H12" s="238"/>
      <c r="I12" s="235"/>
      <c r="K12" s="236"/>
      <c r="O12" s="5"/>
    </row>
    <row r="13" spans="1:16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O13" s="81"/>
    </row>
    <row r="14" spans="1:16">
      <c r="A14" s="1" t="s">
        <v>35</v>
      </c>
      <c r="B14" s="31">
        <f ca="1">+'Summary Plan Retail Delivered'!E14</f>
        <v>-1056477.9210170703</v>
      </c>
      <c r="C14" s="50">
        <f>C12</f>
        <v>39.089544220689731</v>
      </c>
      <c r="D14" s="434">
        <f>+C14*B14/1000</f>
        <v>-41297.240411779123</v>
      </c>
      <c r="E14" s="602">
        <f>D14</f>
        <v>-41297.240411779123</v>
      </c>
      <c r="F14" s="602">
        <f>+E14</f>
        <v>-41297.240411779123</v>
      </c>
      <c r="G14" s="602">
        <f ca="1">+E14+'P6 Summary Plan Forecast_Mar'!G14</f>
        <v>-25228.738867215212</v>
      </c>
      <c r="H14" s="238"/>
      <c r="I14" s="235"/>
      <c r="K14" s="236"/>
    </row>
    <row r="15" spans="1:16">
      <c r="A15" s="1"/>
      <c r="B15" s="3"/>
      <c r="C15" s="50"/>
      <c r="D15" s="434"/>
      <c r="E15" s="602"/>
      <c r="F15" s="602"/>
      <c r="G15" s="602"/>
      <c r="H15" s="238"/>
      <c r="I15" s="235"/>
      <c r="K15" s="236"/>
    </row>
    <row r="16" spans="1:16">
      <c r="A16" s="1" t="s">
        <v>36</v>
      </c>
      <c r="B16" s="31">
        <f ca="1">+'Summary Plan Retail Delivered'!E16</f>
        <v>0</v>
      </c>
      <c r="C16" s="50">
        <f>C14</f>
        <v>39.089544220689731</v>
      </c>
      <c r="D16" s="434">
        <f>+C16*B16/1000</f>
        <v>0</v>
      </c>
      <c r="E16" s="602">
        <f>D16</f>
        <v>0</v>
      </c>
      <c r="F16" s="602">
        <f>+E16</f>
        <v>0</v>
      </c>
      <c r="G16" s="602">
        <f ca="1">+E16+'P6 Summary Plan Forecast_Mar'!G16</f>
        <v>-11230.05540265602</v>
      </c>
      <c r="H16" s="238"/>
      <c r="I16" s="235"/>
      <c r="K16" s="236"/>
    </row>
    <row r="17" spans="1:19">
      <c r="A17" s="1"/>
      <c r="B17" s="3"/>
      <c r="C17" s="50"/>
      <c r="D17" s="434"/>
      <c r="E17" s="602"/>
      <c r="F17" s="602"/>
      <c r="G17" s="602"/>
      <c r="H17" s="238"/>
      <c r="I17" s="235"/>
      <c r="K17" s="236"/>
    </row>
    <row r="18" spans="1:19">
      <c r="A18" s="1" t="s">
        <v>135</v>
      </c>
      <c r="B18" s="31">
        <f ca="1">+'Summary Plan Retail Delivered'!E18</f>
        <v>-35827.811360402899</v>
      </c>
      <c r="C18" s="50">
        <f>C16</f>
        <v>39.089544220689731</v>
      </c>
      <c r="D18" s="434">
        <f>+C18*B18/1000</f>
        <v>-1400.4928165029989</v>
      </c>
      <c r="E18" s="602">
        <f>D18</f>
        <v>-1400.4928165029989</v>
      </c>
      <c r="F18" s="602">
        <f>+E18</f>
        <v>-1400.4928165029989</v>
      </c>
      <c r="G18" s="602">
        <f ca="1">+E18+'P6 Summary Plan Forecast_Mar'!G18</f>
        <v>-2885.8214098095077</v>
      </c>
      <c r="H18" s="238"/>
      <c r="I18" s="281"/>
      <c r="J18" s="160"/>
      <c r="K18" s="282"/>
      <c r="L18" s="160"/>
      <c r="M18" s="160"/>
      <c r="N18" s="160"/>
      <c r="P18" s="160"/>
      <c r="Q18" s="160"/>
      <c r="R18" s="160"/>
      <c r="S18" s="160"/>
    </row>
    <row r="19" spans="1:19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160"/>
      <c r="O19" s="160"/>
      <c r="P19" s="160"/>
      <c r="Q19" s="160"/>
      <c r="R19" s="160"/>
      <c r="S19" s="160"/>
    </row>
    <row r="20" spans="1:19">
      <c r="A20" s="1" t="s">
        <v>57</v>
      </c>
      <c r="B20" s="31">
        <f ca="1">+'Summary Plan Retail Delivered'!E20</f>
        <v>50260.727023845022</v>
      </c>
      <c r="C20" s="50">
        <f>C18</f>
        <v>39.089544220689731</v>
      </c>
      <c r="D20" s="434">
        <f>+C20*B20/1000</f>
        <v>1964.6689115626052</v>
      </c>
      <c r="E20" s="602">
        <f>D20</f>
        <v>1964.6689115626052</v>
      </c>
      <c r="F20" s="602">
        <f>+E20</f>
        <v>1964.6689115626052</v>
      </c>
      <c r="G20" s="602">
        <f ca="1">+E20+'P6 Summary Plan Forecast_Mar'!G20</f>
        <v>7961.2509940158434</v>
      </c>
      <c r="H20" s="238"/>
      <c r="I20" s="284"/>
      <c r="J20" s="160"/>
      <c r="K20" s="282"/>
      <c r="L20" s="160"/>
      <c r="M20" s="160"/>
      <c r="N20" s="160"/>
      <c r="O20" s="285"/>
      <c r="P20" s="160"/>
      <c r="Q20" s="160"/>
      <c r="R20" s="160"/>
      <c r="S20" s="160"/>
    </row>
    <row r="21" spans="1:19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160"/>
      <c r="O21" s="160"/>
      <c r="P21" s="160"/>
      <c r="Q21" s="160"/>
      <c r="R21" s="160"/>
      <c r="S21" s="160"/>
    </row>
    <row r="22" spans="1:19" ht="12" customHeight="1">
      <c r="A22" s="1" t="s">
        <v>83</v>
      </c>
      <c r="B22" s="3">
        <f ca="1">'Summary Plan Retail Delivered'!E22</f>
        <v>-265854.71668020205</v>
      </c>
      <c r="C22" s="50">
        <f>C20</f>
        <v>39.089544220689731</v>
      </c>
      <c r="D22" s="434">
        <f>+C22*B22/1000</f>
        <v>-10392.139703949697</v>
      </c>
      <c r="E22" s="602">
        <f>D22</f>
        <v>-10392.139703949697</v>
      </c>
      <c r="F22" s="602">
        <f>+E22</f>
        <v>-10392.139703949697</v>
      </c>
      <c r="G22" s="602">
        <f ca="1">+E22+'P6 Summary Plan Forecast_Mar'!G22</f>
        <v>-8040.1318527881467</v>
      </c>
      <c r="H22" s="238"/>
      <c r="I22" s="284"/>
      <c r="J22" s="160"/>
      <c r="K22" s="160"/>
      <c r="L22" s="160"/>
      <c r="M22" s="160"/>
      <c r="N22" s="160"/>
      <c r="O22" s="286"/>
      <c r="P22" s="160"/>
      <c r="Q22" s="160"/>
      <c r="R22" s="160"/>
      <c r="S22" s="160"/>
    </row>
    <row r="23" spans="1:19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160"/>
      <c r="O23" s="160"/>
      <c r="P23" s="160"/>
      <c r="Q23" s="160"/>
      <c r="R23" s="160"/>
      <c r="S23" s="160"/>
    </row>
    <row r="24" spans="1:19">
      <c r="A24" s="1" t="s">
        <v>14</v>
      </c>
      <c r="B24" s="31">
        <f ca="1">+'Summary Plan Retail Delivered'!E24</f>
        <v>28110.860597369261</v>
      </c>
      <c r="C24" s="50">
        <f>+C20</f>
        <v>39.089544220689731</v>
      </c>
      <c r="D24" s="434">
        <f>+C24*B24/1000</f>
        <v>1098.8407284025102</v>
      </c>
      <c r="E24" s="602">
        <f>D24</f>
        <v>1098.8407284025102</v>
      </c>
      <c r="F24" s="602">
        <f>+E24</f>
        <v>1098.8407284025102</v>
      </c>
      <c r="G24" s="602">
        <f ca="1">+E24+'P6 Summary Plan Forecast_Mar'!G24</f>
        <v>17139.2127873028</v>
      </c>
      <c r="H24" s="238"/>
      <c r="I24" s="284"/>
      <c r="J24" s="160"/>
      <c r="K24" s="160"/>
      <c r="L24" s="160"/>
      <c r="M24" s="160"/>
      <c r="N24" s="160"/>
      <c r="O24" s="287"/>
      <c r="P24" s="160"/>
      <c r="Q24" s="160"/>
      <c r="R24" s="160"/>
      <c r="S24" s="160"/>
    </row>
    <row r="25" spans="1:19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>
      <c r="A26" s="46" t="s">
        <v>144</v>
      </c>
      <c r="B26" s="47">
        <f>SUM(B6:B24)</f>
        <v>7842299.5860000001</v>
      </c>
      <c r="C26" s="50">
        <f>+C24</f>
        <v>39.089544220689731</v>
      </c>
      <c r="D26" s="434">
        <f>SUM(D10:D25)</f>
        <v>-48493.396928551854</v>
      </c>
      <c r="E26" s="602">
        <f>SUM(E10:E25)</f>
        <v>-48493.396928551854</v>
      </c>
      <c r="F26" s="603">
        <f>SUM(F10:F25)</f>
        <v>-48493.396928551854</v>
      </c>
      <c r="G26" s="603">
        <f>SUM(G10:G25)</f>
        <v>-18939.812642487159</v>
      </c>
      <c r="H26" s="234"/>
      <c r="I26" s="284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>
      <c r="A27" s="1"/>
      <c r="B27" s="3"/>
      <c r="F27" s="233"/>
    </row>
    <row r="28" spans="1:19">
      <c r="A28" s="239" t="s">
        <v>136</v>
      </c>
      <c r="B28" s="3">
        <f>B26-B6</f>
        <v>-1188084.807000001</v>
      </c>
      <c r="E28" s="238"/>
      <c r="F28" s="238"/>
      <c r="G28" s="238"/>
    </row>
    <row r="29" spans="1:19">
      <c r="A29" s="1" t="s">
        <v>15</v>
      </c>
      <c r="B29" s="240">
        <f>B28/B6</f>
        <v>-0.13156525296098776</v>
      </c>
    </row>
    <row r="31" spans="1:19">
      <c r="B31" s="5"/>
    </row>
    <row r="33" spans="1:14">
      <c r="B33" s="5"/>
      <c r="C33" s="5"/>
      <c r="D33" s="5"/>
      <c r="E33" s="5"/>
      <c r="F33" s="5"/>
    </row>
    <row r="34" spans="1:14" ht="13.8">
      <c r="A34" s="436" t="s">
        <v>143</v>
      </c>
    </row>
    <row r="36" spans="1:14">
      <c r="A36" s="1"/>
      <c r="B36" s="241"/>
    </row>
    <row r="37" spans="1:14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</row>
    <row r="38" spans="1:14">
      <c r="A38" s="46" t="s">
        <v>145</v>
      </c>
      <c r="B38" s="47">
        <f ca="1">+'Summary Plan Retail Delivered'!E38</f>
        <v>7795631.8137212293</v>
      </c>
    </row>
    <row r="39" spans="1:14">
      <c r="A39" s="1"/>
      <c r="B39" s="3"/>
      <c r="C39" s="232"/>
    </row>
    <row r="40" spans="1:14">
      <c r="A40" s="1" t="s">
        <v>12</v>
      </c>
      <c r="B40" s="31">
        <f ca="1">+'Summary Plan Retail Delivered'!E40</f>
        <v>2576.4333349640647</v>
      </c>
      <c r="C40" s="237">
        <f>N53</f>
        <v>41.473730547526557</v>
      </c>
      <c r="D40" s="234"/>
    </row>
    <row r="41" spans="1:14">
      <c r="A41" s="1"/>
      <c r="B41" s="3"/>
      <c r="D41" s="234"/>
    </row>
    <row r="42" spans="1:14">
      <c r="A42" s="1" t="s">
        <v>106</v>
      </c>
      <c r="B42" s="31">
        <f ca="1">+'Summary Plan Retail Delivered'!E42</f>
        <v>-2807.5104622071576</v>
      </c>
      <c r="C42" s="50">
        <f>C40</f>
        <v>41.473730547526557</v>
      </c>
      <c r="D42" s="434">
        <f>+C42*B42/1000</f>
        <v>-116.4379324189414</v>
      </c>
      <c r="E42" s="432">
        <f>D42</f>
        <v>-116.4379324189414</v>
      </c>
      <c r="F42" s="432">
        <f>+E42</f>
        <v>-116.4379324189414</v>
      </c>
      <c r="G42" s="432">
        <f ca="1">+E42+'P6 Summary Plan Forecast_Mar'!G42</f>
        <v>-172.7082951758417</v>
      </c>
      <c r="H42" s="51"/>
      <c r="I42" s="234"/>
    </row>
    <row r="43" spans="1:14">
      <c r="A43" s="1"/>
      <c r="B43" s="3"/>
      <c r="C43" s="50"/>
      <c r="D43" s="431"/>
      <c r="E43" s="432"/>
      <c r="F43" s="432"/>
      <c r="G43" s="432"/>
      <c r="H43" s="51"/>
      <c r="I43" s="232"/>
    </row>
    <row r="44" spans="1:14">
      <c r="A44" s="1" t="s">
        <v>13</v>
      </c>
      <c r="B44" s="31">
        <f ca="1">+'Summary Plan Retail Delivered'!E44</f>
        <v>1811.0469225580828</v>
      </c>
      <c r="C44" s="50">
        <f>C42</f>
        <v>41.473730547526557</v>
      </c>
      <c r="D44" s="434">
        <f>+C44*B44/1000</f>
        <v>75.110872075101113</v>
      </c>
      <c r="E44" s="432">
        <f>D44</f>
        <v>75.110872075101113</v>
      </c>
      <c r="F44" s="432">
        <f>+E44</f>
        <v>75.110872075101113</v>
      </c>
      <c r="G44" s="432">
        <f ca="1">+E44+'P6 Summary Plan Forecast_Mar'!G44</f>
        <v>-490.06464949841319</v>
      </c>
      <c r="H44" s="51"/>
    </row>
    <row r="45" spans="1:14">
      <c r="A45" s="1"/>
      <c r="B45" s="3"/>
      <c r="C45" s="50"/>
      <c r="D45" s="431"/>
      <c r="E45" s="432"/>
      <c r="F45" s="432"/>
      <c r="G45" s="432"/>
      <c r="H45" s="51"/>
    </row>
    <row r="46" spans="1:14">
      <c r="A46" s="1" t="s">
        <v>35</v>
      </c>
      <c r="B46" s="31">
        <f ca="1">+'Summary Plan Retail Delivered'!E46</f>
        <v>-39876.166132140708</v>
      </c>
      <c r="C46" s="50">
        <f>C44</f>
        <v>41.473730547526557</v>
      </c>
      <c r="D46" s="434">
        <f>+C46*B46/1000</f>
        <v>-1653.8133694328078</v>
      </c>
      <c r="E46" s="432">
        <f>D46</f>
        <v>-1653.8133694328078</v>
      </c>
      <c r="F46" s="432">
        <f>+E46</f>
        <v>-1653.8133694328078</v>
      </c>
      <c r="G46" s="432">
        <f ca="1">+E46+'P6 Summary Plan Forecast_Mar'!G46</f>
        <v>21222.620222134698</v>
      </c>
    </row>
    <row r="47" spans="1:14">
      <c r="A47" s="1"/>
      <c r="B47" s="3"/>
      <c r="C47" s="50"/>
      <c r="D47" s="431"/>
      <c r="E47" s="432"/>
      <c r="F47" s="432"/>
      <c r="G47" s="432"/>
      <c r="N47" s="233"/>
    </row>
    <row r="48" spans="1:14">
      <c r="A48" s="1" t="s">
        <v>36</v>
      </c>
      <c r="B48" s="31">
        <f ca="1">+'Summary Plan Retail Delivered'!E48</f>
        <v>0</v>
      </c>
      <c r="C48" s="50">
        <f>C46</f>
        <v>41.473730547526557</v>
      </c>
      <c r="D48" s="434">
        <f>+C48*B48/1000</f>
        <v>0</v>
      </c>
      <c r="E48" s="432">
        <f>D48</f>
        <v>0</v>
      </c>
      <c r="F48" s="432">
        <f>+E48</f>
        <v>0</v>
      </c>
      <c r="G48" s="432">
        <f ca="1">+E48+'P6 Summary Plan Forecast_Mar'!G48</f>
        <v>-21019.925031443199</v>
      </c>
      <c r="H48" s="51"/>
      <c r="I48" s="235"/>
    </row>
    <row r="49" spans="1:15">
      <c r="A49" s="1"/>
      <c r="B49" s="3"/>
      <c r="C49" s="50"/>
      <c r="D49" s="431"/>
      <c r="E49" s="432"/>
      <c r="F49" s="432"/>
      <c r="G49" s="432"/>
      <c r="H49" s="51"/>
      <c r="I49" s="235"/>
      <c r="N49" s="144">
        <f ca="1">'Summary Plan Retail Delivered'!E38</f>
        <v>7795631.8137212293</v>
      </c>
      <c r="O49" t="s">
        <v>137</v>
      </c>
    </row>
    <row r="50" spans="1:15">
      <c r="A50" t="s">
        <v>138</v>
      </c>
      <c r="B50" s="31">
        <f ca="1">+'Summary Plan Retail Delivered'!E50</f>
        <v>0</v>
      </c>
      <c r="C50" s="50">
        <f>C48</f>
        <v>41.473730547526557</v>
      </c>
      <c r="D50" s="434">
        <f>+C50*B50/1000</f>
        <v>0</v>
      </c>
      <c r="E50" s="432">
        <f>D50</f>
        <v>0</v>
      </c>
      <c r="F50" s="432">
        <f>+E50</f>
        <v>0</v>
      </c>
      <c r="G50" s="432">
        <f ca="1">+E50+'P6 Summary Plan Forecast_Mar'!G50</f>
        <v>0</v>
      </c>
      <c r="H50" s="51"/>
      <c r="I50" s="235"/>
    </row>
    <row r="51" spans="1:15">
      <c r="A51" s="1"/>
      <c r="B51" s="3"/>
      <c r="C51" s="50"/>
      <c r="D51" s="431"/>
      <c r="E51" s="432"/>
      <c r="F51" s="432"/>
      <c r="G51" s="432"/>
      <c r="H51" s="51"/>
      <c r="I51" s="235"/>
      <c r="N51" s="508" t="s">
        <v>281</v>
      </c>
    </row>
    <row r="52" spans="1:15">
      <c r="A52" s="1" t="s">
        <v>57</v>
      </c>
      <c r="B52" s="31">
        <f ca="1">+'Summary Plan Retail Delivered'!E52</f>
        <v>20888.17276976876</v>
      </c>
      <c r="C52" s="50">
        <f>C48</f>
        <v>41.473730547526557</v>
      </c>
      <c r="D52" s="434">
        <f>+C52*B52/1000</f>
        <v>866.31044908357114</v>
      </c>
      <c r="E52" s="432">
        <f>D52</f>
        <v>866.31044908357114</v>
      </c>
      <c r="F52" s="432">
        <f>+E52</f>
        <v>866.31044908357114</v>
      </c>
      <c r="G52" s="432">
        <f ca="1">+E52+'P6 Summary Plan Forecast_Mar'!G52</f>
        <v>2763.698159995166</v>
      </c>
      <c r="H52" s="183"/>
      <c r="I52" s="508" t="s">
        <v>281</v>
      </c>
      <c r="N52" s="144">
        <f ca="1">+April_Prices!D16</f>
        <v>323313.93329000002</v>
      </c>
      <c r="O52" t="s">
        <v>139</v>
      </c>
    </row>
    <row r="53" spans="1:15">
      <c r="A53" s="1"/>
      <c r="B53" s="3"/>
      <c r="C53" s="50"/>
      <c r="D53" s="431"/>
      <c r="E53" s="432"/>
      <c r="F53" s="432"/>
      <c r="G53" s="432"/>
      <c r="H53" s="51"/>
      <c r="I53" s="235"/>
      <c r="N53" s="237">
        <f>N52/N49*1000</f>
        <v>41.473730547526557</v>
      </c>
    </row>
    <row r="54" spans="1:15">
      <c r="A54" s="1" t="s">
        <v>83</v>
      </c>
      <c r="B54" s="31">
        <v>0</v>
      </c>
      <c r="C54" s="50">
        <f>C52</f>
        <v>41.473730547526557</v>
      </c>
      <c r="D54" s="434">
        <f>+C54*B54/1000</f>
        <v>0</v>
      </c>
      <c r="E54" s="432">
        <f>D54</f>
        <v>0</v>
      </c>
      <c r="F54" s="432">
        <f>+E54</f>
        <v>0</v>
      </c>
      <c r="G54" s="432">
        <f ca="1">+E54+'P6 Summary Plan Forecast_Mar'!G54</f>
        <v>0</v>
      </c>
      <c r="H54" s="51"/>
      <c r="I54" s="235"/>
    </row>
    <row r="55" spans="1:15">
      <c r="A55" s="1"/>
      <c r="B55" s="3"/>
      <c r="C55" s="50"/>
      <c r="D55" s="431"/>
      <c r="E55" s="432"/>
      <c r="F55" s="432"/>
      <c r="G55" s="432"/>
      <c r="H55" s="51"/>
      <c r="I55" s="235"/>
    </row>
    <row r="56" spans="1:15">
      <c r="A56" s="1" t="s">
        <v>14</v>
      </c>
      <c r="B56" s="31">
        <f ca="1">+'Summary Plan Retail Delivered'!E56</f>
        <v>64075.795845827088</v>
      </c>
      <c r="C56" s="50">
        <f>+C52</f>
        <v>41.473730547526557</v>
      </c>
      <c r="D56" s="434">
        <f>+C56*B56/1000</f>
        <v>2657.4622915281543</v>
      </c>
      <c r="E56" s="432">
        <f>D56</f>
        <v>2657.4622915281543</v>
      </c>
      <c r="F56" s="432">
        <f>+E56</f>
        <v>2657.4622915281543</v>
      </c>
      <c r="G56" s="432">
        <f ca="1">+E56+'P6 Summary Plan Forecast_Mar'!G56</f>
        <v>12067.677575517797</v>
      </c>
      <c r="H56" s="51"/>
      <c r="I56" s="232"/>
    </row>
    <row r="57" spans="1:15">
      <c r="A57" s="1"/>
      <c r="B57" s="3"/>
      <c r="C57" s="50"/>
      <c r="D57" s="433"/>
      <c r="E57" s="432"/>
      <c r="F57" s="432"/>
      <c r="G57" s="432"/>
      <c r="H57" s="51"/>
      <c r="I57" s="234"/>
    </row>
    <row r="58" spans="1:15">
      <c r="A58" s="46" t="s">
        <v>144</v>
      </c>
      <c r="B58" s="47">
        <f>SUM(B38:B56)</f>
        <v>7842299.5860000001</v>
      </c>
      <c r="C58" s="50">
        <f>C56</f>
        <v>41.473730547526557</v>
      </c>
      <c r="D58" s="432">
        <f>SUM(D42:D57)</f>
        <v>1828.6323108350775</v>
      </c>
      <c r="E58" s="432">
        <f>SUM(E42:E56)</f>
        <v>1828.6323108350775</v>
      </c>
      <c r="F58" s="439">
        <f>SUM(F42:F56)</f>
        <v>1828.6323108350775</v>
      </c>
      <c r="G58" s="439">
        <f>SUM(G42:G56)</f>
        <v>14371.297981530206</v>
      </c>
      <c r="H58" s="51"/>
      <c r="I58" s="234"/>
    </row>
    <row r="59" spans="1:15">
      <c r="A59" s="1"/>
      <c r="B59" s="3"/>
      <c r="C59" s="50"/>
      <c r="D59" s="5"/>
      <c r="E59" s="160"/>
      <c r="F59" s="242"/>
      <c r="G59" s="242"/>
      <c r="H59" s="160"/>
    </row>
    <row r="60" spans="1:15">
      <c r="A60" s="239" t="s">
        <v>140</v>
      </c>
      <c r="B60" s="3">
        <f>B58-B38</f>
        <v>46667.772278770804</v>
      </c>
      <c r="C60" s="50"/>
      <c r="D60" s="243"/>
      <c r="E60" s="242"/>
      <c r="F60" s="242"/>
      <c r="G60" s="242"/>
      <c r="H60" s="160"/>
    </row>
    <row r="61" spans="1:15">
      <c r="A61" s="1" t="s">
        <v>16</v>
      </c>
      <c r="B61" s="240">
        <f>(B58/B38)-1</f>
        <v>5.986400255157065E-3</v>
      </c>
      <c r="E61" s="160"/>
      <c r="F61" s="242"/>
      <c r="G61" s="242"/>
      <c r="H61" s="160"/>
    </row>
    <row r="62" spans="1:15">
      <c r="B62" s="3"/>
      <c r="E62" s="160"/>
      <c r="F62" s="242"/>
      <c r="G62" s="242"/>
      <c r="H62" s="160"/>
    </row>
    <row r="63" spans="1:15">
      <c r="B63" s="3"/>
      <c r="E63" s="160"/>
      <c r="F63" s="160"/>
      <c r="G63" s="160"/>
      <c r="H63" s="160"/>
    </row>
    <row r="64" spans="1:15">
      <c r="B64" s="3"/>
    </row>
    <row r="65" spans="2:2">
      <c r="B65" s="430"/>
    </row>
    <row r="66" spans="2:2">
      <c r="B66" s="5"/>
    </row>
  </sheetData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5"/>
  <sheetViews>
    <sheetView workbookViewId="0"/>
  </sheetViews>
  <sheetFormatPr defaultColWidth="9.109375" defaultRowHeight="13.2"/>
  <cols>
    <col min="1" max="1" width="33.5546875" customWidth="1"/>
    <col min="2" max="2" width="12.6640625" customWidth="1"/>
    <col min="4" max="4" width="13.5546875" customWidth="1"/>
    <col min="5" max="5" width="16.109375" customWidth="1"/>
    <col min="6" max="6" width="13.88671875" bestFit="1" customWidth="1"/>
    <col min="7" max="7" width="11.44140625" bestFit="1" customWidth="1"/>
    <col min="8" max="8" width="4.109375" customWidth="1"/>
    <col min="9" max="9" width="3.6640625" customWidth="1"/>
    <col min="10" max="10" width="2.6640625" customWidth="1"/>
    <col min="11" max="11" width="4.109375" customWidth="1"/>
    <col min="12" max="12" width="3.44140625" customWidth="1"/>
    <col min="13" max="13" width="3.5546875" customWidth="1"/>
    <col min="14" max="14" width="11.33203125" customWidth="1"/>
    <col min="15" max="15" width="13.88671875" customWidth="1"/>
  </cols>
  <sheetData>
    <row r="1" spans="1:16" ht="47.25" customHeight="1">
      <c r="A1" s="780" t="s">
        <v>472</v>
      </c>
    </row>
    <row r="2" spans="1:16" ht="13.8">
      <c r="A2" s="436" t="s">
        <v>142</v>
      </c>
    </row>
    <row r="3" spans="1:16">
      <c r="J3" s="281"/>
    </row>
    <row r="4" spans="1:16">
      <c r="A4" s="1"/>
      <c r="B4" s="230" t="s">
        <v>4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6">
      <c r="A5" s="1"/>
      <c r="C5" s="34" t="s">
        <v>128</v>
      </c>
      <c r="D5" t="s">
        <v>129</v>
      </c>
      <c r="E5" t="s">
        <v>130</v>
      </c>
      <c r="F5" t="s">
        <v>131</v>
      </c>
      <c r="G5" t="s">
        <v>132</v>
      </c>
    </row>
    <row r="6" spans="1:16">
      <c r="A6" s="46" t="s">
        <v>141</v>
      </c>
      <c r="B6" s="47">
        <f ca="1">+'Summary Plan Retail Delivered'!F6</f>
        <v>8843049.5600000005</v>
      </c>
      <c r="I6" s="232" t="s">
        <v>147</v>
      </c>
    </row>
    <row r="7" spans="1:16">
      <c r="A7" s="1"/>
      <c r="B7" s="232"/>
      <c r="C7" s="232"/>
      <c r="O7" s="440">
        <f>+[3]Retail!$N$10</f>
        <v>8843049.5600000005</v>
      </c>
      <c r="P7" t="s">
        <v>133</v>
      </c>
    </row>
    <row r="8" spans="1:16">
      <c r="A8" s="1" t="s">
        <v>12</v>
      </c>
      <c r="B8" s="31">
        <f ca="1">+'Summary Plan Retail Delivered'!F8</f>
        <v>56368.024244626824</v>
      </c>
      <c r="C8" s="50">
        <f>O9</f>
        <v>41.160352404493366</v>
      </c>
      <c r="D8" s="234"/>
      <c r="I8" s="249" t="s">
        <v>281</v>
      </c>
      <c r="O8" s="509">
        <f ca="1">+May_Prices!E16</f>
        <v>363983.03622000001</v>
      </c>
      <c r="P8" t="s">
        <v>134</v>
      </c>
    </row>
    <row r="9" spans="1:16">
      <c r="A9" s="1"/>
      <c r="B9" s="3"/>
      <c r="C9" s="50"/>
      <c r="D9" s="234"/>
      <c r="O9" s="50">
        <f>O8/O7*1000</f>
        <v>41.160352404493366</v>
      </c>
    </row>
    <row r="10" spans="1:16">
      <c r="A10" s="1" t="s">
        <v>106</v>
      </c>
      <c r="B10" s="31">
        <f ca="1">+'Summary Plan Retail Delivered'!F10</f>
        <v>5924.735965736917</v>
      </c>
      <c r="C10" s="50">
        <f>C8</f>
        <v>41.160352404493366</v>
      </c>
      <c r="D10" s="434">
        <f>+C10*B10/1000</f>
        <v>243.86422025330785</v>
      </c>
      <c r="E10" s="602">
        <f>D10</f>
        <v>243.86422025330785</v>
      </c>
      <c r="F10" s="602">
        <f ca="1">+E10+'P6 Summary Plan Forecast_April'!F10</f>
        <v>566.25099077737036</v>
      </c>
      <c r="G10" s="602">
        <f ca="1">+E10+'P6 Summary Plan Forecast_April'!G10</f>
        <v>-721.49710977466839</v>
      </c>
      <c r="H10" s="238"/>
      <c r="I10" s="235"/>
      <c r="K10" s="236"/>
      <c r="P10" s="81"/>
    </row>
    <row r="11" spans="1:16">
      <c r="A11" s="1"/>
      <c r="B11" s="3"/>
      <c r="C11" s="50"/>
      <c r="D11" s="434"/>
      <c r="E11" s="602"/>
      <c r="F11" s="602"/>
      <c r="G11" s="602"/>
      <c r="H11" s="238"/>
      <c r="I11" s="235"/>
      <c r="K11" s="236"/>
      <c r="O11" s="5"/>
    </row>
    <row r="12" spans="1:16">
      <c r="A12" s="1" t="s">
        <v>13</v>
      </c>
      <c r="B12" s="31">
        <f ca="1">+'Summary Plan Retail Delivered'!F12</f>
        <v>29442.8449516334</v>
      </c>
      <c r="C12" s="50">
        <f>C10</f>
        <v>41.160352404493366</v>
      </c>
      <c r="D12" s="434">
        <f>+C12*B12/1000</f>
        <v>1211.8778740000892</v>
      </c>
      <c r="E12" s="602">
        <f>D12</f>
        <v>1211.8778740000892</v>
      </c>
      <c r="F12" s="602">
        <f ca="1">+E12+'P6 Summary Plan Forecast_April'!F12</f>
        <v>2422.4574671908731</v>
      </c>
      <c r="G12" s="602">
        <f ca="1">+E12+'P6 Summary Plan Forecast_April'!G12</f>
        <v>5521.7103126911461</v>
      </c>
      <c r="H12" s="238"/>
      <c r="I12" s="235"/>
      <c r="K12" s="236"/>
      <c r="O12" s="5"/>
    </row>
    <row r="13" spans="1:16">
      <c r="A13" s="1"/>
      <c r="B13" s="3"/>
      <c r="C13" s="50"/>
      <c r="D13" s="434"/>
      <c r="E13" s="602"/>
      <c r="F13" s="602"/>
      <c r="G13" s="602"/>
      <c r="H13" s="238"/>
      <c r="I13" s="235"/>
      <c r="K13" s="236"/>
      <c r="O13" s="81"/>
    </row>
    <row r="14" spans="1:16">
      <c r="A14" s="1" t="s">
        <v>35</v>
      </c>
      <c r="B14" s="31">
        <f ca="1">+'Summary Plan Retail Delivered'!F14</f>
        <v>-506797.71798906376</v>
      </c>
      <c r="C14" s="50">
        <f>C12</f>
        <v>41.160352404493366</v>
      </c>
      <c r="D14" s="434">
        <f>+C14*B14/1000</f>
        <v>-20859.972670222913</v>
      </c>
      <c r="E14" s="602">
        <f>D14</f>
        <v>-20859.972670222913</v>
      </c>
      <c r="F14" s="602">
        <f ca="1">+E14+'P6 Summary Plan Forecast_April'!F14</f>
        <v>-62157.213082002039</v>
      </c>
      <c r="G14" s="602">
        <f ca="1">+E14+'P6 Summary Plan Forecast_April'!G14</f>
        <v>-46088.711537438125</v>
      </c>
      <c r="H14" s="238"/>
      <c r="I14" s="235"/>
      <c r="K14" s="236"/>
    </row>
    <row r="15" spans="1:16">
      <c r="A15" s="1"/>
      <c r="B15" s="3"/>
      <c r="C15" s="50"/>
      <c r="D15" s="434"/>
      <c r="E15" s="602"/>
      <c r="F15" s="602"/>
      <c r="G15" s="602"/>
      <c r="H15" s="238"/>
      <c r="I15" s="235"/>
      <c r="K15" s="236"/>
    </row>
    <row r="16" spans="1:16">
      <c r="A16" s="1" t="s">
        <v>36</v>
      </c>
      <c r="B16" s="31">
        <f ca="1">+'Summary Plan Retail Delivered'!F16</f>
        <v>0</v>
      </c>
      <c r="C16" s="50">
        <f>C14</f>
        <v>41.160352404493366</v>
      </c>
      <c r="D16" s="434">
        <f>+C16*B16/1000</f>
        <v>0</v>
      </c>
      <c r="E16" s="602">
        <f>D16</f>
        <v>0</v>
      </c>
      <c r="F16" s="602">
        <f ca="1">+E16+'P6 Summary Plan Forecast_April'!F16</f>
        <v>0</v>
      </c>
      <c r="G16" s="602">
        <f ca="1">+E16+'P6 Summary Plan Forecast_April'!G16</f>
        <v>-11230.05540265602</v>
      </c>
      <c r="H16" s="238"/>
      <c r="I16" s="235"/>
      <c r="K16" s="236"/>
    </row>
    <row r="17" spans="1:19">
      <c r="A17" s="1"/>
      <c r="B17" s="3"/>
      <c r="C17" s="50"/>
      <c r="D17" s="434"/>
      <c r="E17" s="602"/>
      <c r="F17" s="602"/>
      <c r="G17" s="602"/>
      <c r="H17" s="238"/>
      <c r="I17" s="235"/>
      <c r="K17" s="236"/>
    </row>
    <row r="18" spans="1:19">
      <c r="A18" s="1" t="s">
        <v>135</v>
      </c>
      <c r="B18" s="31">
        <f ca="1">+'Summary Plan Retail Delivered'!F18</f>
        <v>-61008.972198885123</v>
      </c>
      <c r="C18" s="50">
        <f>C16</f>
        <v>41.160352404493366</v>
      </c>
      <c r="D18" s="434">
        <f>+C18*B18/1000</f>
        <v>-2511.1507955420502</v>
      </c>
      <c r="E18" s="602">
        <f>D18</f>
        <v>-2511.1507955420502</v>
      </c>
      <c r="F18" s="602">
        <f ca="1">+E18+'P6 Summary Plan Forecast_April'!F18</f>
        <v>-3911.6436120450489</v>
      </c>
      <c r="G18" s="602">
        <f ca="1">+E18+'P6 Summary Plan Forecast_April'!G18</f>
        <v>-5396.9722053515579</v>
      </c>
      <c r="H18" s="238"/>
      <c r="I18" s="281"/>
      <c r="J18" s="160"/>
      <c r="K18" s="282"/>
      <c r="L18" s="160"/>
      <c r="M18" s="160"/>
      <c r="N18" s="160"/>
      <c r="P18" s="160"/>
      <c r="Q18" s="160"/>
      <c r="R18" s="160"/>
      <c r="S18" s="160"/>
    </row>
    <row r="19" spans="1:19">
      <c r="A19" s="1"/>
      <c r="B19" s="3"/>
      <c r="C19" s="50"/>
      <c r="D19" s="434"/>
      <c r="E19" s="602"/>
      <c r="F19" s="602"/>
      <c r="G19" s="602"/>
      <c r="H19" s="238"/>
      <c r="I19" s="284"/>
      <c r="J19" s="160"/>
      <c r="K19" s="282"/>
      <c r="L19" s="160"/>
      <c r="M19" s="160"/>
      <c r="N19" s="160"/>
      <c r="O19" s="160"/>
      <c r="P19" s="160"/>
      <c r="Q19" s="160"/>
      <c r="R19" s="160"/>
      <c r="S19" s="160"/>
    </row>
    <row r="20" spans="1:19">
      <c r="A20" s="1" t="s">
        <v>57</v>
      </c>
      <c r="B20" s="31">
        <f ca="1">+'Summary Plan Retail Delivered'!F20</f>
        <v>45257.225122266078</v>
      </c>
      <c r="C20" s="50">
        <f>C18</f>
        <v>41.160352404493366</v>
      </c>
      <c r="D20" s="434">
        <f>+C20*B20/1000</f>
        <v>1862.803334881962</v>
      </c>
      <c r="E20" s="602">
        <f>D20</f>
        <v>1862.803334881962</v>
      </c>
      <c r="F20" s="602">
        <f ca="1">+E20+'P6 Summary Plan Forecast_April'!F20</f>
        <v>3827.4722464445672</v>
      </c>
      <c r="G20" s="602">
        <f ca="1">+E20+'P6 Summary Plan Forecast_April'!G20</f>
        <v>9824.054328897806</v>
      </c>
      <c r="H20" s="238"/>
      <c r="I20" s="284"/>
      <c r="J20" s="160"/>
      <c r="K20" s="282"/>
      <c r="L20" s="160"/>
      <c r="M20" s="160"/>
      <c r="N20" s="160"/>
      <c r="O20" s="285"/>
      <c r="P20" s="160"/>
      <c r="Q20" s="160"/>
      <c r="R20" s="160"/>
      <c r="S20" s="160"/>
    </row>
    <row r="21" spans="1:19">
      <c r="A21" s="1"/>
      <c r="B21" s="3"/>
      <c r="C21" s="50"/>
      <c r="D21" s="434"/>
      <c r="E21" s="602"/>
      <c r="F21" s="602"/>
      <c r="G21" s="602"/>
      <c r="H21" s="238"/>
      <c r="I21" s="284"/>
      <c r="J21" s="160"/>
      <c r="K21" s="282"/>
      <c r="L21" s="160"/>
      <c r="M21" s="160"/>
      <c r="N21" s="160"/>
      <c r="O21" s="160"/>
      <c r="P21" s="160"/>
      <c r="Q21" s="160"/>
      <c r="R21" s="160"/>
      <c r="S21" s="160"/>
    </row>
    <row r="22" spans="1:19" ht="12" customHeight="1">
      <c r="A22" s="1" t="s">
        <v>83</v>
      </c>
      <c r="B22" s="3">
        <f ca="1">'Summary Plan Retail Delivered'!F22</f>
        <v>361225.09663685522</v>
      </c>
      <c r="C22" s="50">
        <f>C20</f>
        <v>41.160352404493366</v>
      </c>
      <c r="D22" s="434">
        <f>+C22*B22/1000</f>
        <v>14868.152274920132</v>
      </c>
      <c r="E22" s="602">
        <f>D22</f>
        <v>14868.152274920132</v>
      </c>
      <c r="F22" s="602">
        <f ca="1">+E22+'P6 Summary Plan Forecast_April'!F22</f>
        <v>4476.0125709704353</v>
      </c>
      <c r="G22" s="602">
        <f ca="1">+E22+'P6 Summary Plan Forecast_April'!G22</f>
        <v>6828.0204221319855</v>
      </c>
      <c r="H22" s="238"/>
      <c r="I22" s="284"/>
      <c r="J22" s="160"/>
      <c r="K22" s="160"/>
      <c r="L22" s="160"/>
      <c r="M22" s="160"/>
      <c r="N22" s="160"/>
      <c r="O22" s="286"/>
      <c r="P22" s="160"/>
      <c r="Q22" s="160"/>
      <c r="R22" s="160"/>
      <c r="S22" s="160"/>
    </row>
    <row r="23" spans="1:19" ht="12" customHeight="1">
      <c r="A23" s="1"/>
      <c r="B23" s="3"/>
      <c r="C23" s="50"/>
      <c r="D23" s="434"/>
      <c r="E23" s="602"/>
      <c r="F23" s="602"/>
      <c r="G23" s="602"/>
      <c r="H23" s="238"/>
      <c r="I23" s="284"/>
      <c r="J23" s="160"/>
      <c r="K23" s="160"/>
      <c r="L23" s="160"/>
      <c r="M23" s="160"/>
      <c r="N23" s="160"/>
      <c r="O23" s="160"/>
      <c r="P23" s="160"/>
      <c r="Q23" s="160"/>
      <c r="R23" s="160"/>
      <c r="S23" s="160"/>
    </row>
    <row r="24" spans="1:19">
      <c r="A24" s="1" t="s">
        <v>14</v>
      </c>
      <c r="B24" s="31">
        <f ca="1">+'Summary Plan Retail Delivered'!F24</f>
        <v>342970.49063049629</v>
      </c>
      <c r="C24" s="50">
        <f>+C20</f>
        <v>41.160352404493366</v>
      </c>
      <c r="D24" s="434">
        <f>+C24*B24/1000</f>
        <v>14116.786258693219</v>
      </c>
      <c r="E24" s="602">
        <f>D24</f>
        <v>14116.786258693219</v>
      </c>
      <c r="F24" s="602">
        <f ca="1">+E24+'P6 Summary Plan Forecast_April'!F24</f>
        <v>15215.626987095729</v>
      </c>
      <c r="G24" s="602">
        <f ca="1">+E24+'P6 Summary Plan Forecast_April'!G24</f>
        <v>31255.999045996017</v>
      </c>
      <c r="H24" s="238"/>
      <c r="I24" s="284"/>
      <c r="J24" s="160"/>
      <c r="K24" s="160"/>
      <c r="L24" s="160"/>
      <c r="M24" s="160"/>
      <c r="N24" s="160"/>
      <c r="O24" s="287"/>
      <c r="P24" s="160"/>
      <c r="Q24" s="160"/>
      <c r="R24" s="160"/>
      <c r="S24" s="160"/>
    </row>
    <row r="25" spans="1:19">
      <c r="A25" s="1"/>
      <c r="B25" s="3"/>
      <c r="C25" s="183"/>
      <c r="D25" s="602"/>
      <c r="E25" s="602"/>
      <c r="F25" s="602"/>
      <c r="G25" s="602"/>
      <c r="H25" s="238"/>
      <c r="I25" s="284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>
      <c r="A26" s="46" t="s">
        <v>144</v>
      </c>
      <c r="B26" s="47">
        <f>SUM(B6:B24)</f>
        <v>9116431.287363667</v>
      </c>
      <c r="C26" s="50">
        <f>+C24</f>
        <v>41.160352404493366</v>
      </c>
      <c r="D26" s="434">
        <f>SUM(D10:D25)</f>
        <v>8932.3604969837488</v>
      </c>
      <c r="E26" s="602">
        <f>SUM(E10:E25)</f>
        <v>8932.3604969837488</v>
      </c>
      <c r="F26" s="603">
        <f>SUM(F10:F25)</f>
        <v>-39561.036431568122</v>
      </c>
      <c r="G26" s="603">
        <f>SUM(G10:G25)</f>
        <v>-10007.452145503412</v>
      </c>
      <c r="H26" s="234"/>
      <c r="I26" s="284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>
      <c r="A27" s="1"/>
      <c r="B27" s="3"/>
      <c r="F27" s="233"/>
    </row>
    <row r="28" spans="1:19">
      <c r="A28" s="239" t="s">
        <v>136</v>
      </c>
      <c r="B28" s="3">
        <f>B26-B6</f>
        <v>273381.72736366652</v>
      </c>
      <c r="E28" s="238"/>
      <c r="F28" s="238"/>
      <c r="G28" s="238"/>
    </row>
    <row r="29" spans="1:19">
      <c r="A29" s="1" t="s">
        <v>15</v>
      </c>
      <c r="B29" s="240">
        <f>B28/B6</f>
        <v>3.0914869978820574E-2</v>
      </c>
    </row>
    <row r="31" spans="1:19">
      <c r="B31" s="5"/>
    </row>
    <row r="33" spans="1:14">
      <c r="B33" s="5"/>
      <c r="C33" s="5"/>
      <c r="D33" s="5"/>
      <c r="E33" s="5"/>
      <c r="F33" s="5"/>
    </row>
    <row r="34" spans="1:14" ht="13.8">
      <c r="A34" s="436" t="s">
        <v>143</v>
      </c>
    </row>
    <row r="36" spans="1:14">
      <c r="A36" s="1"/>
      <c r="B36" s="241"/>
    </row>
    <row r="37" spans="1:14">
      <c r="A37" s="1"/>
      <c r="B37" s="232"/>
      <c r="C37" t="s">
        <v>128</v>
      </c>
      <c r="D37" s="34" t="s">
        <v>129</v>
      </c>
      <c r="E37" s="34" t="s">
        <v>130</v>
      </c>
      <c r="F37" t="s">
        <v>131</v>
      </c>
      <c r="G37" t="s">
        <v>132</v>
      </c>
    </row>
    <row r="38" spans="1:14">
      <c r="A38" s="46" t="s">
        <v>145</v>
      </c>
      <c r="B38" s="47">
        <f ca="1">+'Summary Plan Retail Delivered'!F38</f>
        <v>8898818.4208626878</v>
      </c>
    </row>
    <row r="39" spans="1:14">
      <c r="A39" s="1"/>
      <c r="B39" s="3"/>
      <c r="C39" s="232"/>
    </row>
    <row r="40" spans="1:14">
      <c r="A40" s="1" t="s">
        <v>12</v>
      </c>
      <c r="B40" s="31">
        <f ca="1">+'Summary Plan Retail Delivered'!F40</f>
        <v>-41.156945206343991</v>
      </c>
      <c r="C40" s="237">
        <f>N53</f>
        <v>41.53347856536773</v>
      </c>
      <c r="D40" s="234"/>
    </row>
    <row r="41" spans="1:14">
      <c r="A41" s="1"/>
      <c r="B41" s="3"/>
      <c r="D41" s="234"/>
    </row>
    <row r="42" spans="1:14">
      <c r="A42" s="1" t="s">
        <v>106</v>
      </c>
      <c r="B42" s="31">
        <f ca="1">+'Summary Plan Retail Delivered'!F42</f>
        <v>-4052.4899534619976</v>
      </c>
      <c r="C42" s="50">
        <f>C40</f>
        <v>41.53347856536773</v>
      </c>
      <c r="D42" s="434">
        <f>+C42*B42/1000</f>
        <v>-168.31400461848193</v>
      </c>
      <c r="E42" s="432">
        <f>D42</f>
        <v>-168.31400461848193</v>
      </c>
      <c r="F42" s="602">
        <f ca="1">+E42+'P6 Summary Plan Forecast_April'!F42</f>
        <v>-284.75193703742332</v>
      </c>
      <c r="G42" s="602">
        <f ca="1">+E42+'P6 Summary Plan Forecast_April'!G42</f>
        <v>-341.02229979432366</v>
      </c>
      <c r="H42" s="51"/>
      <c r="I42" s="234"/>
    </row>
    <row r="43" spans="1:14">
      <c r="A43" s="1"/>
      <c r="B43" s="3"/>
      <c r="C43" s="50"/>
      <c r="D43" s="431"/>
      <c r="E43" s="432"/>
      <c r="F43" s="432"/>
      <c r="G43" s="602"/>
      <c r="H43" s="51"/>
      <c r="I43" s="232"/>
    </row>
    <row r="44" spans="1:14">
      <c r="A44" s="1" t="s">
        <v>13</v>
      </c>
      <c r="B44" s="31">
        <f ca="1">+'Summary Plan Retail Delivered'!F44</f>
        <v>753.72154623410415</v>
      </c>
      <c r="C44" s="50">
        <f>C42</f>
        <v>41.53347856536773</v>
      </c>
      <c r="D44" s="434">
        <f>+C44*B44/1000</f>
        <v>31.304677684769988</v>
      </c>
      <c r="E44" s="432">
        <f>D44</f>
        <v>31.304677684769988</v>
      </c>
      <c r="F44" s="602">
        <f ca="1">+E44+'P6 Summary Plan Forecast_April'!F44</f>
        <v>106.4155497598711</v>
      </c>
      <c r="G44" s="602">
        <f ca="1">+E44+'P6 Summary Plan Forecast_April'!G44</f>
        <v>-458.75997181364318</v>
      </c>
      <c r="H44" s="51"/>
    </row>
    <row r="45" spans="1:14">
      <c r="A45" s="1"/>
      <c r="B45" s="3"/>
      <c r="C45" s="50"/>
      <c r="D45" s="431"/>
      <c r="E45" s="432"/>
      <c r="F45" s="432"/>
      <c r="G45" s="602"/>
      <c r="H45" s="51"/>
    </row>
    <row r="46" spans="1:14">
      <c r="A46" s="1" t="s">
        <v>35</v>
      </c>
      <c r="B46" s="31">
        <f ca="1">+'Summary Plan Retail Delivered'!F46</f>
        <v>-71669.866038290056</v>
      </c>
      <c r="C46" s="50">
        <f>C44</f>
        <v>41.53347856536773</v>
      </c>
      <c r="D46" s="434">
        <f>+C46*B46/1000</f>
        <v>-2976.6988448840966</v>
      </c>
      <c r="E46" s="432">
        <f>D46</f>
        <v>-2976.6988448840966</v>
      </c>
      <c r="F46" s="602">
        <f ca="1">+E46+'P6 Summary Plan Forecast_April'!F46</f>
        <v>-4630.5122143169046</v>
      </c>
      <c r="G46" s="602">
        <f ca="1">+E46+'P6 Summary Plan Forecast_April'!G46</f>
        <v>18245.921377250601</v>
      </c>
    </row>
    <row r="47" spans="1:14">
      <c r="A47" s="1"/>
      <c r="B47" s="3"/>
      <c r="C47" s="50"/>
      <c r="D47" s="431"/>
      <c r="E47" s="432"/>
      <c r="F47" s="432"/>
      <c r="G47" s="602"/>
      <c r="N47" s="233"/>
    </row>
    <row r="48" spans="1:14">
      <c r="A48" s="1" t="s">
        <v>36</v>
      </c>
      <c r="B48" s="31">
        <f ca="1">+'Summary Plan Retail Delivered'!F48</f>
        <v>0</v>
      </c>
      <c r="C48" s="50">
        <f>C46</f>
        <v>41.53347856536773</v>
      </c>
      <c r="D48" s="434">
        <f>+C48*B48/1000</f>
        <v>0</v>
      </c>
      <c r="E48" s="432">
        <f>D48</f>
        <v>0</v>
      </c>
      <c r="F48" s="602">
        <f ca="1">+E48+'P6 Summary Plan Forecast_April'!F48</f>
        <v>0</v>
      </c>
      <c r="G48" s="602">
        <f ca="1">+E48+'P6 Summary Plan Forecast_April'!G48</f>
        <v>-21019.925031443199</v>
      </c>
      <c r="H48" s="51"/>
      <c r="I48" s="235"/>
    </row>
    <row r="49" spans="1:15">
      <c r="A49" s="1"/>
      <c r="B49" s="3"/>
      <c r="C49" s="50"/>
      <c r="D49" s="431"/>
      <c r="E49" s="432"/>
      <c r="F49" s="432"/>
      <c r="G49" s="602"/>
      <c r="H49" s="51"/>
      <c r="I49" s="235"/>
      <c r="N49" s="144">
        <f ca="1">'Summary Plan Retail Delivered'!F38</f>
        <v>8898818.4208626878</v>
      </c>
      <c r="O49" t="s">
        <v>137</v>
      </c>
    </row>
    <row r="50" spans="1:15">
      <c r="A50" t="s">
        <v>138</v>
      </c>
      <c r="B50" s="31">
        <f ca="1">+'Summary Plan Retail Delivered'!F50</f>
        <v>0</v>
      </c>
      <c r="C50" s="50">
        <f>C48</f>
        <v>41.53347856536773</v>
      </c>
      <c r="D50" s="434">
        <f>+C50*B50/1000</f>
        <v>0</v>
      </c>
      <c r="E50" s="432">
        <f>D50</f>
        <v>0</v>
      </c>
      <c r="F50" s="602">
        <f ca="1">+E50+'P6 Summary Plan Forecast_April'!F50</f>
        <v>0</v>
      </c>
      <c r="G50" s="602">
        <f ca="1">+E50+'P6 Summary Plan Forecast_April'!G50</f>
        <v>0</v>
      </c>
      <c r="H50" s="51"/>
      <c r="I50" s="235"/>
    </row>
    <row r="51" spans="1:15">
      <c r="A51" s="1"/>
      <c r="B51" s="3"/>
      <c r="C51" s="50"/>
      <c r="D51" s="431"/>
      <c r="E51" s="432"/>
      <c r="F51" s="432"/>
      <c r="G51" s="602"/>
      <c r="H51" s="51"/>
      <c r="I51" s="235"/>
      <c r="N51" s="508" t="s">
        <v>281</v>
      </c>
    </row>
    <row r="52" spans="1:15">
      <c r="A52" s="1" t="s">
        <v>57</v>
      </c>
      <c r="B52" s="31">
        <f ca="1">+'Summary Plan Retail Delivered'!F52</f>
        <v>11701.02297205379</v>
      </c>
      <c r="C52" s="50">
        <f>C48</f>
        <v>41.53347856536773</v>
      </c>
      <c r="D52" s="434">
        <f>+C52*B52/1000</f>
        <v>485.9841868026715</v>
      </c>
      <c r="E52" s="432">
        <f>D52</f>
        <v>485.9841868026715</v>
      </c>
      <c r="F52" s="602">
        <f ca="1">+E52+'P6 Summary Plan Forecast_April'!F52</f>
        <v>1352.2946358862428</v>
      </c>
      <c r="G52" s="602">
        <f ca="1">+E52+'P6 Summary Plan Forecast_April'!G52</f>
        <v>3249.6823467978375</v>
      </c>
      <c r="H52" s="183"/>
      <c r="I52" s="508"/>
      <c r="N52" s="510">
        <f ca="1">+May_Prices!D16</f>
        <v>369598.88413999998</v>
      </c>
      <c r="O52" t="s">
        <v>139</v>
      </c>
    </row>
    <row r="53" spans="1:15">
      <c r="A53" s="1"/>
      <c r="B53" s="3"/>
      <c r="C53" s="50"/>
      <c r="D53" s="431"/>
      <c r="E53" s="432"/>
      <c r="F53" s="432"/>
      <c r="G53" s="602"/>
      <c r="H53" s="51"/>
      <c r="I53" s="235"/>
      <c r="N53" s="237">
        <f>N52/N49*1000</f>
        <v>41.53347856536773</v>
      </c>
    </row>
    <row r="54" spans="1:15">
      <c r="A54" s="1" t="s">
        <v>83</v>
      </c>
      <c r="B54" s="31">
        <v>0</v>
      </c>
      <c r="C54" s="50">
        <f>C52</f>
        <v>41.53347856536773</v>
      </c>
      <c r="D54" s="434">
        <f>+C54*B54/1000</f>
        <v>0</v>
      </c>
      <c r="E54" s="432">
        <f>D54</f>
        <v>0</v>
      </c>
      <c r="F54" s="602">
        <f ca="1">+E54+'P6 Summary Plan Forecast_April'!F54</f>
        <v>0</v>
      </c>
      <c r="G54" s="602">
        <f ca="1">+E54+'P6 Summary Plan Forecast_April'!G54</f>
        <v>0</v>
      </c>
      <c r="H54" s="51"/>
      <c r="I54" s="235"/>
    </row>
    <row r="55" spans="1:15">
      <c r="A55" s="1"/>
      <c r="B55" s="3"/>
      <c r="C55" s="50"/>
      <c r="D55" s="431"/>
      <c r="E55" s="432"/>
      <c r="F55" s="432"/>
      <c r="G55" s="602"/>
      <c r="H55" s="51"/>
      <c r="I55" s="235"/>
    </row>
    <row r="56" spans="1:15">
      <c r="A56" s="1" t="s">
        <v>14</v>
      </c>
      <c r="B56" s="31">
        <f ca="1">+'Summary Plan Retail Delivered'!F56</f>
        <v>280921.63491965085</v>
      </c>
      <c r="C56" s="50">
        <f>+C52</f>
        <v>41.53347856536773</v>
      </c>
      <c r="D56" s="434">
        <f>+C56*B56/1000</f>
        <v>11667.652702483378</v>
      </c>
      <c r="E56" s="432">
        <f>D56</f>
        <v>11667.652702483378</v>
      </c>
      <c r="F56" s="602">
        <f ca="1">+E56+'P6 Summary Plan Forecast_April'!F56</f>
        <v>14325.114994011532</v>
      </c>
      <c r="G56" s="602">
        <f ca="1">+E56+'P6 Summary Plan Forecast_April'!G56</f>
        <v>23735.330278001173</v>
      </c>
      <c r="H56" s="51"/>
      <c r="I56" s="232"/>
    </row>
    <row r="57" spans="1:15">
      <c r="A57" s="1"/>
      <c r="B57" s="3"/>
      <c r="C57" s="50"/>
      <c r="D57" s="433"/>
      <c r="E57" s="432"/>
      <c r="F57" s="432"/>
      <c r="G57" s="432"/>
      <c r="H57" s="51"/>
      <c r="I57" s="234"/>
    </row>
    <row r="58" spans="1:15">
      <c r="A58" s="46" t="s">
        <v>144</v>
      </c>
      <c r="B58" s="47">
        <f>SUM(B38:B56)</f>
        <v>9116431.287363667</v>
      </c>
      <c r="C58" s="50">
        <f>C56</f>
        <v>41.53347856536773</v>
      </c>
      <c r="D58" s="432">
        <f>SUM(D42:D56)</f>
        <v>9039.9287174682395</v>
      </c>
      <c r="E58" s="432">
        <f>SUM(E42:E56)</f>
        <v>9039.9287174682395</v>
      </c>
      <c r="F58" s="439">
        <f>SUM(F42:F56)</f>
        <v>10868.561028303317</v>
      </c>
      <c r="G58" s="439">
        <f>SUM(G42:G56)</f>
        <v>23411.226698998442</v>
      </c>
      <c r="H58" s="51"/>
      <c r="I58" s="234"/>
    </row>
    <row r="59" spans="1:15">
      <c r="A59" s="1"/>
      <c r="B59" s="3"/>
      <c r="C59" s="50"/>
      <c r="D59" s="5"/>
      <c r="E59" s="160"/>
      <c r="F59" s="242"/>
      <c r="G59" s="242"/>
      <c r="H59" s="160"/>
    </row>
    <row r="60" spans="1:15">
      <c r="A60" s="239" t="s">
        <v>140</v>
      </c>
      <c r="B60" s="3">
        <f>B58-B38</f>
        <v>217612.86650097929</v>
      </c>
      <c r="C60" s="50"/>
      <c r="D60" s="243"/>
      <c r="E60" s="242"/>
      <c r="F60" s="242"/>
      <c r="G60" s="242"/>
      <c r="H60" s="160"/>
    </row>
    <row r="61" spans="1:15">
      <c r="A61" s="1" t="s">
        <v>16</v>
      </c>
      <c r="B61" s="240">
        <f>(B58/B38)-1</f>
        <v>2.4454130448464895E-2</v>
      </c>
      <c r="E61" s="160"/>
      <c r="F61" s="242"/>
      <c r="G61" s="242"/>
      <c r="H61" s="160"/>
    </row>
    <row r="62" spans="1:15">
      <c r="B62" s="3"/>
      <c r="E62" s="160"/>
      <c r="F62" s="242"/>
      <c r="G62" s="242"/>
      <c r="H62" s="160"/>
    </row>
    <row r="63" spans="1:15">
      <c r="B63" s="3"/>
      <c r="E63" s="160"/>
      <c r="F63" s="160"/>
      <c r="G63" s="160"/>
      <c r="H63" s="160"/>
    </row>
    <row r="64" spans="1:15">
      <c r="B64" s="3"/>
    </row>
    <row r="65" spans="2:6">
      <c r="B65" s="430"/>
      <c r="D65" s="33"/>
    </row>
    <row r="66" spans="2:6">
      <c r="B66" s="5"/>
    </row>
    <row r="67" spans="2:6">
      <c r="D67" s="131"/>
    </row>
    <row r="69" spans="2:6">
      <c r="D69" s="33"/>
    </row>
    <row r="71" spans="2:6">
      <c r="D71" s="701"/>
      <c r="E71" s="701"/>
    </row>
    <row r="73" spans="2:6">
      <c r="D73" s="237"/>
      <c r="E73" s="237"/>
      <c r="F73" s="237"/>
    </row>
    <row r="75" spans="2:6">
      <c r="D75" s="5"/>
      <c r="F75" s="131"/>
    </row>
  </sheetData>
  <phoneticPr fontId="0" type="noConversion"/>
  <printOptions horizontalCentered="1" headings="1" gridLines="1"/>
  <pageMargins left="0.25" right="0.25" top="1" bottom="1" header="0.5" footer="0.5"/>
  <pageSetup scale="85" orientation="portrait" r:id="rId1"/>
  <headerFooter alignWithMargins="0">
    <oddHeader>&amp;C&amp;A</oddHeader>
    <oddFooter>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96"/>
  <sheetViews>
    <sheetView showGridLines="0" zoomScale="75" zoomScaleNormal="75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E1" sqref="E1"/>
    </sheetView>
  </sheetViews>
  <sheetFormatPr defaultRowHeight="13.2"/>
  <cols>
    <col min="1" max="1" width="2.109375" style="160" customWidth="1"/>
    <col min="2" max="2" width="45.5546875" customWidth="1"/>
    <col min="3" max="5" width="11.88671875" customWidth="1"/>
    <col min="6" max="6" width="11.33203125" customWidth="1"/>
    <col min="7" max="7" width="14" bestFit="1" customWidth="1"/>
    <col min="8" max="10" width="11.88671875" customWidth="1"/>
    <col min="11" max="11" width="12.88671875" bestFit="1" customWidth="1"/>
    <col min="12" max="12" width="11.33203125" customWidth="1"/>
    <col min="13" max="13" width="11.88671875" customWidth="1"/>
    <col min="14" max="14" width="14.5546875" bestFit="1" customWidth="1"/>
    <col min="15" max="15" width="11.6640625" customWidth="1"/>
    <col min="16" max="17" width="11.33203125" customWidth="1"/>
  </cols>
  <sheetData>
    <row r="1" spans="2:17" ht="47.25" customHeight="1">
      <c r="B1" s="781" t="s">
        <v>473</v>
      </c>
    </row>
    <row r="2" spans="2:17" s="160" customFormat="1" ht="22.8">
      <c r="B2" s="785" t="s">
        <v>178</v>
      </c>
      <c r="C2" s="785"/>
      <c r="D2" s="785"/>
      <c r="O2" s="160" t="str">
        <f>B6</f>
        <v>Last Refreshed</v>
      </c>
      <c r="P2" s="160" t="str">
        <f>C6</f>
        <v>2/5/2012 15:18:17</v>
      </c>
    </row>
    <row r="3" spans="2:17" s="160" customFormat="1" ht="22.8">
      <c r="B3" s="314" t="s">
        <v>179</v>
      </c>
      <c r="C3" s="313"/>
      <c r="D3" s="313"/>
    </row>
    <row r="4" spans="2:17" ht="21">
      <c r="B4" s="315" t="s">
        <v>180</v>
      </c>
      <c r="C4" s="316"/>
    </row>
    <row r="5" spans="2:17" ht="16.8" hidden="1">
      <c r="B5" s="317"/>
      <c r="C5" s="318"/>
    </row>
    <row r="6" spans="2:17" hidden="1">
      <c r="B6" s="319" t="s">
        <v>181</v>
      </c>
      <c r="C6" s="320" t="s">
        <v>182</v>
      </c>
    </row>
    <row r="7" spans="2:17" ht="17.399999999999999">
      <c r="B7" s="321" t="str">
        <f>MID(D9,1,LEN(D9)-11)</f>
        <v>JAN 2012</v>
      </c>
      <c r="C7" s="32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7" ht="66.75" customHeight="1">
      <c r="B8" s="321"/>
      <c r="C8" s="323" t="str">
        <f>C9</f>
        <v xml:space="preserve"> JAN 2012</v>
      </c>
      <c r="D8" s="324" t="str">
        <f>D9</f>
        <v>JAN 2012
Month
Plan</v>
      </c>
      <c r="E8" s="325" t="str">
        <f>E9</f>
        <v xml:space="preserve"> JAN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183</v>
      </c>
      <c r="D9" s="324" t="s">
        <v>184</v>
      </c>
      <c r="E9" s="325" t="s">
        <v>185</v>
      </c>
      <c r="F9" s="324" t="s">
        <v>186</v>
      </c>
      <c r="G9" s="324" t="s">
        <v>187</v>
      </c>
      <c r="H9" s="323" t="s">
        <v>183</v>
      </c>
      <c r="I9" s="324" t="s">
        <v>188</v>
      </c>
      <c r="J9" s="325" t="s">
        <v>185</v>
      </c>
      <c r="K9" s="324" t="s">
        <v>189</v>
      </c>
      <c r="L9" s="324" t="s">
        <v>190</v>
      </c>
      <c r="M9" s="323" t="s">
        <v>183</v>
      </c>
      <c r="N9" s="324" t="s">
        <v>191</v>
      </c>
      <c r="O9" s="325" t="s">
        <v>185</v>
      </c>
      <c r="P9" s="324" t="s">
        <v>192</v>
      </c>
      <c r="Q9" s="325" t="s">
        <v>193</v>
      </c>
    </row>
    <row r="10" spans="2:17">
      <c r="B10" s="328" t="s">
        <v>194</v>
      </c>
      <c r="C10" s="329">
        <v>311373.30966999999</v>
      </c>
      <c r="D10" s="330">
        <f>349943.6787-D11</f>
        <v>336193.62147999997</v>
      </c>
      <c r="E10" s="331">
        <v>332768.76143999997</v>
      </c>
      <c r="F10" s="330">
        <f>C10-D10</f>
        <v>-24820.311809999985</v>
      </c>
      <c r="G10" s="330">
        <f>C10-E10</f>
        <v>-21395.451769999985</v>
      </c>
      <c r="H10" s="329">
        <v>311373.30966999999</v>
      </c>
      <c r="I10" s="330">
        <f>349943.6787-I11</f>
        <v>336193.62147999997</v>
      </c>
      <c r="J10" s="331">
        <v>332768.76143999997</v>
      </c>
      <c r="K10" s="332">
        <f>H10-I10</f>
        <v>-24820.311809999985</v>
      </c>
      <c r="L10" s="332">
        <f>H10-J10</f>
        <v>-21395.451769999985</v>
      </c>
      <c r="M10" s="329">
        <v>311373.30966999999</v>
      </c>
      <c r="N10" s="330">
        <f>349943.6787-N11</f>
        <v>336193.62147999997</v>
      </c>
      <c r="O10" s="331">
        <v>332768.76143999997</v>
      </c>
      <c r="P10" s="332">
        <f>M10-N10</f>
        <v>-24820.311809999985</v>
      </c>
      <c r="Q10" s="333">
        <f>M10-O10</f>
        <v>-21395.451769999985</v>
      </c>
    </row>
    <row r="11" spans="2:17">
      <c r="B11" s="328" t="s">
        <v>195</v>
      </c>
      <c r="C11" s="329">
        <v>12492.059359999999</v>
      </c>
      <c r="D11" s="330">
        <v>13750.057220000001</v>
      </c>
      <c r="E11" s="331">
        <v>0</v>
      </c>
      <c r="F11" s="330">
        <f>C11-D11</f>
        <v>-1257.9978600000013</v>
      </c>
      <c r="G11" s="330">
        <f>C11-E11</f>
        <v>12492.059359999999</v>
      </c>
      <c r="H11" s="329">
        <v>12492.059359999999</v>
      </c>
      <c r="I11" s="330">
        <f>D11</f>
        <v>13750.057220000001</v>
      </c>
      <c r="J11" s="331"/>
      <c r="K11" s="332">
        <f>H11-I11</f>
        <v>-1257.9978600000013</v>
      </c>
      <c r="L11" s="332">
        <f>H11-J11</f>
        <v>12492.059359999999</v>
      </c>
      <c r="M11" s="329">
        <v>12492.059359999999</v>
      </c>
      <c r="N11" s="330">
        <v>13750.057220000001</v>
      </c>
      <c r="O11" s="331"/>
      <c r="P11" s="332">
        <f>M11-N11</f>
        <v>-1257.9978600000013</v>
      </c>
      <c r="Q11" s="333">
        <f>M11-O11</f>
        <v>12492.059359999999</v>
      </c>
    </row>
    <row r="12" spans="2:17">
      <c r="B12" s="328" t="s">
        <v>196</v>
      </c>
      <c r="C12" s="334"/>
      <c r="D12" s="335"/>
      <c r="E12" s="336"/>
      <c r="F12" s="335"/>
      <c r="G12" s="335"/>
      <c r="H12" s="334"/>
      <c r="I12" s="335"/>
      <c r="J12" s="336"/>
      <c r="K12" s="337"/>
      <c r="L12" s="337"/>
      <c r="M12" s="334"/>
      <c r="N12" s="335"/>
      <c r="O12" s="336"/>
      <c r="P12" s="337"/>
      <c r="Q12" s="338"/>
    </row>
    <row r="13" spans="2:17">
      <c r="B13" s="328" t="s">
        <v>197</v>
      </c>
      <c r="C13" s="334"/>
      <c r="D13" s="335"/>
      <c r="E13" s="336"/>
      <c r="F13" s="335"/>
      <c r="G13" s="335"/>
      <c r="H13" s="334"/>
      <c r="I13" s="335"/>
      <c r="J13" s="336"/>
      <c r="K13" s="337"/>
      <c r="L13" s="337"/>
      <c r="M13" s="334"/>
      <c r="N13" s="335"/>
      <c r="O13" s="336"/>
      <c r="P13" s="337"/>
      <c r="Q13" s="338"/>
    </row>
    <row r="14" spans="2:17">
      <c r="B14" s="328" t="s">
        <v>198</v>
      </c>
      <c r="C14" s="334"/>
      <c r="D14" s="335"/>
      <c r="E14" s="336"/>
      <c r="F14" s="335"/>
      <c r="G14" s="335"/>
      <c r="H14" s="334"/>
      <c r="I14" s="335"/>
      <c r="J14" s="336"/>
      <c r="K14" s="337"/>
      <c r="L14" s="337"/>
      <c r="M14" s="334"/>
      <c r="N14" s="335"/>
      <c r="O14" s="336"/>
      <c r="P14" s="337"/>
      <c r="Q14" s="338"/>
    </row>
    <row r="15" spans="2:17">
      <c r="B15" s="339" t="s">
        <v>199</v>
      </c>
      <c r="C15" s="340">
        <v>-18656.257549999998</v>
      </c>
      <c r="D15" s="341">
        <v>-28969.61537</v>
      </c>
      <c r="E15" s="342">
        <v>-30621.339889999999</v>
      </c>
      <c r="F15" s="341">
        <v>10313.357819999999</v>
      </c>
      <c r="G15" s="341">
        <v>11965.082340000001</v>
      </c>
      <c r="H15" s="340">
        <v>-18656.257549999998</v>
      </c>
      <c r="I15" s="341">
        <v>-28969.61537</v>
      </c>
      <c r="J15" s="342">
        <v>-30621.339889999999</v>
      </c>
      <c r="K15" s="343">
        <v>10313.357819999999</v>
      </c>
      <c r="L15" s="343">
        <v>11965.082340000001</v>
      </c>
      <c r="M15" s="340">
        <v>-18656.257549999998</v>
      </c>
      <c r="N15" s="341">
        <v>-28969.61537</v>
      </c>
      <c r="O15" s="342">
        <v>-30621.339889999999</v>
      </c>
      <c r="P15" s="343">
        <v>10313.357819999999</v>
      </c>
      <c r="Q15" s="344">
        <v>11965.082340000001</v>
      </c>
    </row>
    <row r="16" spans="2:17">
      <c r="B16" s="345" t="s">
        <v>200</v>
      </c>
      <c r="C16" s="334">
        <f t="shared" ref="C16:Q16" si="0">SUM(C10:C15)</f>
        <v>305209.11148000002</v>
      </c>
      <c r="D16" s="335">
        <f t="shared" si="0"/>
        <v>320974.06332999998</v>
      </c>
      <c r="E16" s="336">
        <f t="shared" si="0"/>
        <v>302147.42154999997</v>
      </c>
      <c r="F16" s="335">
        <f t="shared" si="0"/>
        <v>-15764.951849999989</v>
      </c>
      <c r="G16" s="335">
        <f t="shared" si="0"/>
        <v>3061.689930000015</v>
      </c>
      <c r="H16" s="334">
        <f t="shared" si="0"/>
        <v>305209.11148000002</v>
      </c>
      <c r="I16" s="335">
        <f t="shared" si="0"/>
        <v>320974.06332999998</v>
      </c>
      <c r="J16" s="336">
        <f t="shared" si="0"/>
        <v>302147.42154999997</v>
      </c>
      <c r="K16" s="337">
        <f t="shared" si="0"/>
        <v>-15764.951849999989</v>
      </c>
      <c r="L16" s="337">
        <f t="shared" si="0"/>
        <v>3061.689930000015</v>
      </c>
      <c r="M16" s="334">
        <f t="shared" si="0"/>
        <v>305209.11148000002</v>
      </c>
      <c r="N16" s="335">
        <f t="shared" si="0"/>
        <v>320974.06332999998</v>
      </c>
      <c r="O16" s="336">
        <f t="shared" si="0"/>
        <v>302147.42154999997</v>
      </c>
      <c r="P16" s="337">
        <f t="shared" si="0"/>
        <v>-15764.951849999989</v>
      </c>
      <c r="Q16" s="338">
        <f t="shared" si="0"/>
        <v>3061.689930000015</v>
      </c>
    </row>
    <row r="17" spans="2:17">
      <c r="B17" s="339" t="s">
        <v>201</v>
      </c>
      <c r="C17" s="334">
        <v>4024.47138</v>
      </c>
      <c r="D17" s="335">
        <v>3785.5254</v>
      </c>
      <c r="E17" s="336">
        <v>4661.7297699999999</v>
      </c>
      <c r="F17" s="335">
        <v>238.94597999999999</v>
      </c>
      <c r="G17" s="335">
        <v>-637.25838999999996</v>
      </c>
      <c r="H17" s="334">
        <v>4024.47138</v>
      </c>
      <c r="I17" s="335">
        <v>3785.5254</v>
      </c>
      <c r="J17" s="336">
        <v>4661.7297699999999</v>
      </c>
      <c r="K17" s="337">
        <v>238.94597999999999</v>
      </c>
      <c r="L17" s="337">
        <v>-637.25838999999996</v>
      </c>
      <c r="M17" s="334">
        <v>4024.47138</v>
      </c>
      <c r="N17" s="335">
        <v>3785.5254</v>
      </c>
      <c r="O17" s="336">
        <v>4661.7297699999999</v>
      </c>
      <c r="P17" s="337">
        <v>238.94597999999999</v>
      </c>
      <c r="Q17" s="338">
        <v>-637.25838999999996</v>
      </c>
    </row>
    <row r="18" spans="2:17">
      <c r="B18" s="339" t="s">
        <v>202</v>
      </c>
      <c r="C18" s="334">
        <v>715.33600000000001</v>
      </c>
      <c r="D18" s="335">
        <v>970.68640000000005</v>
      </c>
      <c r="E18" s="336">
        <v>-540.86400000000003</v>
      </c>
      <c r="F18" s="335">
        <v>-255.35040000000001</v>
      </c>
      <c r="G18" s="335">
        <v>1256.2</v>
      </c>
      <c r="H18" s="334">
        <v>715.33600000000001</v>
      </c>
      <c r="I18" s="335">
        <v>970.68640000000005</v>
      </c>
      <c r="J18" s="336">
        <v>-540.86400000000003</v>
      </c>
      <c r="K18" s="337">
        <v>-255.35040000000001</v>
      </c>
      <c r="L18" s="337">
        <v>1256.2</v>
      </c>
      <c r="M18" s="334">
        <v>715.33600000000001</v>
      </c>
      <c r="N18" s="335">
        <v>970.68640000000005</v>
      </c>
      <c r="O18" s="336">
        <v>-540.86400000000003</v>
      </c>
      <c r="P18" s="337">
        <v>-255.35040000000001</v>
      </c>
      <c r="Q18" s="338">
        <v>1256.2</v>
      </c>
    </row>
    <row r="19" spans="2:17">
      <c r="B19" s="346" t="s">
        <v>203</v>
      </c>
      <c r="C19" s="340"/>
      <c r="D19" s="341"/>
      <c r="E19" s="342"/>
      <c r="F19" s="341"/>
      <c r="G19" s="341"/>
      <c r="H19" s="340"/>
      <c r="I19" s="341"/>
      <c r="J19" s="342"/>
      <c r="K19" s="343"/>
      <c r="L19" s="343"/>
      <c r="M19" s="340"/>
      <c r="N19" s="341"/>
      <c r="O19" s="342"/>
      <c r="P19" s="343"/>
      <c r="Q19" s="344"/>
    </row>
    <row r="20" spans="2:17">
      <c r="B20" s="345" t="s">
        <v>204</v>
      </c>
      <c r="C20" s="334">
        <v>4739.8073800000002</v>
      </c>
      <c r="D20" s="335">
        <v>4756.2118</v>
      </c>
      <c r="E20" s="336">
        <v>4120.8657700000003</v>
      </c>
      <c r="F20" s="335">
        <v>-16.404419999999998</v>
      </c>
      <c r="G20" s="335">
        <v>618.94160999999997</v>
      </c>
      <c r="H20" s="334">
        <v>4739.8073800000002</v>
      </c>
      <c r="I20" s="335">
        <v>4756.2118</v>
      </c>
      <c r="J20" s="336">
        <v>4120.8657700000003</v>
      </c>
      <c r="K20" s="337">
        <v>-16.404419999999998</v>
      </c>
      <c r="L20" s="337">
        <v>618.94160999999997</v>
      </c>
      <c r="M20" s="334">
        <v>4739.8073800000002</v>
      </c>
      <c r="N20" s="335">
        <v>4756.2118</v>
      </c>
      <c r="O20" s="336">
        <v>4120.8657700000003</v>
      </c>
      <c r="P20" s="337">
        <v>-16.404419999999998</v>
      </c>
      <c r="Q20" s="338">
        <v>618.94160999999997</v>
      </c>
    </row>
    <row r="21" spans="2:17">
      <c r="B21" s="347" t="s">
        <v>205</v>
      </c>
      <c r="C21" s="334">
        <v>3839.0728800000002</v>
      </c>
      <c r="D21" s="335">
        <v>3614.06034</v>
      </c>
      <c r="E21" s="336">
        <v>3944.7198600000002</v>
      </c>
      <c r="F21" s="335">
        <v>225.01254</v>
      </c>
      <c r="G21" s="335">
        <v>-105.64698</v>
      </c>
      <c r="H21" s="334">
        <v>3839.0728800000002</v>
      </c>
      <c r="I21" s="335">
        <v>3614.06034</v>
      </c>
      <c r="J21" s="336">
        <v>3944.7198600000002</v>
      </c>
      <c r="K21" s="337">
        <v>225.01254</v>
      </c>
      <c r="L21" s="337">
        <v>-105.64698</v>
      </c>
      <c r="M21" s="334">
        <v>3839.0728800000002</v>
      </c>
      <c r="N21" s="335">
        <v>3614.06034</v>
      </c>
      <c r="O21" s="336">
        <v>3944.7198600000002</v>
      </c>
      <c r="P21" s="337">
        <v>225.01254</v>
      </c>
      <c r="Q21" s="338">
        <v>-105.64698</v>
      </c>
    </row>
    <row r="22" spans="2:17">
      <c r="B22" s="347" t="s">
        <v>206</v>
      </c>
      <c r="C22" s="334">
        <v>3435.1590099999999</v>
      </c>
      <c r="D22" s="335">
        <v>4032.8014600000001</v>
      </c>
      <c r="E22" s="336">
        <v>3846.0957199999998</v>
      </c>
      <c r="F22" s="335">
        <v>-597.64245000000005</v>
      </c>
      <c r="G22" s="335">
        <v>-410.93671000000001</v>
      </c>
      <c r="H22" s="334">
        <v>3435.1590099999999</v>
      </c>
      <c r="I22" s="335">
        <v>4032.8014600000001</v>
      </c>
      <c r="J22" s="336">
        <v>3846.0957199999998</v>
      </c>
      <c r="K22" s="337">
        <v>-597.64245000000005</v>
      </c>
      <c r="L22" s="337">
        <v>-410.93671000000001</v>
      </c>
      <c r="M22" s="334">
        <v>3435.1590099999999</v>
      </c>
      <c r="N22" s="335">
        <v>4032.8014600000001</v>
      </c>
      <c r="O22" s="336">
        <v>3846.0957199999998</v>
      </c>
      <c r="P22" s="337">
        <v>-597.64245000000005</v>
      </c>
      <c r="Q22" s="338">
        <v>-410.93671000000001</v>
      </c>
    </row>
    <row r="23" spans="2:17">
      <c r="B23" s="347" t="s">
        <v>207</v>
      </c>
      <c r="C23" s="334"/>
      <c r="D23" s="335"/>
      <c r="E23" s="336">
        <v>9.6595999999999993</v>
      </c>
      <c r="F23" s="335"/>
      <c r="G23" s="335">
        <v>-9.6595999999999993</v>
      </c>
      <c r="H23" s="334"/>
      <c r="I23" s="335"/>
      <c r="J23" s="336">
        <v>9.6595999999999993</v>
      </c>
      <c r="K23" s="337"/>
      <c r="L23" s="337">
        <v>-9.6595999999999993</v>
      </c>
      <c r="M23" s="334"/>
      <c r="N23" s="335"/>
      <c r="O23" s="336">
        <v>9.6595999999999993</v>
      </c>
      <c r="P23" s="337"/>
      <c r="Q23" s="338">
        <v>-9.6595999999999993</v>
      </c>
    </row>
    <row r="24" spans="2:17">
      <c r="B24" s="347" t="s">
        <v>208</v>
      </c>
      <c r="C24" s="334">
        <v>2608.7281600000001</v>
      </c>
      <c r="D24" s="335">
        <v>2918.3402000000001</v>
      </c>
      <c r="E24" s="336">
        <v>2925.0245500000001</v>
      </c>
      <c r="F24" s="335">
        <v>-309.61203999999998</v>
      </c>
      <c r="G24" s="335">
        <v>-316.29638999999997</v>
      </c>
      <c r="H24" s="334">
        <v>2608.7281600000001</v>
      </c>
      <c r="I24" s="335">
        <v>2918.3402000000001</v>
      </c>
      <c r="J24" s="336">
        <v>2925.0245500000001</v>
      </c>
      <c r="K24" s="337">
        <v>-309.61203999999998</v>
      </c>
      <c r="L24" s="337">
        <v>-316.29638999999997</v>
      </c>
      <c r="M24" s="334">
        <v>2608.7281600000001</v>
      </c>
      <c r="N24" s="335">
        <v>2918.3402000000001</v>
      </c>
      <c r="O24" s="336">
        <v>2925.0245500000001</v>
      </c>
      <c r="P24" s="337">
        <v>-309.61203999999998</v>
      </c>
      <c r="Q24" s="338">
        <v>-316.29638999999997</v>
      </c>
    </row>
    <row r="25" spans="2:17">
      <c r="B25" s="339" t="s">
        <v>209</v>
      </c>
      <c r="C25" s="334">
        <v>2648.5789500000001</v>
      </c>
      <c r="D25" s="335">
        <v>2598.5659700000001</v>
      </c>
      <c r="E25" s="336">
        <v>2265.7471399999999</v>
      </c>
      <c r="F25" s="335">
        <v>50.012979999999999</v>
      </c>
      <c r="G25" s="335">
        <v>382.83181000000002</v>
      </c>
      <c r="H25" s="334">
        <v>2648.5789500000001</v>
      </c>
      <c r="I25" s="335">
        <v>2598.5659700000001</v>
      </c>
      <c r="J25" s="336">
        <v>2265.7471399999999</v>
      </c>
      <c r="K25" s="337">
        <v>50.012979999999999</v>
      </c>
      <c r="L25" s="337">
        <v>382.83181000000002</v>
      </c>
      <c r="M25" s="334">
        <v>2648.5789500000001</v>
      </c>
      <c r="N25" s="335">
        <v>2598.5659700000001</v>
      </c>
      <c r="O25" s="336">
        <v>2265.7471399999999</v>
      </c>
      <c r="P25" s="337">
        <v>50.012979999999999</v>
      </c>
      <c r="Q25" s="338">
        <v>382.83181000000002</v>
      </c>
    </row>
    <row r="26" spans="2:17">
      <c r="B26" s="346" t="s">
        <v>210</v>
      </c>
      <c r="C26" s="334"/>
      <c r="D26" s="348"/>
      <c r="E26" s="336"/>
      <c r="F26" s="348"/>
      <c r="G26" s="348"/>
      <c r="H26" s="334"/>
      <c r="I26" s="348"/>
      <c r="J26" s="336"/>
      <c r="K26" s="349"/>
      <c r="L26" s="349"/>
      <c r="M26" s="334"/>
      <c r="N26" s="348"/>
      <c r="O26" s="336"/>
      <c r="P26" s="349"/>
      <c r="Q26" s="338"/>
    </row>
    <row r="27" spans="2:17">
      <c r="B27" s="339" t="s">
        <v>211</v>
      </c>
      <c r="C27" s="334">
        <v>414.12520000000001</v>
      </c>
      <c r="D27" s="335">
        <v>1288.684</v>
      </c>
      <c r="E27" s="336">
        <v>835.65304000000003</v>
      </c>
      <c r="F27" s="335">
        <v>-874.55880000000002</v>
      </c>
      <c r="G27" s="335">
        <v>-421.52784000000003</v>
      </c>
      <c r="H27" s="334">
        <v>414.12520000000001</v>
      </c>
      <c r="I27" s="335">
        <v>1288.684</v>
      </c>
      <c r="J27" s="336">
        <v>835.65304000000003</v>
      </c>
      <c r="K27" s="337">
        <v>-874.55880000000002</v>
      </c>
      <c r="L27" s="337">
        <v>-421.52784000000003</v>
      </c>
      <c r="M27" s="334">
        <v>414.12520000000001</v>
      </c>
      <c r="N27" s="335">
        <v>1288.684</v>
      </c>
      <c r="O27" s="336">
        <v>835.65304000000003</v>
      </c>
      <c r="P27" s="337">
        <v>-874.55880000000002</v>
      </c>
      <c r="Q27" s="338">
        <v>-421.52784000000003</v>
      </c>
    </row>
    <row r="28" spans="2:17">
      <c r="B28" s="339" t="s">
        <v>212</v>
      </c>
      <c r="C28" s="334"/>
      <c r="D28" s="335"/>
      <c r="E28" s="336"/>
      <c r="F28" s="335"/>
      <c r="G28" s="335"/>
      <c r="H28" s="334"/>
      <c r="I28" s="335"/>
      <c r="J28" s="336"/>
      <c r="K28" s="337"/>
      <c r="L28" s="337"/>
      <c r="M28" s="334"/>
      <c r="N28" s="335"/>
      <c r="O28" s="336"/>
      <c r="P28" s="337"/>
      <c r="Q28" s="338"/>
    </row>
    <row r="29" spans="2:17">
      <c r="B29" s="339" t="s">
        <v>213</v>
      </c>
      <c r="C29" s="334">
        <f>574.13966-73.80153</f>
        <v>500.33813000000004</v>
      </c>
      <c r="D29" s="335">
        <v>220.17285000000001</v>
      </c>
      <c r="E29" s="336">
        <v>348.37961000000001</v>
      </c>
      <c r="F29" s="335">
        <f>C29-D29</f>
        <v>280.16528000000005</v>
      </c>
      <c r="G29" s="335">
        <f>C29-E29</f>
        <v>151.95852000000002</v>
      </c>
      <c r="H29" s="334">
        <f>574.13966-73.80153</f>
        <v>500.33813000000004</v>
      </c>
      <c r="I29" s="335">
        <v>220.17285000000001</v>
      </c>
      <c r="J29" s="336">
        <v>348.37961000000001</v>
      </c>
      <c r="K29" s="337">
        <f>H29-I29</f>
        <v>280.16528000000005</v>
      </c>
      <c r="L29" s="337">
        <f>H29-J29</f>
        <v>151.95852000000002</v>
      </c>
      <c r="M29" s="334">
        <f>574.13966-73.80153</f>
        <v>500.33813000000004</v>
      </c>
      <c r="N29" s="335">
        <v>220.17285000000001</v>
      </c>
      <c r="O29" s="336">
        <v>348.37961000000001</v>
      </c>
      <c r="P29" s="337">
        <f>M29-N29</f>
        <v>280.16528000000005</v>
      </c>
      <c r="Q29" s="338">
        <f>M29-O29</f>
        <v>151.95852000000002</v>
      </c>
    </row>
    <row r="30" spans="2:17">
      <c r="B30" s="339" t="s">
        <v>214</v>
      </c>
      <c r="C30" s="334"/>
      <c r="D30" s="335"/>
      <c r="E30" s="336"/>
      <c r="F30" s="335"/>
      <c r="G30" s="335"/>
      <c r="H30" s="334"/>
      <c r="I30" s="335"/>
      <c r="J30" s="336"/>
      <c r="K30" s="337"/>
      <c r="L30" s="337"/>
      <c r="M30" s="334"/>
      <c r="N30" s="335"/>
      <c r="O30" s="336"/>
      <c r="P30" s="337"/>
      <c r="Q30" s="338"/>
    </row>
    <row r="31" spans="2:17" ht="20.25" customHeight="1">
      <c r="B31" s="350" t="s">
        <v>215</v>
      </c>
      <c r="C31" s="351">
        <f t="shared" ref="C31:Q31" si="1">SUM(C21:C30)</f>
        <v>13446.002330000001</v>
      </c>
      <c r="D31" s="352">
        <f t="shared" si="1"/>
        <v>14672.624820000001</v>
      </c>
      <c r="E31" s="353">
        <f t="shared" si="1"/>
        <v>14175.279519999998</v>
      </c>
      <c r="F31" s="352">
        <f t="shared" si="1"/>
        <v>-1226.6224900000002</v>
      </c>
      <c r="G31" s="352">
        <f t="shared" si="1"/>
        <v>-729.27718999999991</v>
      </c>
      <c r="H31" s="351">
        <f t="shared" si="1"/>
        <v>13446.002330000001</v>
      </c>
      <c r="I31" s="352">
        <f t="shared" si="1"/>
        <v>14672.624820000001</v>
      </c>
      <c r="J31" s="353">
        <f t="shared" si="1"/>
        <v>14175.279519999998</v>
      </c>
      <c r="K31" s="354">
        <f t="shared" si="1"/>
        <v>-1226.6224900000002</v>
      </c>
      <c r="L31" s="354">
        <f t="shared" si="1"/>
        <v>-729.27718999999991</v>
      </c>
      <c r="M31" s="351">
        <f t="shared" si="1"/>
        <v>13446.002330000001</v>
      </c>
      <c r="N31" s="352">
        <f t="shared" si="1"/>
        <v>14672.624820000001</v>
      </c>
      <c r="O31" s="353">
        <f t="shared" si="1"/>
        <v>14175.279519999998</v>
      </c>
      <c r="P31" s="354">
        <f t="shared" si="1"/>
        <v>-1226.6224900000002</v>
      </c>
      <c r="Q31" s="355">
        <f t="shared" si="1"/>
        <v>-729.27718999999991</v>
      </c>
    </row>
    <row r="32" spans="2:17" ht="13.8">
      <c r="B32" s="350" t="s">
        <v>216</v>
      </c>
      <c r="C32" s="334">
        <f t="shared" ref="C32:Q32" si="2">C16+C20+C31</f>
        <v>323394.92119000002</v>
      </c>
      <c r="D32" s="335">
        <f t="shared" si="2"/>
        <v>340402.89994999999</v>
      </c>
      <c r="E32" s="336">
        <f t="shared" si="2"/>
        <v>320443.56683999993</v>
      </c>
      <c r="F32" s="335">
        <f t="shared" si="2"/>
        <v>-17007.978759999991</v>
      </c>
      <c r="G32" s="335">
        <f t="shared" si="2"/>
        <v>2951.3543500000151</v>
      </c>
      <c r="H32" s="334">
        <f t="shared" si="2"/>
        <v>323394.92119000002</v>
      </c>
      <c r="I32" s="335">
        <f t="shared" si="2"/>
        <v>340402.89994999999</v>
      </c>
      <c r="J32" s="336">
        <f t="shared" si="2"/>
        <v>320443.56683999993</v>
      </c>
      <c r="K32" s="337">
        <f t="shared" si="2"/>
        <v>-17007.978759999991</v>
      </c>
      <c r="L32" s="337">
        <f t="shared" si="2"/>
        <v>2951.3543500000151</v>
      </c>
      <c r="M32" s="334">
        <f t="shared" si="2"/>
        <v>323394.92119000002</v>
      </c>
      <c r="N32" s="335">
        <f t="shared" si="2"/>
        <v>340402.89994999999</v>
      </c>
      <c r="O32" s="336">
        <f t="shared" si="2"/>
        <v>320443.56683999993</v>
      </c>
      <c r="P32" s="337">
        <f t="shared" si="2"/>
        <v>-17007.978759999991</v>
      </c>
      <c r="Q32" s="338">
        <f t="shared" si="2"/>
        <v>2951.3543500000151</v>
      </c>
    </row>
    <row r="33" spans="2:17">
      <c r="B33" s="346" t="s">
        <v>217</v>
      </c>
      <c r="C33" s="334">
        <v>290758.63786000002</v>
      </c>
      <c r="D33" s="335">
        <v>315374.69654999999</v>
      </c>
      <c r="E33" s="336">
        <v>349908.48822</v>
      </c>
      <c r="F33" s="335">
        <v>-24616.058690000002</v>
      </c>
      <c r="G33" s="335">
        <v>-59149.850359999997</v>
      </c>
      <c r="H33" s="334">
        <v>290758.63786000002</v>
      </c>
      <c r="I33" s="335">
        <v>315374.69654999999</v>
      </c>
      <c r="J33" s="336">
        <v>349908.48822</v>
      </c>
      <c r="K33" s="337">
        <v>-24616.058690000002</v>
      </c>
      <c r="L33" s="337">
        <v>-59149.850359999997</v>
      </c>
      <c r="M33" s="334">
        <v>290758.63786000002</v>
      </c>
      <c r="N33" s="335">
        <v>315374.69654999999</v>
      </c>
      <c r="O33" s="336">
        <v>349908.48822</v>
      </c>
      <c r="P33" s="337">
        <v>-24616.058690000002</v>
      </c>
      <c r="Q33" s="338">
        <v>-59149.850359999997</v>
      </c>
    </row>
    <row r="34" spans="2:17">
      <c r="B34" s="346" t="s">
        <v>218</v>
      </c>
      <c r="C34" s="334"/>
      <c r="D34" s="335"/>
      <c r="E34" s="336"/>
      <c r="F34" s="335"/>
      <c r="G34" s="335"/>
      <c r="H34" s="334"/>
      <c r="I34" s="335"/>
      <c r="J34" s="336"/>
      <c r="K34" s="337"/>
      <c r="L34" s="337"/>
      <c r="M34" s="334"/>
      <c r="N34" s="335"/>
      <c r="O34" s="336"/>
      <c r="P34" s="337"/>
      <c r="Q34" s="338"/>
    </row>
    <row r="35" spans="2:17">
      <c r="B35" s="339" t="s">
        <v>219</v>
      </c>
      <c r="C35" s="334">
        <v>1942.4513899999999</v>
      </c>
      <c r="D35" s="335">
        <v>4579.8975799999998</v>
      </c>
      <c r="E35" s="336">
        <v>5335.9160899999997</v>
      </c>
      <c r="F35" s="335">
        <v>-2637.4461900000001</v>
      </c>
      <c r="G35" s="335">
        <v>-3393.4647</v>
      </c>
      <c r="H35" s="334">
        <v>1942.4513899999999</v>
      </c>
      <c r="I35" s="335">
        <v>4579.8975799999998</v>
      </c>
      <c r="J35" s="336">
        <v>5335.9160899999997</v>
      </c>
      <c r="K35" s="337">
        <v>-2637.4461900000001</v>
      </c>
      <c r="L35" s="337">
        <v>-3393.4647</v>
      </c>
      <c r="M35" s="334">
        <v>1942.4513899999999</v>
      </c>
      <c r="N35" s="335">
        <v>4579.8975799999998</v>
      </c>
      <c r="O35" s="336">
        <v>5335.9160899999997</v>
      </c>
      <c r="P35" s="337">
        <v>-2637.4461900000001</v>
      </c>
      <c r="Q35" s="338">
        <v>-3393.4647</v>
      </c>
    </row>
    <row r="36" spans="2:17">
      <c r="B36" s="339" t="s">
        <v>220</v>
      </c>
      <c r="C36" s="334"/>
      <c r="D36" s="335">
        <v>0</v>
      </c>
      <c r="E36" s="336"/>
      <c r="F36" s="335">
        <v>0</v>
      </c>
      <c r="G36" s="335"/>
      <c r="H36" s="334"/>
      <c r="I36" s="335">
        <v>0</v>
      </c>
      <c r="J36" s="336"/>
      <c r="K36" s="337">
        <v>0</v>
      </c>
      <c r="L36" s="337"/>
      <c r="M36" s="334"/>
      <c r="N36" s="335">
        <v>0</v>
      </c>
      <c r="O36" s="336"/>
      <c r="P36" s="337">
        <v>0</v>
      </c>
      <c r="Q36" s="338"/>
    </row>
    <row r="37" spans="2:17">
      <c r="B37" s="347" t="s">
        <v>221</v>
      </c>
      <c r="C37" s="340">
        <v>-73.151619999999994</v>
      </c>
      <c r="D37" s="341"/>
      <c r="E37" s="342">
        <v>774.13412000000005</v>
      </c>
      <c r="F37" s="341">
        <v>-73.151619999999994</v>
      </c>
      <c r="G37" s="341">
        <v>-847.28574000000003</v>
      </c>
      <c r="H37" s="340">
        <v>-73.151619999999994</v>
      </c>
      <c r="I37" s="341"/>
      <c r="J37" s="342">
        <v>774.13412000000005</v>
      </c>
      <c r="K37" s="343">
        <v>-73.151619999999994</v>
      </c>
      <c r="L37" s="343">
        <v>-847.28574000000003</v>
      </c>
      <c r="M37" s="340">
        <v>-73.151619999999994</v>
      </c>
      <c r="N37" s="341"/>
      <c r="O37" s="342">
        <v>774.13412000000005</v>
      </c>
      <c r="P37" s="343">
        <v>-73.151619999999994</v>
      </c>
      <c r="Q37" s="344">
        <v>-847.28574000000003</v>
      </c>
    </row>
    <row r="38" spans="2:17" ht="20.25" customHeight="1">
      <c r="B38" s="356" t="s">
        <v>222</v>
      </c>
      <c r="C38" s="334">
        <v>292627.93763</v>
      </c>
      <c r="D38" s="335">
        <v>319954.59412999998</v>
      </c>
      <c r="E38" s="336">
        <v>356018.53843000002</v>
      </c>
      <c r="F38" s="335">
        <v>-27326.656500000001</v>
      </c>
      <c r="G38" s="335">
        <v>-63390.6008</v>
      </c>
      <c r="H38" s="334">
        <v>292627.93763</v>
      </c>
      <c r="I38" s="335">
        <v>319954.59412999998</v>
      </c>
      <c r="J38" s="336">
        <v>356018.53843000002</v>
      </c>
      <c r="K38" s="337">
        <v>-27326.656500000001</v>
      </c>
      <c r="L38" s="337">
        <v>-63390.6008</v>
      </c>
      <c r="M38" s="334">
        <v>292627.93763</v>
      </c>
      <c r="N38" s="335">
        <v>319954.59412999998</v>
      </c>
      <c r="O38" s="336">
        <v>356018.53843000002</v>
      </c>
      <c r="P38" s="337">
        <v>-27326.656500000001</v>
      </c>
      <c r="Q38" s="338">
        <v>-63390.6008</v>
      </c>
    </row>
    <row r="39" spans="2:17">
      <c r="B39" s="339" t="s">
        <v>223</v>
      </c>
      <c r="C39" s="334">
        <v>65851.916490000003</v>
      </c>
      <c r="D39" s="335">
        <v>58562.043870000001</v>
      </c>
      <c r="E39" s="336">
        <v>48208.90539</v>
      </c>
      <c r="F39" s="335">
        <v>7289.8726200000001</v>
      </c>
      <c r="G39" s="335">
        <v>17643.0111</v>
      </c>
      <c r="H39" s="334">
        <v>65851.916490000003</v>
      </c>
      <c r="I39" s="335">
        <v>58562.043870000001</v>
      </c>
      <c r="J39" s="336">
        <v>48208.90539</v>
      </c>
      <c r="K39" s="337">
        <v>7289.8726200000001</v>
      </c>
      <c r="L39" s="337">
        <v>17643.0111</v>
      </c>
      <c r="M39" s="334">
        <v>65851.916490000003</v>
      </c>
      <c r="N39" s="335">
        <v>58562.043870000001</v>
      </c>
      <c r="O39" s="336">
        <v>48208.90539</v>
      </c>
      <c r="P39" s="337">
        <v>7289.8726200000001</v>
      </c>
      <c r="Q39" s="338">
        <v>17643.0111</v>
      </c>
    </row>
    <row r="40" spans="2:17">
      <c r="B40" s="339" t="s">
        <v>224</v>
      </c>
      <c r="C40" s="334">
        <v>-12492.059359999999</v>
      </c>
      <c r="D40" s="335"/>
      <c r="E40" s="336"/>
      <c r="F40" s="335">
        <v>-12492.059359999999</v>
      </c>
      <c r="G40" s="335">
        <v>-12492.059359999999</v>
      </c>
      <c r="H40" s="334">
        <v>-12492.059359999999</v>
      </c>
      <c r="I40" s="335"/>
      <c r="J40" s="336"/>
      <c r="K40" s="337">
        <v>-12492.059359999999</v>
      </c>
      <c r="L40" s="337">
        <v>-12492.059359999999</v>
      </c>
      <c r="M40" s="334">
        <v>-12492.059359999999</v>
      </c>
      <c r="N40" s="335"/>
      <c r="O40" s="336"/>
      <c r="P40" s="337">
        <v>-12492.059359999999</v>
      </c>
      <c r="Q40" s="338">
        <v>-12492.059359999999</v>
      </c>
    </row>
    <row r="41" spans="2:17">
      <c r="B41" s="339" t="s">
        <v>225</v>
      </c>
      <c r="C41" s="334">
        <v>183.41627</v>
      </c>
      <c r="D41" s="335">
        <v>355.24689999999998</v>
      </c>
      <c r="E41" s="336">
        <v>423.82141999999999</v>
      </c>
      <c r="F41" s="335">
        <v>-171.83063000000001</v>
      </c>
      <c r="G41" s="335">
        <v>-240.40514999999999</v>
      </c>
      <c r="H41" s="334">
        <v>183.41627</v>
      </c>
      <c r="I41" s="335">
        <v>355.24689999999998</v>
      </c>
      <c r="J41" s="336">
        <v>423.82141999999999</v>
      </c>
      <c r="K41" s="337">
        <v>-171.83063000000001</v>
      </c>
      <c r="L41" s="337">
        <v>-240.40514999999999</v>
      </c>
      <c r="M41" s="334">
        <v>183.41627</v>
      </c>
      <c r="N41" s="335">
        <v>355.24689999999998</v>
      </c>
      <c r="O41" s="336">
        <v>423.82141999999999</v>
      </c>
      <c r="P41" s="337">
        <v>-171.83063000000001</v>
      </c>
      <c r="Q41" s="338">
        <v>-240.40514999999999</v>
      </c>
    </row>
    <row r="42" spans="2:17">
      <c r="B42" s="347" t="s">
        <v>226</v>
      </c>
      <c r="C42" s="340"/>
      <c r="D42" s="341"/>
      <c r="E42" s="342"/>
      <c r="F42" s="341"/>
      <c r="G42" s="341"/>
      <c r="H42" s="340"/>
      <c r="I42" s="341"/>
      <c r="J42" s="342"/>
      <c r="K42" s="343"/>
      <c r="L42" s="343"/>
      <c r="M42" s="340"/>
      <c r="N42" s="341"/>
      <c r="O42" s="342"/>
      <c r="P42" s="343"/>
      <c r="Q42" s="344"/>
    </row>
    <row r="43" spans="2:17" ht="20.25" customHeight="1">
      <c r="B43" s="356" t="s">
        <v>227</v>
      </c>
      <c r="C43" s="334">
        <v>53543.273399999998</v>
      </c>
      <c r="D43" s="335">
        <v>58917.29077</v>
      </c>
      <c r="E43" s="336">
        <v>48632.72681</v>
      </c>
      <c r="F43" s="335">
        <v>-5374.0173699999996</v>
      </c>
      <c r="G43" s="335">
        <v>4910.5465899999999</v>
      </c>
      <c r="H43" s="334">
        <v>53543.273399999998</v>
      </c>
      <c r="I43" s="335">
        <v>58917.29077</v>
      </c>
      <c r="J43" s="336">
        <v>48632.72681</v>
      </c>
      <c r="K43" s="337">
        <v>-5374.0173699999996</v>
      </c>
      <c r="L43" s="337">
        <v>4910.5465899999999</v>
      </c>
      <c r="M43" s="334">
        <v>53543.273399999998</v>
      </c>
      <c r="N43" s="335">
        <v>58917.29077</v>
      </c>
      <c r="O43" s="336">
        <v>48632.72681</v>
      </c>
      <c r="P43" s="337">
        <v>-5374.0173699999996</v>
      </c>
      <c r="Q43" s="338">
        <v>4910.5465899999999</v>
      </c>
    </row>
    <row r="44" spans="2:17">
      <c r="B44" s="339" t="s">
        <v>228</v>
      </c>
      <c r="C44" s="334">
        <v>15449.00303</v>
      </c>
      <c r="D44" s="335">
        <v>15244.83324</v>
      </c>
      <c r="E44" s="336">
        <v>9902.6544900000008</v>
      </c>
      <c r="F44" s="335">
        <v>204.16979000000001</v>
      </c>
      <c r="G44" s="335">
        <v>5546.34854</v>
      </c>
      <c r="H44" s="334">
        <v>15449.00303</v>
      </c>
      <c r="I44" s="335">
        <v>15244.83324</v>
      </c>
      <c r="J44" s="336">
        <v>9902.6544900000008</v>
      </c>
      <c r="K44" s="337">
        <v>204.16979000000001</v>
      </c>
      <c r="L44" s="337">
        <v>5546.34854</v>
      </c>
      <c r="M44" s="334">
        <v>15449.00303</v>
      </c>
      <c r="N44" s="335">
        <v>15244.83324</v>
      </c>
      <c r="O44" s="336">
        <v>9902.6544900000008</v>
      </c>
      <c r="P44" s="337">
        <v>204.16979000000001</v>
      </c>
      <c r="Q44" s="338">
        <v>5546.34854</v>
      </c>
    </row>
    <row r="45" spans="2:17">
      <c r="B45" s="347" t="s">
        <v>229</v>
      </c>
      <c r="C45" s="340"/>
      <c r="D45" s="341">
        <v>0</v>
      </c>
      <c r="E45" s="342"/>
      <c r="F45" s="341">
        <v>0</v>
      </c>
      <c r="G45" s="341"/>
      <c r="H45" s="340"/>
      <c r="I45" s="341">
        <v>0</v>
      </c>
      <c r="J45" s="342"/>
      <c r="K45" s="343">
        <v>0</v>
      </c>
      <c r="L45" s="343"/>
      <c r="M45" s="340"/>
      <c r="N45" s="341">
        <v>0</v>
      </c>
      <c r="O45" s="342"/>
      <c r="P45" s="343">
        <v>0</v>
      </c>
      <c r="Q45" s="344"/>
    </row>
    <row r="46" spans="2:17" ht="20.25" customHeight="1">
      <c r="B46" s="356" t="s">
        <v>230</v>
      </c>
      <c r="C46" s="334">
        <v>15449.00303</v>
      </c>
      <c r="D46" s="335">
        <v>15244.83324</v>
      </c>
      <c r="E46" s="336">
        <v>9902.6544900000008</v>
      </c>
      <c r="F46" s="335">
        <v>204.16979000000001</v>
      </c>
      <c r="G46" s="335">
        <v>5546.34854</v>
      </c>
      <c r="H46" s="334">
        <v>15449.00303</v>
      </c>
      <c r="I46" s="335">
        <v>15244.83324</v>
      </c>
      <c r="J46" s="336">
        <v>9902.6544900000008</v>
      </c>
      <c r="K46" s="337">
        <v>204.16979000000001</v>
      </c>
      <c r="L46" s="337">
        <v>5546.34854</v>
      </c>
      <c r="M46" s="334">
        <v>15449.00303</v>
      </c>
      <c r="N46" s="335">
        <v>15244.83324</v>
      </c>
      <c r="O46" s="336">
        <v>9902.6544900000008</v>
      </c>
      <c r="P46" s="337">
        <v>204.16979000000001</v>
      </c>
      <c r="Q46" s="338">
        <v>5546.34854</v>
      </c>
    </row>
    <row r="47" spans="2:17">
      <c r="B47" s="339" t="s">
        <v>231</v>
      </c>
      <c r="C47" s="334">
        <v>13231.98662</v>
      </c>
      <c r="D47" s="335">
        <v>14286.016030000001</v>
      </c>
      <c r="E47" s="336">
        <v>13784.957899999999</v>
      </c>
      <c r="F47" s="335">
        <v>-1054.0294100000001</v>
      </c>
      <c r="G47" s="335">
        <v>-552.97127999999998</v>
      </c>
      <c r="H47" s="334">
        <v>13231.98662</v>
      </c>
      <c r="I47" s="335">
        <v>14286.016030000001</v>
      </c>
      <c r="J47" s="336">
        <v>13784.957899999999</v>
      </c>
      <c r="K47" s="337">
        <v>-1054.0294100000001</v>
      </c>
      <c r="L47" s="337">
        <v>-552.97127999999998</v>
      </c>
      <c r="M47" s="334">
        <v>13231.98662</v>
      </c>
      <c r="N47" s="335">
        <v>14286.016030000001</v>
      </c>
      <c r="O47" s="336">
        <v>13784.957899999999</v>
      </c>
      <c r="P47" s="337">
        <v>-1054.0294100000001</v>
      </c>
      <c r="Q47" s="338">
        <v>-552.97127999999998</v>
      </c>
    </row>
    <row r="48" spans="2:17">
      <c r="B48" s="347" t="s">
        <v>232</v>
      </c>
      <c r="C48" s="340">
        <v>1645.40446</v>
      </c>
      <c r="D48" s="341">
        <v>636.30242999999996</v>
      </c>
      <c r="E48" s="342">
        <v>-97.292720000000003</v>
      </c>
      <c r="F48" s="341">
        <v>1009.10203</v>
      </c>
      <c r="G48" s="341">
        <v>1742.6971799999999</v>
      </c>
      <c r="H48" s="340">
        <v>1645.40446</v>
      </c>
      <c r="I48" s="341">
        <v>636.30242999999996</v>
      </c>
      <c r="J48" s="342">
        <v>-97.292720000000003</v>
      </c>
      <c r="K48" s="343">
        <v>1009.10203</v>
      </c>
      <c r="L48" s="343">
        <v>1742.6971799999999</v>
      </c>
      <c r="M48" s="340">
        <v>1645.40446</v>
      </c>
      <c r="N48" s="341">
        <v>636.30242999999996</v>
      </c>
      <c r="O48" s="342">
        <v>-97.292720000000003</v>
      </c>
      <c r="P48" s="343">
        <v>1009.10203</v>
      </c>
      <c r="Q48" s="344">
        <v>1742.6971799999999</v>
      </c>
    </row>
    <row r="49" spans="2:17" ht="20.25" customHeight="1">
      <c r="B49" s="356" t="s">
        <v>233</v>
      </c>
      <c r="C49" s="334">
        <v>14877.391079999999</v>
      </c>
      <c r="D49" s="335">
        <v>14922.31846</v>
      </c>
      <c r="E49" s="336">
        <v>13687.66518</v>
      </c>
      <c r="F49" s="335">
        <v>-44.927379999999999</v>
      </c>
      <c r="G49" s="335">
        <v>1189.7258999999999</v>
      </c>
      <c r="H49" s="334">
        <v>14877.391079999999</v>
      </c>
      <c r="I49" s="335">
        <v>14922.31846</v>
      </c>
      <c r="J49" s="336">
        <v>13687.66518</v>
      </c>
      <c r="K49" s="337">
        <v>-44.927379999999999</v>
      </c>
      <c r="L49" s="337">
        <v>1189.7258999999999</v>
      </c>
      <c r="M49" s="334">
        <v>14877.391079999999</v>
      </c>
      <c r="N49" s="335">
        <v>14922.31846</v>
      </c>
      <c r="O49" s="336">
        <v>13687.66518</v>
      </c>
      <c r="P49" s="337">
        <v>-44.927379999999999</v>
      </c>
      <c r="Q49" s="338">
        <v>1189.7258999999999</v>
      </c>
    </row>
    <row r="50" spans="2:17" ht="13.8">
      <c r="B50" s="357" t="s">
        <v>234</v>
      </c>
      <c r="C50" s="334">
        <v>7162.7597299999998</v>
      </c>
      <c r="D50" s="335">
        <v>7805.6437500000002</v>
      </c>
      <c r="E50" s="336">
        <v>8289.6332999999995</v>
      </c>
      <c r="F50" s="335">
        <v>-642.88401999999996</v>
      </c>
      <c r="G50" s="335">
        <v>-1126.87357</v>
      </c>
      <c r="H50" s="334">
        <v>7162.7597299999998</v>
      </c>
      <c r="I50" s="335">
        <v>7805.6437500000002</v>
      </c>
      <c r="J50" s="336">
        <v>8289.6332999999995</v>
      </c>
      <c r="K50" s="337">
        <v>-642.88401999999996</v>
      </c>
      <c r="L50" s="337">
        <v>-1126.87357</v>
      </c>
      <c r="M50" s="334">
        <v>7162.7597299999998</v>
      </c>
      <c r="N50" s="335">
        <v>7805.6437500000002</v>
      </c>
      <c r="O50" s="336">
        <v>8289.6332999999995</v>
      </c>
      <c r="P50" s="337">
        <v>-642.88401999999996</v>
      </c>
      <c r="Q50" s="338">
        <v>-1126.87357</v>
      </c>
    </row>
    <row r="51" spans="2:17" ht="13.8">
      <c r="B51" s="357" t="s">
        <v>235</v>
      </c>
      <c r="C51" s="334">
        <v>17759.668290000001</v>
      </c>
      <c r="D51" s="335">
        <v>19214.927599999999</v>
      </c>
      <c r="E51" s="336">
        <v>19226.529279999999</v>
      </c>
      <c r="F51" s="335">
        <v>-1455.2593099999999</v>
      </c>
      <c r="G51" s="335">
        <v>-1466.8609899999999</v>
      </c>
      <c r="H51" s="334">
        <v>17759.668290000001</v>
      </c>
      <c r="I51" s="335">
        <v>19214.927599999999</v>
      </c>
      <c r="J51" s="336">
        <v>19226.529279999999</v>
      </c>
      <c r="K51" s="337">
        <v>-1455.2593099999999</v>
      </c>
      <c r="L51" s="337">
        <v>-1466.8609899999999</v>
      </c>
      <c r="M51" s="334">
        <v>17759.668290000001</v>
      </c>
      <c r="N51" s="335">
        <v>19214.927599999999</v>
      </c>
      <c r="O51" s="336">
        <v>19226.529279999999</v>
      </c>
      <c r="P51" s="337">
        <v>-1455.2593099999999</v>
      </c>
      <c r="Q51" s="338">
        <v>-1466.8609899999999</v>
      </c>
    </row>
    <row r="52" spans="2:17" ht="13.8">
      <c r="B52" s="358" t="s">
        <v>236</v>
      </c>
      <c r="C52" s="340">
        <v>34478.826760000004</v>
      </c>
      <c r="D52" s="341">
        <v>36630.341439999997</v>
      </c>
      <c r="E52" s="342">
        <v>36917.107499999998</v>
      </c>
      <c r="F52" s="341">
        <v>-2151.5146800000002</v>
      </c>
      <c r="G52" s="341">
        <v>-2438.2807400000002</v>
      </c>
      <c r="H52" s="340">
        <v>34478.826760000004</v>
      </c>
      <c r="I52" s="341">
        <v>36630.341439999997</v>
      </c>
      <c r="J52" s="342">
        <v>36917.107499999998</v>
      </c>
      <c r="K52" s="343">
        <v>-2151.5146800000002</v>
      </c>
      <c r="L52" s="343">
        <v>-2438.2807400000002</v>
      </c>
      <c r="M52" s="340">
        <v>34478.826760000004</v>
      </c>
      <c r="N52" s="341">
        <v>36630.341439999997</v>
      </c>
      <c r="O52" s="342">
        <v>36917.107499999998</v>
      </c>
      <c r="P52" s="343">
        <v>-2151.5146800000002</v>
      </c>
      <c r="Q52" s="344">
        <v>-2438.2807400000002</v>
      </c>
    </row>
    <row r="53" spans="2:17" ht="13.8">
      <c r="B53" s="358" t="s">
        <v>237</v>
      </c>
      <c r="C53" s="334">
        <f t="shared" ref="C53:Q53" si="3">C43+C46+C49+C50+C51+C52</f>
        <v>143270.92229000002</v>
      </c>
      <c r="D53" s="335">
        <f t="shared" si="3"/>
        <v>152735.35525999998</v>
      </c>
      <c r="E53" s="336">
        <f t="shared" si="3"/>
        <v>136656.31656000001</v>
      </c>
      <c r="F53" s="335">
        <f t="shared" si="3"/>
        <v>-9464.4329699999998</v>
      </c>
      <c r="G53" s="335">
        <f t="shared" si="3"/>
        <v>6614.6057300000011</v>
      </c>
      <c r="H53" s="334">
        <f t="shared" si="3"/>
        <v>143270.92229000002</v>
      </c>
      <c r="I53" s="335">
        <f t="shared" si="3"/>
        <v>152735.35525999998</v>
      </c>
      <c r="J53" s="336">
        <f t="shared" si="3"/>
        <v>136656.31656000001</v>
      </c>
      <c r="K53" s="337">
        <f t="shared" si="3"/>
        <v>-9464.4329699999998</v>
      </c>
      <c r="L53" s="337">
        <f t="shared" si="3"/>
        <v>6614.6057300000011</v>
      </c>
      <c r="M53" s="334">
        <f t="shared" si="3"/>
        <v>143270.92229000002</v>
      </c>
      <c r="N53" s="335">
        <f t="shared" si="3"/>
        <v>152735.35525999998</v>
      </c>
      <c r="O53" s="336">
        <f t="shared" si="3"/>
        <v>136656.31656000001</v>
      </c>
      <c r="P53" s="337">
        <f t="shared" si="3"/>
        <v>-9464.4329699999998</v>
      </c>
      <c r="Q53" s="338">
        <f t="shared" si="3"/>
        <v>6614.6057300000011</v>
      </c>
    </row>
    <row r="54" spans="2:17" ht="13.8">
      <c r="B54" s="358" t="s">
        <v>238</v>
      </c>
      <c r="C54" s="334">
        <f t="shared" ref="C54:Q54" si="4">C38+C43+C46+C49+C50+C51+C52</f>
        <v>435898.85992000002</v>
      </c>
      <c r="D54" s="335">
        <f t="shared" si="4"/>
        <v>472689.94938999997</v>
      </c>
      <c r="E54" s="336">
        <f t="shared" si="4"/>
        <v>492674.85499000002</v>
      </c>
      <c r="F54" s="335">
        <f t="shared" si="4"/>
        <v>-36791.089469999999</v>
      </c>
      <c r="G54" s="335">
        <f t="shared" si="4"/>
        <v>-56775.995070000012</v>
      </c>
      <c r="H54" s="334">
        <f t="shared" si="4"/>
        <v>435898.85992000002</v>
      </c>
      <c r="I54" s="335">
        <f t="shared" si="4"/>
        <v>472689.94938999997</v>
      </c>
      <c r="J54" s="336">
        <f t="shared" si="4"/>
        <v>492674.85499000002</v>
      </c>
      <c r="K54" s="337">
        <f t="shared" si="4"/>
        <v>-36791.089469999999</v>
      </c>
      <c r="L54" s="337">
        <f t="shared" si="4"/>
        <v>-56775.995070000012</v>
      </c>
      <c r="M54" s="334">
        <f t="shared" si="4"/>
        <v>435898.85992000002</v>
      </c>
      <c r="N54" s="335">
        <f t="shared" si="4"/>
        <v>472689.94938999997</v>
      </c>
      <c r="O54" s="336">
        <f t="shared" si="4"/>
        <v>492674.85499000002</v>
      </c>
      <c r="P54" s="337">
        <f t="shared" si="4"/>
        <v>-36791.089469999999</v>
      </c>
      <c r="Q54" s="338">
        <f t="shared" si="4"/>
        <v>-56775.995070000012</v>
      </c>
    </row>
    <row r="55" spans="2:17" ht="19.5" customHeight="1" thickBot="1">
      <c r="B55" s="359" t="s">
        <v>239</v>
      </c>
      <c r="C55" s="360">
        <f t="shared" ref="C55:Q55" si="5">C32+C38+C43+C46+C49+C50+C51+C52</f>
        <v>759293.78110999998</v>
      </c>
      <c r="D55" s="361">
        <f t="shared" si="5"/>
        <v>813092.84933999996</v>
      </c>
      <c r="E55" s="362">
        <f t="shared" si="5"/>
        <v>813118.42183000001</v>
      </c>
      <c r="F55" s="361">
        <f t="shared" si="5"/>
        <v>-53799.068229999997</v>
      </c>
      <c r="G55" s="361">
        <f t="shared" si="5"/>
        <v>-53824.640719999996</v>
      </c>
      <c r="H55" s="360">
        <f t="shared" si="5"/>
        <v>759293.78110999998</v>
      </c>
      <c r="I55" s="361">
        <f t="shared" si="5"/>
        <v>813092.84933999996</v>
      </c>
      <c r="J55" s="362">
        <f t="shared" si="5"/>
        <v>813118.42183000001</v>
      </c>
      <c r="K55" s="363">
        <f t="shared" si="5"/>
        <v>-53799.068229999997</v>
      </c>
      <c r="L55" s="363">
        <f t="shared" si="5"/>
        <v>-53824.640719999996</v>
      </c>
      <c r="M55" s="360">
        <f t="shared" si="5"/>
        <v>759293.78110999998</v>
      </c>
      <c r="N55" s="361">
        <f t="shared" si="5"/>
        <v>813092.84933999996</v>
      </c>
      <c r="O55" s="362">
        <f t="shared" si="5"/>
        <v>813118.42183000001</v>
      </c>
      <c r="P55" s="363">
        <f t="shared" si="5"/>
        <v>-53799.068229999997</v>
      </c>
      <c r="Q55" s="364">
        <f t="shared" si="5"/>
        <v>-53824.640719999996</v>
      </c>
    </row>
    <row r="56" spans="2:17" ht="13.8" thickTop="1">
      <c r="B56" s="365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184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</row>
    <row r="60" spans="2:17">
      <c r="B60" s="369" t="s">
        <v>249</v>
      </c>
      <c r="C60" s="370">
        <v>8014763.1339999996</v>
      </c>
      <c r="D60" s="371">
        <v>8549186.8399999999</v>
      </c>
      <c r="E60" s="372">
        <v>8390413.4470000006</v>
      </c>
      <c r="F60" s="371">
        <f>C60-D60</f>
        <v>-534423.70600000024</v>
      </c>
      <c r="G60" s="371">
        <v>-375650.31300000002</v>
      </c>
      <c r="H60" s="370">
        <v>8014763.1339999996</v>
      </c>
      <c r="I60" s="373">
        <v>8549186.8399999999</v>
      </c>
      <c r="J60" s="372">
        <v>8390413.4470000006</v>
      </c>
      <c r="K60" s="373">
        <f>H60-I60</f>
        <v>-534423.70600000024</v>
      </c>
      <c r="L60" s="373">
        <v>-375650.31300000002</v>
      </c>
      <c r="M60" s="370">
        <v>8014763.1339999996</v>
      </c>
      <c r="N60" s="371">
        <v>8549186.8399999999</v>
      </c>
      <c r="O60" s="372">
        <v>8390413.4470000006</v>
      </c>
      <c r="P60" s="373">
        <f>M60-N60</f>
        <v>-534423.70600000024</v>
      </c>
      <c r="Q60" s="374">
        <v>-375650.31300000002</v>
      </c>
    </row>
    <row r="61" spans="2:17">
      <c r="B61" s="369" t="s">
        <v>250</v>
      </c>
      <c r="C61" s="375">
        <v>-494871</v>
      </c>
      <c r="D61" s="373">
        <v>-761261.87</v>
      </c>
      <c r="E61" s="374">
        <v>-809090</v>
      </c>
      <c r="F61" s="373">
        <f>C61-D61</f>
        <v>266390.87</v>
      </c>
      <c r="G61" s="373">
        <v>314219</v>
      </c>
      <c r="H61" s="375">
        <v>-494871</v>
      </c>
      <c r="I61" s="373">
        <v>-761261.87</v>
      </c>
      <c r="J61" s="374">
        <v>-809090</v>
      </c>
      <c r="K61" s="373">
        <f>H61-I61</f>
        <v>266390.87</v>
      </c>
      <c r="L61" s="373">
        <v>314219</v>
      </c>
      <c r="M61" s="375">
        <v>-494871</v>
      </c>
      <c r="N61" s="373">
        <v>-761261.87</v>
      </c>
      <c r="O61" s="374">
        <v>-809090</v>
      </c>
      <c r="P61" s="373">
        <f>M61-N61</f>
        <v>266390.87</v>
      </c>
      <c r="Q61" s="374">
        <v>314219</v>
      </c>
    </row>
    <row r="62" spans="2:17">
      <c r="B62" s="369" t="s">
        <v>251</v>
      </c>
      <c r="C62" s="375">
        <v>68735</v>
      </c>
      <c r="D62" s="373">
        <v>148282.23000000001</v>
      </c>
      <c r="E62" s="374">
        <v>173072</v>
      </c>
      <c r="F62" s="373">
        <f>C62-D62</f>
        <v>-79547.23000000001</v>
      </c>
      <c r="G62" s="373">
        <v>-104337</v>
      </c>
      <c r="H62" s="375">
        <v>68735</v>
      </c>
      <c r="I62" s="373">
        <v>148282.23000000001</v>
      </c>
      <c r="J62" s="374">
        <v>173072</v>
      </c>
      <c r="K62" s="373">
        <f>H62-I62</f>
        <v>-79547.23000000001</v>
      </c>
      <c r="L62" s="373">
        <v>-104337</v>
      </c>
      <c r="M62" s="375">
        <v>68735</v>
      </c>
      <c r="N62" s="373">
        <v>148282.23000000001</v>
      </c>
      <c r="O62" s="374">
        <v>173072</v>
      </c>
      <c r="P62" s="373">
        <f>M62-N62</f>
        <v>-79547.23000000001</v>
      </c>
      <c r="Q62" s="374">
        <v>-104337</v>
      </c>
    </row>
    <row r="63" spans="2:17" ht="13.8" thickBot="1">
      <c r="B63" s="376" t="s">
        <v>252</v>
      </c>
      <c r="C63" s="377">
        <v>7588627.1339999996</v>
      </c>
      <c r="D63" s="378">
        <f>SUM(D60:D62)</f>
        <v>7936207.2000000002</v>
      </c>
      <c r="E63" s="379">
        <v>7754395.4469999997</v>
      </c>
      <c r="F63" s="378">
        <f>SUM(F60:F62)</f>
        <v>-347580.06600000022</v>
      </c>
      <c r="G63" s="378">
        <v>-165768.31299999999</v>
      </c>
      <c r="H63" s="377">
        <v>7588627.1339999996</v>
      </c>
      <c r="I63" s="378">
        <f>SUM(I60:I62)</f>
        <v>7936207.2000000002</v>
      </c>
      <c r="J63" s="379">
        <v>7754395.4469999997</v>
      </c>
      <c r="K63" s="380">
        <f>SUM(K60:K62)</f>
        <v>-347580.06600000022</v>
      </c>
      <c r="L63" s="380">
        <v>-165768.31299999999</v>
      </c>
      <c r="M63" s="377">
        <v>7588627.1339999996</v>
      </c>
      <c r="N63" s="378">
        <f>SUM(N60:N62)</f>
        <v>7936207.2000000002</v>
      </c>
      <c r="O63" s="379">
        <v>7754395.4469999997</v>
      </c>
      <c r="P63" s="380">
        <f>SUM(P60:P62)</f>
        <v>-347580.06600000022</v>
      </c>
      <c r="Q63" s="381">
        <v>-165768.31299999999</v>
      </c>
    </row>
    <row r="64" spans="2:17" ht="13.8" thickTop="1">
      <c r="B64" s="382"/>
    </row>
    <row r="65" spans="2:17" ht="17.399999999999999">
      <c r="B65" s="383" t="s">
        <v>253</v>
      </c>
      <c r="C65" s="384">
        <f>C55</f>
        <v>759293.78110999998</v>
      </c>
      <c r="D65" s="384"/>
      <c r="E65" s="384">
        <f>E55</f>
        <v>813118.42183000001</v>
      </c>
      <c r="F65" s="384"/>
      <c r="G65" s="384">
        <f>G55</f>
        <v>-53824.640719999996</v>
      </c>
      <c r="H65" s="384">
        <f>H55</f>
        <v>759293.78110999998</v>
      </c>
      <c r="I65" s="384"/>
      <c r="J65" s="384">
        <f>J55</f>
        <v>813118.42183000001</v>
      </c>
      <c r="K65" s="384"/>
      <c r="L65" s="384">
        <f>L55</f>
        <v>-53824.640719999996</v>
      </c>
      <c r="M65" s="384">
        <f>M55</f>
        <v>759293.78110999998</v>
      </c>
      <c r="N65" s="384"/>
      <c r="O65" s="384">
        <f>O55</f>
        <v>813118.42183000001</v>
      </c>
      <c r="P65" s="384"/>
      <c r="Q65" s="384">
        <f>Q55</f>
        <v>-53824.640719999996</v>
      </c>
    </row>
    <row r="66" spans="2:17">
      <c r="B66" s="385"/>
      <c r="C66" s="160"/>
      <c r="D66" s="160"/>
      <c r="E66" s="160"/>
      <c r="F66" s="160"/>
      <c r="G66" s="386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2:17">
      <c r="B67" s="387"/>
      <c r="C67" s="388"/>
      <c r="D67" s="389"/>
      <c r="E67" s="389"/>
      <c r="F67" s="390"/>
      <c r="G67" s="391"/>
      <c r="H67" s="388"/>
      <c r="I67" s="392"/>
      <c r="J67" s="389"/>
      <c r="K67" s="390"/>
      <c r="L67" s="391"/>
      <c r="M67" s="388"/>
      <c r="N67" s="392"/>
      <c r="O67" s="389"/>
      <c r="P67" s="393"/>
      <c r="Q67" s="391"/>
    </row>
    <row r="68" spans="2:17">
      <c r="B68" s="394" t="s">
        <v>254</v>
      </c>
      <c r="C68" s="395">
        <f>-2.85671-122.9271</f>
        <v>-125.78381</v>
      </c>
      <c r="D68" s="396"/>
      <c r="E68" s="276">
        <f>[4]Prior!C68</f>
        <v>-113.3663</v>
      </c>
      <c r="F68" s="397"/>
      <c r="G68" s="398">
        <f>C68-E68</f>
        <v>-12.417510000000007</v>
      </c>
      <c r="H68" s="399">
        <f>C68</f>
        <v>-125.78381</v>
      </c>
      <c r="I68" s="276"/>
      <c r="J68" s="400">
        <f>E68</f>
        <v>-113.3663</v>
      </c>
      <c r="K68" s="398"/>
      <c r="L68" s="398">
        <f>H68-J68</f>
        <v>-12.417510000000007</v>
      </c>
      <c r="M68" s="399">
        <f>C68</f>
        <v>-125.78381</v>
      </c>
      <c r="N68" s="401"/>
      <c r="O68" s="402">
        <f>E68</f>
        <v>-113.3663</v>
      </c>
      <c r="P68" s="398"/>
      <c r="Q68" s="403">
        <f>M68-O68</f>
        <v>-12.417510000000007</v>
      </c>
    </row>
    <row r="69" spans="2:17">
      <c r="B69" s="394" t="s">
        <v>255</v>
      </c>
      <c r="C69" s="395">
        <v>0</v>
      </c>
      <c r="D69" s="396"/>
      <c r="E69" s="276">
        <f>[4]Prior!C69</f>
        <v>0</v>
      </c>
      <c r="F69" s="397"/>
      <c r="G69" s="398">
        <f>C69-E69</f>
        <v>0</v>
      </c>
      <c r="H69" s="399">
        <f>C69</f>
        <v>0</v>
      </c>
      <c r="I69" s="276"/>
      <c r="J69" s="400">
        <f>E69</f>
        <v>0</v>
      </c>
      <c r="K69" s="398"/>
      <c r="L69" s="398">
        <f>H69-J69</f>
        <v>0</v>
      </c>
      <c r="M69" s="399">
        <f>C69</f>
        <v>0</v>
      </c>
      <c r="N69" s="401"/>
      <c r="O69" s="402">
        <f>E69</f>
        <v>0</v>
      </c>
      <c r="P69" s="398"/>
      <c r="Q69" s="403">
        <f>M69-O69</f>
        <v>0</v>
      </c>
    </row>
    <row r="70" spans="2:17">
      <c r="B70" s="394" t="s">
        <v>256</v>
      </c>
      <c r="C70" s="404">
        <f>-19.90625-152.08227</f>
        <v>-171.98851999999999</v>
      </c>
      <c r="D70" s="405"/>
      <c r="E70" s="276">
        <f>[4]Prior!C70</f>
        <v>-187.00484</v>
      </c>
      <c r="F70" s="406"/>
      <c r="G70" s="398">
        <f>C70-E70</f>
        <v>15.016320000000007</v>
      </c>
      <c r="H70" s="399">
        <f>C70</f>
        <v>-171.98851999999999</v>
      </c>
      <c r="I70" s="276"/>
      <c r="J70" s="400">
        <f>E70</f>
        <v>-187.00484</v>
      </c>
      <c r="K70" s="398"/>
      <c r="L70" s="398">
        <f>H70-J70</f>
        <v>15.016320000000007</v>
      </c>
      <c r="M70" s="399">
        <f>C70</f>
        <v>-171.98851999999999</v>
      </c>
      <c r="N70" s="401"/>
      <c r="O70" s="402">
        <f>E70</f>
        <v>-187.00484</v>
      </c>
      <c r="P70" s="398"/>
      <c r="Q70" s="403">
        <f>M70-O70</f>
        <v>15.016320000000007</v>
      </c>
    </row>
    <row r="71" spans="2:17" ht="18" thickBot="1">
      <c r="B71" s="383" t="s">
        <v>257</v>
      </c>
      <c r="C71" s="407">
        <f>SUM(C65:C70)</f>
        <v>758996.00877999992</v>
      </c>
      <c r="D71" s="408"/>
      <c r="E71" s="409">
        <f>SUM(E65:E70)</f>
        <v>812818.05069000006</v>
      </c>
      <c r="F71" s="408"/>
      <c r="G71" s="409">
        <f>C71-E71</f>
        <v>-53822.041910000145</v>
      </c>
      <c r="H71" s="408">
        <f>SUM(H65:H70)</f>
        <v>758996.00877999992</v>
      </c>
      <c r="I71" s="408"/>
      <c r="J71" s="409">
        <f>SUM(J65:J70)</f>
        <v>812818.05069000006</v>
      </c>
      <c r="K71" s="408"/>
      <c r="L71" s="409">
        <f>H71-J71</f>
        <v>-53822.041910000145</v>
      </c>
      <c r="M71" s="407">
        <f>SUM(M65:M70)</f>
        <v>758996.00877999992</v>
      </c>
      <c r="N71" s="408"/>
      <c r="O71" s="409">
        <f>SUM(O65:O70)</f>
        <v>812818.05069000006</v>
      </c>
      <c r="P71" s="408"/>
      <c r="Q71" s="409">
        <f>M71-O71</f>
        <v>-53822.041910000145</v>
      </c>
    </row>
    <row r="72" spans="2:17" ht="13.8" thickTop="1">
      <c r="B72" s="382"/>
    </row>
    <row r="73" spans="2:17">
      <c r="B73" s="382"/>
    </row>
    <row r="74" spans="2:17">
      <c r="B74" s="382"/>
    </row>
    <row r="75" spans="2:17">
      <c r="B75" s="410"/>
    </row>
    <row r="76" spans="2:17">
      <c r="B76" s="382"/>
    </row>
    <row r="77" spans="2:17">
      <c r="B77" s="382"/>
    </row>
    <row r="78" spans="2:17">
      <c r="B78" s="382"/>
    </row>
    <row r="79" spans="2:17">
      <c r="B79" s="382"/>
    </row>
    <row r="80" spans="2:17">
      <c r="B80" s="410"/>
    </row>
    <row r="81" spans="2:2">
      <c r="B81" s="382"/>
    </row>
    <row r="82" spans="2:2">
      <c r="B82" s="382"/>
    </row>
    <row r="83" spans="2:2">
      <c r="B83" s="410"/>
    </row>
    <row r="84" spans="2:2">
      <c r="B84" s="382"/>
    </row>
    <row r="85" spans="2:2">
      <c r="B85" s="382"/>
    </row>
    <row r="86" spans="2:2">
      <c r="B86" s="410"/>
    </row>
    <row r="87" spans="2:2">
      <c r="B87" s="382"/>
    </row>
    <row r="88" spans="2:2">
      <c r="B88" s="382"/>
    </row>
    <row r="89" spans="2:2">
      <c r="B89" s="410"/>
    </row>
    <row r="90" spans="2:2">
      <c r="B90" s="382"/>
    </row>
    <row r="91" spans="2:2">
      <c r="B91" s="410"/>
    </row>
    <row r="92" spans="2:2">
      <c r="B92" s="365"/>
    </row>
    <row r="93" spans="2:2">
      <c r="B93" s="410"/>
    </row>
    <row r="94" spans="2:2">
      <c r="B94" s="365"/>
    </row>
    <row r="95" spans="2:2">
      <c r="B95" s="410"/>
    </row>
    <row r="96" spans="2:2">
      <c r="B96" s="365"/>
    </row>
  </sheetData>
  <mergeCells count="1">
    <mergeCell ref="B2:D2"/>
  </mergeCells>
  <phoneticPr fontId="2" type="noConversion"/>
  <printOptions horizontalCentered="1" vertic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Q96"/>
  <sheetViews>
    <sheetView showGridLines="0" zoomScale="75" zoomScaleNormal="75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E1" sqref="E1"/>
    </sheetView>
  </sheetViews>
  <sheetFormatPr defaultRowHeight="13.2"/>
  <cols>
    <col min="1" max="1" width="2.109375" style="160" customWidth="1"/>
    <col min="2" max="2" width="45.5546875" customWidth="1"/>
    <col min="3" max="5" width="11.88671875" customWidth="1"/>
    <col min="6" max="6" width="11.33203125" customWidth="1"/>
    <col min="7" max="7" width="14" bestFit="1" customWidth="1"/>
    <col min="8" max="10" width="11.88671875" customWidth="1"/>
    <col min="11" max="11" width="12.88671875" bestFit="1" customWidth="1"/>
    <col min="12" max="12" width="11.33203125" customWidth="1"/>
    <col min="13" max="13" width="11.88671875" customWidth="1"/>
    <col min="14" max="14" width="14.5546875" bestFit="1" customWidth="1"/>
    <col min="15" max="15" width="11.6640625" customWidth="1"/>
    <col min="16" max="17" width="11.33203125" customWidth="1"/>
  </cols>
  <sheetData>
    <row r="1" spans="2:17" ht="65.25" customHeight="1">
      <c r="B1" s="781" t="s">
        <v>474</v>
      </c>
    </row>
    <row r="2" spans="2:17" s="160" customFormat="1" ht="22.8">
      <c r="B2" s="785" t="s">
        <v>178</v>
      </c>
      <c r="C2" s="785"/>
      <c r="D2" s="785"/>
      <c r="O2" s="160" t="str">
        <f>B6</f>
        <v>Last Refreshed</v>
      </c>
      <c r="P2" s="160" t="str">
        <f>C6</f>
        <v>3/5/2012 10:15:54</v>
      </c>
    </row>
    <row r="3" spans="2:17" s="160" customFormat="1" ht="22.8">
      <c r="B3" s="314" t="s">
        <v>179</v>
      </c>
      <c r="C3" s="313"/>
      <c r="D3" s="313"/>
    </row>
    <row r="4" spans="2:17" ht="21">
      <c r="B4" s="315" t="s">
        <v>180</v>
      </c>
      <c r="C4" s="316"/>
    </row>
    <row r="5" spans="2:17" ht="16.8" hidden="1">
      <c r="B5" s="317"/>
      <c r="C5" s="470"/>
    </row>
    <row r="6" spans="2:17" hidden="1">
      <c r="B6" s="319" t="s">
        <v>181</v>
      </c>
      <c r="C6" s="320" t="s">
        <v>311</v>
      </c>
    </row>
    <row r="7" spans="2:17" ht="17.399999999999999">
      <c r="B7" s="321" t="str">
        <f>MID(D9,1,LEN(D9)-11)</f>
        <v>FEB 2012</v>
      </c>
      <c r="C7" s="32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7" ht="66.75" customHeight="1">
      <c r="B8" s="321"/>
      <c r="C8" s="323" t="str">
        <f>C9</f>
        <v xml:space="preserve"> FEB 2012</v>
      </c>
      <c r="D8" s="324" t="str">
        <f>D9</f>
        <v>FEB 2012
Month
Plan</v>
      </c>
      <c r="E8" s="325" t="str">
        <f>E9</f>
        <v xml:space="preserve"> FEB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312</v>
      </c>
      <c r="D9" s="324" t="s">
        <v>313</v>
      </c>
      <c r="E9" s="325" t="s">
        <v>314</v>
      </c>
      <c r="F9" s="324" t="s">
        <v>186</v>
      </c>
      <c r="G9" s="324" t="s">
        <v>187</v>
      </c>
      <c r="H9" s="323" t="s">
        <v>183</v>
      </c>
      <c r="I9" s="324" t="s">
        <v>188</v>
      </c>
      <c r="J9" s="325" t="s">
        <v>185</v>
      </c>
      <c r="K9" s="324" t="s">
        <v>189</v>
      </c>
      <c r="L9" s="324" t="s">
        <v>190</v>
      </c>
      <c r="M9" s="323" t="s">
        <v>312</v>
      </c>
      <c r="N9" s="324" t="s">
        <v>315</v>
      </c>
      <c r="O9" s="325" t="s">
        <v>314</v>
      </c>
      <c r="P9" s="324" t="s">
        <v>192</v>
      </c>
      <c r="Q9" s="325" t="s">
        <v>193</v>
      </c>
    </row>
    <row r="10" spans="2:17">
      <c r="B10" s="471" t="s">
        <v>194</v>
      </c>
      <c r="C10" s="329">
        <v>279643.19630000001</v>
      </c>
      <c r="D10" s="330">
        <v>294845.51759</v>
      </c>
      <c r="E10" s="331">
        <v>280227.43897000002</v>
      </c>
      <c r="F10" s="330">
        <v>-15202.32129</v>
      </c>
      <c r="G10" s="330">
        <v>-584.24266999999998</v>
      </c>
      <c r="H10" s="329">
        <v>591016.50597000006</v>
      </c>
      <c r="I10" s="330">
        <v>631039.13907000003</v>
      </c>
      <c r="J10" s="331">
        <v>612996.20041000005</v>
      </c>
      <c r="K10" s="332">
        <v>-40022.633099999999</v>
      </c>
      <c r="L10" s="332">
        <v>-21979.694439999999</v>
      </c>
      <c r="M10" s="329">
        <v>591016.50597000006</v>
      </c>
      <c r="N10" s="330">
        <v>631039.13907000003</v>
      </c>
      <c r="O10" s="331">
        <v>612996.20041000005</v>
      </c>
      <c r="P10" s="332">
        <v>-40022.633099999999</v>
      </c>
      <c r="Q10" s="333">
        <v>-21979.694439999999</v>
      </c>
    </row>
    <row r="11" spans="2:17">
      <c r="B11" s="471" t="s">
        <v>195</v>
      </c>
      <c r="C11" s="329">
        <v>11425.33556</v>
      </c>
      <c r="D11" s="330">
        <v>11949.51712</v>
      </c>
      <c r="E11" s="331"/>
      <c r="F11" s="330">
        <v>-524.18155999999999</v>
      </c>
      <c r="G11" s="330">
        <v>11425.33556</v>
      </c>
      <c r="H11" s="329">
        <v>23917.394919999999</v>
      </c>
      <c r="I11" s="330">
        <v>25699.574339999999</v>
      </c>
      <c r="J11" s="331"/>
      <c r="K11" s="332">
        <v>-1782.1794199999999</v>
      </c>
      <c r="L11" s="332">
        <v>23917.394919999999</v>
      </c>
      <c r="M11" s="329">
        <v>23917.394919999999</v>
      </c>
      <c r="N11" s="330">
        <v>25699.574339999999</v>
      </c>
      <c r="O11" s="331"/>
      <c r="P11" s="332">
        <v>-1782.1794199999999</v>
      </c>
      <c r="Q11" s="333">
        <v>23917.394919999999</v>
      </c>
    </row>
    <row r="12" spans="2:17">
      <c r="B12" s="471" t="s">
        <v>196</v>
      </c>
      <c r="C12" s="334"/>
      <c r="D12" s="335"/>
      <c r="E12" s="336"/>
      <c r="F12" s="335"/>
      <c r="G12" s="335"/>
      <c r="H12" s="334"/>
      <c r="I12" s="335"/>
      <c r="J12" s="336"/>
      <c r="K12" s="337"/>
      <c r="L12" s="337"/>
      <c r="M12" s="334"/>
      <c r="N12" s="335"/>
      <c r="O12" s="336"/>
      <c r="P12" s="337"/>
      <c r="Q12" s="338"/>
    </row>
    <row r="13" spans="2:17">
      <c r="B13" s="471" t="s">
        <v>197</v>
      </c>
      <c r="C13" s="334"/>
      <c r="D13" s="335"/>
      <c r="E13" s="336"/>
      <c r="F13" s="335"/>
      <c r="G13" s="335"/>
      <c r="H13" s="334"/>
      <c r="I13" s="335"/>
      <c r="J13" s="336"/>
      <c r="K13" s="337"/>
      <c r="L13" s="337"/>
      <c r="M13" s="334"/>
      <c r="N13" s="335"/>
      <c r="O13" s="336"/>
      <c r="P13" s="337"/>
      <c r="Q13" s="338"/>
    </row>
    <row r="14" spans="2:17">
      <c r="B14" s="471" t="s">
        <v>198</v>
      </c>
      <c r="C14" s="334"/>
      <c r="D14" s="335"/>
      <c r="E14" s="336"/>
      <c r="F14" s="335"/>
      <c r="G14" s="335"/>
      <c r="H14" s="334"/>
      <c r="I14" s="335"/>
      <c r="J14" s="336"/>
      <c r="K14" s="337"/>
      <c r="L14" s="337"/>
      <c r="M14" s="334"/>
      <c r="N14" s="335"/>
      <c r="O14" s="336"/>
      <c r="P14" s="337"/>
      <c r="Q14" s="338"/>
    </row>
    <row r="15" spans="2:17">
      <c r="B15" s="472" t="s">
        <v>199</v>
      </c>
      <c r="C15" s="340">
        <v>8264.018</v>
      </c>
      <c r="D15" s="341">
        <v>-18742.381890000001</v>
      </c>
      <c r="E15" s="342">
        <v>-10205.209999999999</v>
      </c>
      <c r="F15" s="341">
        <v>27006.399890000001</v>
      </c>
      <c r="G15" s="341">
        <v>18469.227999999999</v>
      </c>
      <c r="H15" s="340">
        <v>-10392.23955</v>
      </c>
      <c r="I15" s="341">
        <v>-47711.997259999996</v>
      </c>
      <c r="J15" s="342">
        <v>-40826.549890000002</v>
      </c>
      <c r="K15" s="343">
        <v>37319.757709999998</v>
      </c>
      <c r="L15" s="343">
        <v>30434.31034</v>
      </c>
      <c r="M15" s="340">
        <v>-10392.23955</v>
      </c>
      <c r="N15" s="341">
        <v>-47711.997259999996</v>
      </c>
      <c r="O15" s="342">
        <v>-40826.549890000002</v>
      </c>
      <c r="P15" s="343">
        <v>37319.757709999998</v>
      </c>
      <c r="Q15" s="344">
        <v>30434.31034</v>
      </c>
    </row>
    <row r="16" spans="2:17">
      <c r="B16" s="473" t="s">
        <v>200</v>
      </c>
      <c r="C16" s="334">
        <f t="shared" ref="C16:Q16" si="0">SUM(C10:C15)</f>
        <v>299332.54985999997</v>
      </c>
      <c r="D16" s="335">
        <f t="shared" si="0"/>
        <v>288052.65281999996</v>
      </c>
      <c r="E16" s="336">
        <f t="shared" si="0"/>
        <v>270022.22897</v>
      </c>
      <c r="F16" s="335">
        <f t="shared" si="0"/>
        <v>11279.89704</v>
      </c>
      <c r="G16" s="335">
        <f t="shared" si="0"/>
        <v>29310.320889999999</v>
      </c>
      <c r="H16" s="334">
        <f t="shared" si="0"/>
        <v>604541.66133999999</v>
      </c>
      <c r="I16" s="335">
        <f t="shared" si="0"/>
        <v>609026.71615000011</v>
      </c>
      <c r="J16" s="336">
        <f t="shared" si="0"/>
        <v>572169.65052000002</v>
      </c>
      <c r="K16" s="337">
        <f t="shared" si="0"/>
        <v>-4485.0548100000015</v>
      </c>
      <c r="L16" s="337">
        <f t="shared" si="0"/>
        <v>32372.01082</v>
      </c>
      <c r="M16" s="334">
        <f t="shared" si="0"/>
        <v>604541.66133999999</v>
      </c>
      <c r="N16" s="335">
        <f t="shared" si="0"/>
        <v>609026.71615000011</v>
      </c>
      <c r="O16" s="336">
        <f t="shared" si="0"/>
        <v>572169.65052000002</v>
      </c>
      <c r="P16" s="337">
        <f t="shared" si="0"/>
        <v>-4485.0548100000015</v>
      </c>
      <c r="Q16" s="338">
        <f t="shared" si="0"/>
        <v>32372.01082</v>
      </c>
    </row>
    <row r="17" spans="2:17">
      <c r="B17" s="472" t="s">
        <v>201</v>
      </c>
      <c r="C17" s="334">
        <v>4742.0816299999997</v>
      </c>
      <c r="D17" s="335">
        <v>4756.2118</v>
      </c>
      <c r="E17" s="336">
        <v>4321.1308099999997</v>
      </c>
      <c r="F17" s="335">
        <v>-14.13017</v>
      </c>
      <c r="G17" s="335">
        <v>420.95082000000002</v>
      </c>
      <c r="H17" s="334">
        <v>8766.5530099999996</v>
      </c>
      <c r="I17" s="335">
        <v>8541.7371999999996</v>
      </c>
      <c r="J17" s="336">
        <v>8982.8605800000005</v>
      </c>
      <c r="K17" s="337">
        <v>224.81581</v>
      </c>
      <c r="L17" s="337">
        <v>-216.30757</v>
      </c>
      <c r="M17" s="334">
        <v>8766.5530099999996</v>
      </c>
      <c r="N17" s="335">
        <v>8541.7371999999996</v>
      </c>
      <c r="O17" s="336">
        <v>8982.8605800000005</v>
      </c>
      <c r="P17" s="337">
        <v>224.81581</v>
      </c>
      <c r="Q17" s="338">
        <v>-216.30757</v>
      </c>
    </row>
    <row r="18" spans="2:17">
      <c r="B18" s="472" t="s">
        <v>202</v>
      </c>
      <c r="C18" s="334">
        <v>-151.917</v>
      </c>
      <c r="D18" s="335">
        <v>32.1496</v>
      </c>
      <c r="E18" s="336">
        <v>-407.33300000000003</v>
      </c>
      <c r="F18" s="335">
        <v>-184.06659999999999</v>
      </c>
      <c r="G18" s="335">
        <v>255.416</v>
      </c>
      <c r="H18" s="334">
        <v>563.41899999999998</v>
      </c>
      <c r="I18" s="335">
        <v>1002.836</v>
      </c>
      <c r="J18" s="336">
        <v>-948.197</v>
      </c>
      <c r="K18" s="337">
        <v>-439.41699999999997</v>
      </c>
      <c r="L18" s="337">
        <v>1511.616</v>
      </c>
      <c r="M18" s="334">
        <v>563.41899999999998</v>
      </c>
      <c r="N18" s="335">
        <v>1002.836</v>
      </c>
      <c r="O18" s="336">
        <v>-948.197</v>
      </c>
      <c r="P18" s="337">
        <v>-439.41699999999997</v>
      </c>
      <c r="Q18" s="338">
        <v>1511.616</v>
      </c>
    </row>
    <row r="19" spans="2:17">
      <c r="B19" s="474" t="s">
        <v>203</v>
      </c>
      <c r="C19" s="340"/>
      <c r="D19" s="341"/>
      <c r="E19" s="342"/>
      <c r="F19" s="341"/>
      <c r="G19" s="341"/>
      <c r="H19" s="340"/>
      <c r="I19" s="341"/>
      <c r="J19" s="342"/>
      <c r="K19" s="343"/>
      <c r="L19" s="343"/>
      <c r="M19" s="340"/>
      <c r="N19" s="341"/>
      <c r="O19" s="342"/>
      <c r="P19" s="343"/>
      <c r="Q19" s="344"/>
    </row>
    <row r="20" spans="2:17">
      <c r="B20" s="473" t="s">
        <v>204</v>
      </c>
      <c r="C20" s="334">
        <f t="shared" ref="C20:Q20" si="1">SUM(C17:C19)</f>
        <v>4590.1646299999993</v>
      </c>
      <c r="D20" s="335">
        <f t="shared" si="1"/>
        <v>4788.3613999999998</v>
      </c>
      <c r="E20" s="336">
        <f t="shared" si="1"/>
        <v>3913.7978099999996</v>
      </c>
      <c r="F20" s="335">
        <f t="shared" si="1"/>
        <v>-198.19676999999999</v>
      </c>
      <c r="G20" s="335">
        <f t="shared" si="1"/>
        <v>676.36681999999996</v>
      </c>
      <c r="H20" s="334">
        <f t="shared" si="1"/>
        <v>9329.9720099999995</v>
      </c>
      <c r="I20" s="335">
        <f t="shared" si="1"/>
        <v>9544.5731999999989</v>
      </c>
      <c r="J20" s="336">
        <f t="shared" si="1"/>
        <v>8034.6635800000004</v>
      </c>
      <c r="K20" s="337">
        <f t="shared" si="1"/>
        <v>-214.60118999999997</v>
      </c>
      <c r="L20" s="337">
        <f t="shared" si="1"/>
        <v>1295.30843</v>
      </c>
      <c r="M20" s="334">
        <f t="shared" si="1"/>
        <v>9329.9720099999995</v>
      </c>
      <c r="N20" s="335">
        <f t="shared" si="1"/>
        <v>9544.5731999999989</v>
      </c>
      <c r="O20" s="336">
        <f t="shared" si="1"/>
        <v>8034.6635800000004</v>
      </c>
      <c r="P20" s="337">
        <f t="shared" si="1"/>
        <v>-214.60118999999997</v>
      </c>
      <c r="Q20" s="338">
        <f t="shared" si="1"/>
        <v>1295.30843</v>
      </c>
    </row>
    <row r="21" spans="2:17">
      <c r="B21" s="475" t="s">
        <v>205</v>
      </c>
      <c r="C21" s="334">
        <v>2106.18138</v>
      </c>
      <c r="D21" s="335">
        <v>3620.4568399999998</v>
      </c>
      <c r="E21" s="336">
        <v>831.15437999999995</v>
      </c>
      <c r="F21" s="335">
        <v>-1514.2754600000001</v>
      </c>
      <c r="G21" s="335">
        <v>1275.027</v>
      </c>
      <c r="H21" s="334">
        <v>5945.2542599999997</v>
      </c>
      <c r="I21" s="335">
        <v>7234.5171799999998</v>
      </c>
      <c r="J21" s="336">
        <v>4775.8742400000001</v>
      </c>
      <c r="K21" s="337">
        <v>-1289.2629199999999</v>
      </c>
      <c r="L21" s="337">
        <v>1169.3800200000001</v>
      </c>
      <c r="M21" s="334">
        <v>5945.2542599999997</v>
      </c>
      <c r="N21" s="335">
        <v>7234.5171799999998</v>
      </c>
      <c r="O21" s="336">
        <v>4775.8742400000001</v>
      </c>
      <c r="P21" s="337">
        <v>-1289.2629199999999</v>
      </c>
      <c r="Q21" s="338">
        <v>1169.3800200000001</v>
      </c>
    </row>
    <row r="22" spans="2:17">
      <c r="B22" s="475" t="s">
        <v>206</v>
      </c>
      <c r="C22" s="334">
        <v>3082.8760499999999</v>
      </c>
      <c r="D22" s="335">
        <v>3245.0877399999999</v>
      </c>
      <c r="E22" s="336">
        <v>2179.8055199999999</v>
      </c>
      <c r="F22" s="335">
        <v>-162.21169</v>
      </c>
      <c r="G22" s="335">
        <v>903.07052999999996</v>
      </c>
      <c r="H22" s="334">
        <v>6518.0350600000002</v>
      </c>
      <c r="I22" s="335">
        <v>7277.8891999999996</v>
      </c>
      <c r="J22" s="336">
        <v>6025.9012400000001</v>
      </c>
      <c r="K22" s="337">
        <v>-759.85414000000003</v>
      </c>
      <c r="L22" s="337">
        <v>492.13382000000001</v>
      </c>
      <c r="M22" s="334">
        <v>6518.0350600000002</v>
      </c>
      <c r="N22" s="335">
        <v>7277.8891999999996</v>
      </c>
      <c r="O22" s="336">
        <v>6025.9012400000001</v>
      </c>
      <c r="P22" s="337">
        <v>-759.85414000000003</v>
      </c>
      <c r="Q22" s="338">
        <v>492.13382000000001</v>
      </c>
    </row>
    <row r="23" spans="2:17">
      <c r="B23" s="475" t="s">
        <v>207</v>
      </c>
      <c r="C23" s="334">
        <v>0.754</v>
      </c>
      <c r="D23" s="335"/>
      <c r="E23" s="336">
        <v>1.1818</v>
      </c>
      <c r="F23" s="335">
        <v>0.754</v>
      </c>
      <c r="G23" s="335">
        <v>-0.42780000000000001</v>
      </c>
      <c r="H23" s="334">
        <v>0.754</v>
      </c>
      <c r="I23" s="335"/>
      <c r="J23" s="336">
        <v>10.8414</v>
      </c>
      <c r="K23" s="337">
        <v>0.754</v>
      </c>
      <c r="L23" s="337">
        <v>-10.087400000000001</v>
      </c>
      <c r="M23" s="334">
        <v>0.754</v>
      </c>
      <c r="N23" s="335"/>
      <c r="O23" s="336">
        <v>10.8414</v>
      </c>
      <c r="P23" s="337">
        <v>0.754</v>
      </c>
      <c r="Q23" s="338">
        <v>-10.087400000000001</v>
      </c>
    </row>
    <row r="24" spans="2:17">
      <c r="B24" s="475" t="s">
        <v>208</v>
      </c>
      <c r="C24" s="334">
        <v>2212.96965</v>
      </c>
      <c r="D24" s="335">
        <v>2483.4798000000001</v>
      </c>
      <c r="E24" s="336">
        <v>2394.70208</v>
      </c>
      <c r="F24" s="335">
        <v>-270.51015000000001</v>
      </c>
      <c r="G24" s="335">
        <v>-181.73242999999999</v>
      </c>
      <c r="H24" s="334">
        <v>4821.6978099999997</v>
      </c>
      <c r="I24" s="335">
        <v>5401.82</v>
      </c>
      <c r="J24" s="336">
        <v>5319.7266300000001</v>
      </c>
      <c r="K24" s="337">
        <v>-580.12219000000005</v>
      </c>
      <c r="L24" s="337">
        <v>-498.02882</v>
      </c>
      <c r="M24" s="334">
        <v>4821.6978099999997</v>
      </c>
      <c r="N24" s="335">
        <v>5401.82</v>
      </c>
      <c r="O24" s="336">
        <v>5319.7266300000001</v>
      </c>
      <c r="P24" s="337">
        <v>-580.12219000000005</v>
      </c>
      <c r="Q24" s="338">
        <v>-498.02882</v>
      </c>
    </row>
    <row r="25" spans="2:17">
      <c r="B25" s="472" t="s">
        <v>209</v>
      </c>
      <c r="C25" s="334">
        <v>2617.3715699999998</v>
      </c>
      <c r="D25" s="335">
        <v>2628.9239899999998</v>
      </c>
      <c r="E25" s="336">
        <v>2625.7580699999999</v>
      </c>
      <c r="F25" s="335">
        <v>-11.55242</v>
      </c>
      <c r="G25" s="335">
        <v>-8.3864999999999998</v>
      </c>
      <c r="H25" s="334">
        <v>5265.9505200000003</v>
      </c>
      <c r="I25" s="335">
        <v>5227.4899599999999</v>
      </c>
      <c r="J25" s="336">
        <v>4891.5052100000003</v>
      </c>
      <c r="K25" s="337">
        <v>38.460560000000001</v>
      </c>
      <c r="L25" s="337">
        <v>374.44531000000001</v>
      </c>
      <c r="M25" s="334">
        <v>5265.9505200000003</v>
      </c>
      <c r="N25" s="335">
        <v>5227.4899599999999</v>
      </c>
      <c r="O25" s="336">
        <v>4891.5052100000003</v>
      </c>
      <c r="P25" s="337">
        <v>38.460560000000001</v>
      </c>
      <c r="Q25" s="338">
        <v>374.44531000000001</v>
      </c>
    </row>
    <row r="26" spans="2:17">
      <c r="B26" s="474" t="s">
        <v>210</v>
      </c>
      <c r="C26" s="334"/>
      <c r="D26" s="348"/>
      <c r="E26" s="336"/>
      <c r="F26" s="348"/>
      <c r="G26" s="348"/>
      <c r="H26" s="334"/>
      <c r="I26" s="348"/>
      <c r="J26" s="336"/>
      <c r="K26" s="349"/>
      <c r="L26" s="349"/>
      <c r="M26" s="334"/>
      <c r="N26" s="348"/>
      <c r="O26" s="336"/>
      <c r="P26" s="349"/>
      <c r="Q26" s="338"/>
    </row>
    <row r="27" spans="2:17">
      <c r="B27" s="472" t="s">
        <v>211</v>
      </c>
      <c r="C27" s="334">
        <v>1387.53809</v>
      </c>
      <c r="D27" s="335">
        <v>1370.94</v>
      </c>
      <c r="E27" s="336">
        <v>1135.71101</v>
      </c>
      <c r="F27" s="335">
        <v>16.598089999999999</v>
      </c>
      <c r="G27" s="335">
        <v>251.82708</v>
      </c>
      <c r="H27" s="334">
        <v>1801.66329</v>
      </c>
      <c r="I27" s="335">
        <v>2659.6239999999998</v>
      </c>
      <c r="J27" s="336">
        <v>1971.3640499999999</v>
      </c>
      <c r="K27" s="337">
        <v>-857.96070999999995</v>
      </c>
      <c r="L27" s="337">
        <v>-169.70076</v>
      </c>
      <c r="M27" s="334">
        <v>1801.66329</v>
      </c>
      <c r="N27" s="335">
        <v>2659.6239999999998</v>
      </c>
      <c r="O27" s="336">
        <v>1971.3640499999999</v>
      </c>
      <c r="P27" s="337">
        <v>-857.96070999999995</v>
      </c>
      <c r="Q27" s="338">
        <v>-169.70076</v>
      </c>
    </row>
    <row r="28" spans="2:17">
      <c r="B28" s="472" t="s">
        <v>212</v>
      </c>
      <c r="C28" s="334"/>
      <c r="D28" s="335"/>
      <c r="E28" s="336"/>
      <c r="F28" s="335"/>
      <c r="G28" s="335"/>
      <c r="H28" s="334"/>
      <c r="I28" s="335"/>
      <c r="J28" s="336"/>
      <c r="K28" s="337"/>
      <c r="L28" s="337"/>
      <c r="M28" s="334"/>
      <c r="N28" s="335"/>
      <c r="O28" s="336"/>
      <c r="P28" s="337"/>
      <c r="Q28" s="338"/>
    </row>
    <row r="29" spans="2:17">
      <c r="B29" s="472" t="s">
        <v>213</v>
      </c>
      <c r="C29" s="334">
        <f>606.61895</f>
        <v>606.61895000000004</v>
      </c>
      <c r="D29" s="335">
        <v>316.56268999999998</v>
      </c>
      <c r="E29" s="336">
        <v>492.62061</v>
      </c>
      <c r="F29" s="335">
        <v>290.05626000000001</v>
      </c>
      <c r="G29" s="335">
        <v>113.99834</v>
      </c>
      <c r="H29" s="334">
        <v>1106.9570799999999</v>
      </c>
      <c r="I29" s="335">
        <v>536.73554000000001</v>
      </c>
      <c r="J29" s="336">
        <v>841.00022000000001</v>
      </c>
      <c r="K29" s="337">
        <v>570.22154</v>
      </c>
      <c r="L29" s="337">
        <v>265.95686000000001</v>
      </c>
      <c r="M29" s="334">
        <v>1106.9570799999999</v>
      </c>
      <c r="N29" s="335">
        <v>536.73554000000001</v>
      </c>
      <c r="O29" s="336">
        <v>841.00022000000001</v>
      </c>
      <c r="P29" s="337">
        <v>570.22154</v>
      </c>
      <c r="Q29" s="338">
        <v>265.95686000000001</v>
      </c>
    </row>
    <row r="30" spans="2:17">
      <c r="B30" s="472" t="s">
        <v>214</v>
      </c>
      <c r="C30" s="334"/>
      <c r="D30" s="335"/>
      <c r="E30" s="336"/>
      <c r="F30" s="335"/>
      <c r="G30" s="335"/>
      <c r="H30" s="334"/>
      <c r="I30" s="335"/>
      <c r="J30" s="336"/>
      <c r="K30" s="337"/>
      <c r="L30" s="337"/>
      <c r="M30" s="334"/>
      <c r="N30" s="335"/>
      <c r="O30" s="336"/>
      <c r="P30" s="337"/>
      <c r="Q30" s="338"/>
    </row>
    <row r="31" spans="2:17" ht="20.25" customHeight="1">
      <c r="B31" s="476" t="s">
        <v>215</v>
      </c>
      <c r="C31" s="351">
        <f t="shared" ref="C31:Q31" si="2">SUM(C21:C30)</f>
        <v>12014.30969</v>
      </c>
      <c r="D31" s="352">
        <f t="shared" si="2"/>
        <v>13665.451059999999</v>
      </c>
      <c r="E31" s="353">
        <f t="shared" si="2"/>
        <v>9660.9334699999981</v>
      </c>
      <c r="F31" s="352">
        <f t="shared" si="2"/>
        <v>-1651.1413700000003</v>
      </c>
      <c r="G31" s="352">
        <f t="shared" si="2"/>
        <v>2353.3762200000001</v>
      </c>
      <c r="H31" s="351">
        <f t="shared" si="2"/>
        <v>25460.312020000001</v>
      </c>
      <c r="I31" s="352">
        <f t="shared" si="2"/>
        <v>28338.07588</v>
      </c>
      <c r="J31" s="353">
        <f t="shared" si="2"/>
        <v>23836.21299</v>
      </c>
      <c r="K31" s="354">
        <f t="shared" si="2"/>
        <v>-2877.76386</v>
      </c>
      <c r="L31" s="354">
        <f t="shared" si="2"/>
        <v>1624.0990300000003</v>
      </c>
      <c r="M31" s="351">
        <f t="shared" si="2"/>
        <v>25460.312020000001</v>
      </c>
      <c r="N31" s="352">
        <f t="shared" si="2"/>
        <v>28338.07588</v>
      </c>
      <c r="O31" s="353">
        <f t="shared" si="2"/>
        <v>23836.21299</v>
      </c>
      <c r="P31" s="354">
        <f t="shared" si="2"/>
        <v>-2877.76386</v>
      </c>
      <c r="Q31" s="355">
        <f t="shared" si="2"/>
        <v>1624.0990300000003</v>
      </c>
    </row>
    <row r="32" spans="2:17" ht="13.8">
      <c r="B32" s="476" t="s">
        <v>216</v>
      </c>
      <c r="C32" s="334">
        <f t="shared" ref="C32:Q32" si="3">C16+C20+C31</f>
        <v>315937.02418000001</v>
      </c>
      <c r="D32" s="335">
        <f t="shared" si="3"/>
        <v>306506.46527999995</v>
      </c>
      <c r="E32" s="336">
        <f t="shared" si="3"/>
        <v>283596.96025</v>
      </c>
      <c r="F32" s="335">
        <f t="shared" si="3"/>
        <v>9430.5589</v>
      </c>
      <c r="G32" s="335">
        <f t="shared" si="3"/>
        <v>32340.063929999997</v>
      </c>
      <c r="H32" s="334">
        <f t="shared" si="3"/>
        <v>639331.94536999997</v>
      </c>
      <c r="I32" s="335">
        <f t="shared" si="3"/>
        <v>646909.36523000011</v>
      </c>
      <c r="J32" s="336">
        <f t="shared" si="3"/>
        <v>604040.52709000011</v>
      </c>
      <c r="K32" s="337">
        <f t="shared" si="3"/>
        <v>-7577.4198600000018</v>
      </c>
      <c r="L32" s="337">
        <f t="shared" si="3"/>
        <v>35291.418279999998</v>
      </c>
      <c r="M32" s="334">
        <f t="shared" si="3"/>
        <v>639331.94536999997</v>
      </c>
      <c r="N32" s="335">
        <f t="shared" si="3"/>
        <v>646909.36523000011</v>
      </c>
      <c r="O32" s="336">
        <f t="shared" si="3"/>
        <v>604040.52709000011</v>
      </c>
      <c r="P32" s="337">
        <f t="shared" si="3"/>
        <v>-7577.4198600000018</v>
      </c>
      <c r="Q32" s="338">
        <f t="shared" si="3"/>
        <v>35291.418279999998</v>
      </c>
    </row>
    <row r="33" spans="2:17">
      <c r="B33" s="474" t="s">
        <v>217</v>
      </c>
      <c r="C33" s="334">
        <v>256160.98545000001</v>
      </c>
      <c r="D33" s="335">
        <v>275546.62575000001</v>
      </c>
      <c r="E33" s="336">
        <v>291399.91561000003</v>
      </c>
      <c r="F33" s="335">
        <v>-19385.640299999999</v>
      </c>
      <c r="G33" s="335">
        <v>-35238.930160000004</v>
      </c>
      <c r="H33" s="334">
        <v>546919.62331000005</v>
      </c>
      <c r="I33" s="335">
        <v>590921.3223</v>
      </c>
      <c r="J33" s="336">
        <v>641308.40382999997</v>
      </c>
      <c r="K33" s="337">
        <v>-44001.698989999997</v>
      </c>
      <c r="L33" s="337">
        <v>-94388.78052</v>
      </c>
      <c r="M33" s="334">
        <v>546919.62331000005</v>
      </c>
      <c r="N33" s="335">
        <v>590921.3223</v>
      </c>
      <c r="O33" s="336">
        <v>641308.40382999997</v>
      </c>
      <c r="P33" s="337">
        <v>-44001.698989999997</v>
      </c>
      <c r="Q33" s="338">
        <v>-94388.78052</v>
      </c>
    </row>
    <row r="34" spans="2:17">
      <c r="B34" s="474" t="s">
        <v>218</v>
      </c>
      <c r="C34" s="334"/>
      <c r="D34" s="335"/>
      <c r="E34" s="336"/>
      <c r="F34" s="335"/>
      <c r="G34" s="335"/>
      <c r="H34" s="334"/>
      <c r="I34" s="335"/>
      <c r="J34" s="336"/>
      <c r="K34" s="337"/>
      <c r="L34" s="337"/>
      <c r="M34" s="334"/>
      <c r="N34" s="335"/>
      <c r="O34" s="336"/>
      <c r="P34" s="337"/>
      <c r="Q34" s="338"/>
    </row>
    <row r="35" spans="2:17">
      <c r="B35" s="472" t="s">
        <v>219</v>
      </c>
      <c r="C35" s="334">
        <v>1895.7638400000001</v>
      </c>
      <c r="D35" s="335">
        <v>3053.4513900000002</v>
      </c>
      <c r="E35" s="336">
        <v>2197.4288499999998</v>
      </c>
      <c r="F35" s="335">
        <v>-1157.6875500000001</v>
      </c>
      <c r="G35" s="335">
        <v>-301.66501</v>
      </c>
      <c r="H35" s="334">
        <v>3838.2152299999998</v>
      </c>
      <c r="I35" s="335">
        <v>7633.34897</v>
      </c>
      <c r="J35" s="336">
        <v>7533.34494</v>
      </c>
      <c r="K35" s="337">
        <v>-3795.1337400000002</v>
      </c>
      <c r="L35" s="337">
        <v>-3695.1297100000002</v>
      </c>
      <c r="M35" s="334">
        <v>3838.2152299999998</v>
      </c>
      <c r="N35" s="335">
        <v>7633.34897</v>
      </c>
      <c r="O35" s="336">
        <v>7533.34494</v>
      </c>
      <c r="P35" s="337">
        <v>-3795.1337400000002</v>
      </c>
      <c r="Q35" s="338">
        <v>-3695.1297100000002</v>
      </c>
    </row>
    <row r="36" spans="2:17">
      <c r="B36" s="472" t="s">
        <v>220</v>
      </c>
      <c r="C36" s="334"/>
      <c r="D36" s="335">
        <v>-7169.0745399999996</v>
      </c>
      <c r="E36" s="336"/>
      <c r="F36" s="335">
        <v>7169.0745399999996</v>
      </c>
      <c r="G36" s="335"/>
      <c r="H36" s="334"/>
      <c r="I36" s="335">
        <v>-7169.0745399999996</v>
      </c>
      <c r="J36" s="336"/>
      <c r="K36" s="337">
        <v>7169.0745399999996</v>
      </c>
      <c r="L36" s="337"/>
      <c r="M36" s="334"/>
      <c r="N36" s="335">
        <v>-7169.0745399999996</v>
      </c>
      <c r="O36" s="336"/>
      <c r="P36" s="337">
        <v>7169.0745399999996</v>
      </c>
      <c r="Q36" s="338"/>
    </row>
    <row r="37" spans="2:17">
      <c r="B37" s="475" t="s">
        <v>221</v>
      </c>
      <c r="C37" s="340">
        <v>63.946890000000003</v>
      </c>
      <c r="D37" s="341"/>
      <c r="E37" s="342">
        <v>-142.08731</v>
      </c>
      <c r="F37" s="341">
        <v>63.946890000000003</v>
      </c>
      <c r="G37" s="341">
        <v>206.0342</v>
      </c>
      <c r="H37" s="340">
        <v>-9.2047299999999996</v>
      </c>
      <c r="I37" s="341"/>
      <c r="J37" s="342">
        <v>632.04681000000005</v>
      </c>
      <c r="K37" s="343">
        <v>-9.2047299999999996</v>
      </c>
      <c r="L37" s="343">
        <v>-641.25153999999998</v>
      </c>
      <c r="M37" s="340">
        <v>-9.2047299999999996</v>
      </c>
      <c r="N37" s="341"/>
      <c r="O37" s="342">
        <v>632.04681000000005</v>
      </c>
      <c r="P37" s="343">
        <v>-9.2047299999999996</v>
      </c>
      <c r="Q37" s="344">
        <v>-641.25153999999998</v>
      </c>
    </row>
    <row r="38" spans="2:17" ht="20.25" customHeight="1">
      <c r="B38" s="477" t="s">
        <v>222</v>
      </c>
      <c r="C38" s="334">
        <v>258120.69618</v>
      </c>
      <c r="D38" s="335">
        <v>271431.00260000001</v>
      </c>
      <c r="E38" s="336">
        <v>293455.25715000002</v>
      </c>
      <c r="F38" s="335">
        <v>-13310.306420000001</v>
      </c>
      <c r="G38" s="335">
        <v>-35334.560969999999</v>
      </c>
      <c r="H38" s="334">
        <v>550748.63381000003</v>
      </c>
      <c r="I38" s="335">
        <v>591385.59672999999</v>
      </c>
      <c r="J38" s="336">
        <v>649473.79558000003</v>
      </c>
      <c r="K38" s="337">
        <v>-40636.962919999998</v>
      </c>
      <c r="L38" s="337">
        <v>-98725.161770000006</v>
      </c>
      <c r="M38" s="334">
        <v>550748.63381000003</v>
      </c>
      <c r="N38" s="335">
        <v>591385.59672999999</v>
      </c>
      <c r="O38" s="336">
        <v>649473.79558000003</v>
      </c>
      <c r="P38" s="337">
        <v>-40636.962919999998</v>
      </c>
      <c r="Q38" s="338">
        <v>-98725.161770000006</v>
      </c>
    </row>
    <row r="39" spans="2:17">
      <c r="B39" s="472" t="s">
        <v>223</v>
      </c>
      <c r="C39" s="334">
        <v>59781.48504</v>
      </c>
      <c r="D39" s="335">
        <v>50893.471530000003</v>
      </c>
      <c r="E39" s="336">
        <v>41401.8649</v>
      </c>
      <c r="F39" s="335">
        <v>8888.0135100000007</v>
      </c>
      <c r="G39" s="335">
        <v>18379.620139999999</v>
      </c>
      <c r="H39" s="334">
        <v>125633.40153</v>
      </c>
      <c r="I39" s="335">
        <v>109455.5154</v>
      </c>
      <c r="J39" s="336">
        <v>89610.77029</v>
      </c>
      <c r="K39" s="337">
        <v>16177.886130000001</v>
      </c>
      <c r="L39" s="337">
        <v>36022.631240000002</v>
      </c>
      <c r="M39" s="334">
        <v>125633.40153</v>
      </c>
      <c r="N39" s="335">
        <v>109455.5154</v>
      </c>
      <c r="O39" s="336">
        <v>89610.77029</v>
      </c>
      <c r="P39" s="337">
        <v>16177.886130000001</v>
      </c>
      <c r="Q39" s="338">
        <v>36022.631240000002</v>
      </c>
    </row>
    <row r="40" spans="2:17">
      <c r="B40" s="472" t="s">
        <v>224</v>
      </c>
      <c r="C40" s="334">
        <v>-11425.33556</v>
      </c>
      <c r="D40" s="335"/>
      <c r="E40" s="336"/>
      <c r="F40" s="335">
        <v>-11425.33556</v>
      </c>
      <c r="G40" s="335">
        <v>-11425.33556</v>
      </c>
      <c r="H40" s="334">
        <v>-23917.394919999999</v>
      </c>
      <c r="I40" s="335"/>
      <c r="J40" s="336"/>
      <c r="K40" s="337">
        <v>-23917.394919999999</v>
      </c>
      <c r="L40" s="337">
        <v>-23917.394919999999</v>
      </c>
      <c r="M40" s="334">
        <v>-23917.394919999999</v>
      </c>
      <c r="N40" s="335"/>
      <c r="O40" s="336"/>
      <c r="P40" s="337">
        <v>-23917.394919999999</v>
      </c>
      <c r="Q40" s="338">
        <v>-23917.394919999999</v>
      </c>
    </row>
    <row r="41" spans="2:17">
      <c r="B41" s="472" t="s">
        <v>225</v>
      </c>
      <c r="C41" s="334">
        <v>189.24753999999999</v>
      </c>
      <c r="D41" s="335">
        <v>251.12253999999999</v>
      </c>
      <c r="E41" s="336">
        <v>165.33761999999999</v>
      </c>
      <c r="F41" s="335">
        <v>-61.875</v>
      </c>
      <c r="G41" s="335">
        <v>23.90992</v>
      </c>
      <c r="H41" s="334">
        <v>372.66381000000001</v>
      </c>
      <c r="I41" s="335">
        <v>606.36944000000005</v>
      </c>
      <c r="J41" s="336">
        <v>589.15904</v>
      </c>
      <c r="K41" s="337">
        <v>-233.70563000000001</v>
      </c>
      <c r="L41" s="337">
        <v>-216.49522999999999</v>
      </c>
      <c r="M41" s="334">
        <v>372.66381000000001</v>
      </c>
      <c r="N41" s="335">
        <v>606.36944000000005</v>
      </c>
      <c r="O41" s="336">
        <v>589.15904</v>
      </c>
      <c r="P41" s="337">
        <v>-233.70563000000001</v>
      </c>
      <c r="Q41" s="338">
        <v>-216.49522999999999</v>
      </c>
    </row>
    <row r="42" spans="2:17">
      <c r="B42" s="475" t="s">
        <v>226</v>
      </c>
      <c r="C42" s="340"/>
      <c r="D42" s="341"/>
      <c r="E42" s="342"/>
      <c r="F42" s="341"/>
      <c r="G42" s="341"/>
      <c r="H42" s="340"/>
      <c r="I42" s="341"/>
      <c r="J42" s="342"/>
      <c r="K42" s="343"/>
      <c r="L42" s="343"/>
      <c r="M42" s="340"/>
      <c r="N42" s="341"/>
      <c r="O42" s="342"/>
      <c r="P42" s="343"/>
      <c r="Q42" s="344"/>
    </row>
    <row r="43" spans="2:17" ht="20.25" customHeight="1">
      <c r="B43" s="477" t="s">
        <v>227</v>
      </c>
      <c r="C43" s="334">
        <v>48545.397019999997</v>
      </c>
      <c r="D43" s="335">
        <v>51144.594069999999</v>
      </c>
      <c r="E43" s="336">
        <v>41567.202519999999</v>
      </c>
      <c r="F43" s="335">
        <v>-2599.1970500000002</v>
      </c>
      <c r="G43" s="335">
        <v>6978.1944999999996</v>
      </c>
      <c r="H43" s="334">
        <v>102088.67041999999</v>
      </c>
      <c r="I43" s="335">
        <v>110061.88484</v>
      </c>
      <c r="J43" s="336">
        <v>90199.929329999999</v>
      </c>
      <c r="K43" s="337">
        <v>-7973.2144200000002</v>
      </c>
      <c r="L43" s="337">
        <v>11888.74109</v>
      </c>
      <c r="M43" s="334">
        <v>102088.67041999999</v>
      </c>
      <c r="N43" s="335">
        <v>110061.88484</v>
      </c>
      <c r="O43" s="336">
        <v>90199.929329999999</v>
      </c>
      <c r="P43" s="337">
        <v>-7973.2144200000002</v>
      </c>
      <c r="Q43" s="338">
        <v>11888.74109</v>
      </c>
    </row>
    <row r="44" spans="2:17">
      <c r="B44" s="472" t="s">
        <v>228</v>
      </c>
      <c r="C44" s="334">
        <v>13970.52469</v>
      </c>
      <c r="D44" s="335">
        <v>12305.430679999999</v>
      </c>
      <c r="E44" s="336">
        <v>8181.3108599999996</v>
      </c>
      <c r="F44" s="335">
        <v>1665.09401</v>
      </c>
      <c r="G44" s="335">
        <v>5789.2138299999997</v>
      </c>
      <c r="H44" s="334">
        <v>29419.527719999998</v>
      </c>
      <c r="I44" s="335">
        <v>27550.263920000001</v>
      </c>
      <c r="J44" s="336">
        <v>18083.965349999999</v>
      </c>
      <c r="K44" s="337">
        <v>1869.2637999999999</v>
      </c>
      <c r="L44" s="337">
        <v>11335.56237</v>
      </c>
      <c r="M44" s="334">
        <v>29419.527719999998</v>
      </c>
      <c r="N44" s="335">
        <v>27550.263920000001</v>
      </c>
      <c r="O44" s="336">
        <v>18083.965349999999</v>
      </c>
      <c r="P44" s="337">
        <v>1869.2637999999999</v>
      </c>
      <c r="Q44" s="338">
        <v>11335.56237</v>
      </c>
    </row>
    <row r="45" spans="2:17">
      <c r="B45" s="475" t="s">
        <v>229</v>
      </c>
      <c r="C45" s="340"/>
      <c r="D45" s="341">
        <v>0</v>
      </c>
      <c r="E45" s="342"/>
      <c r="F45" s="341">
        <v>0</v>
      </c>
      <c r="G45" s="341"/>
      <c r="H45" s="340"/>
      <c r="I45" s="341">
        <v>0</v>
      </c>
      <c r="J45" s="342"/>
      <c r="K45" s="343">
        <v>0</v>
      </c>
      <c r="L45" s="343"/>
      <c r="M45" s="340"/>
      <c r="N45" s="341">
        <v>0</v>
      </c>
      <c r="O45" s="342"/>
      <c r="P45" s="343">
        <v>0</v>
      </c>
      <c r="Q45" s="344"/>
    </row>
    <row r="46" spans="2:17" ht="20.25" customHeight="1">
      <c r="B46" s="477" t="s">
        <v>230</v>
      </c>
      <c r="C46" s="334">
        <v>13970.52469</v>
      </c>
      <c r="D46" s="335">
        <v>12305.430679999999</v>
      </c>
      <c r="E46" s="336">
        <v>8181.3108599999996</v>
      </c>
      <c r="F46" s="335">
        <v>1665.09401</v>
      </c>
      <c r="G46" s="335">
        <v>5789.2138299999997</v>
      </c>
      <c r="H46" s="334">
        <v>29419.527719999998</v>
      </c>
      <c r="I46" s="335">
        <v>27550.263920000001</v>
      </c>
      <c r="J46" s="336">
        <v>18083.965349999999</v>
      </c>
      <c r="K46" s="337">
        <v>1869.2637999999999</v>
      </c>
      <c r="L46" s="337">
        <v>11335.56237</v>
      </c>
      <c r="M46" s="334">
        <v>29419.527719999998</v>
      </c>
      <c r="N46" s="335">
        <v>27550.263920000001</v>
      </c>
      <c r="O46" s="336">
        <v>18083.965349999999</v>
      </c>
      <c r="P46" s="337">
        <v>1869.2637999999999</v>
      </c>
      <c r="Q46" s="338">
        <v>11335.56237</v>
      </c>
    </row>
    <row r="47" spans="2:17">
      <c r="B47" s="472" t="s">
        <v>231</v>
      </c>
      <c r="C47" s="334">
        <v>11675.77989</v>
      </c>
      <c r="D47" s="335">
        <v>12415.29329</v>
      </c>
      <c r="E47" s="336">
        <v>11523.70911</v>
      </c>
      <c r="F47" s="335">
        <v>-739.51340000000005</v>
      </c>
      <c r="G47" s="335">
        <v>152.07078000000001</v>
      </c>
      <c r="H47" s="334">
        <v>24907.766510000001</v>
      </c>
      <c r="I47" s="335">
        <v>26701.30932</v>
      </c>
      <c r="J47" s="336">
        <v>25308.667010000001</v>
      </c>
      <c r="K47" s="337">
        <v>-1793.5428099999999</v>
      </c>
      <c r="L47" s="337">
        <v>-400.90050000000002</v>
      </c>
      <c r="M47" s="334">
        <v>24907.766510000001</v>
      </c>
      <c r="N47" s="335">
        <v>26701.30932</v>
      </c>
      <c r="O47" s="336">
        <v>25308.667010000001</v>
      </c>
      <c r="P47" s="337">
        <v>-1793.5428099999999</v>
      </c>
      <c r="Q47" s="338">
        <v>-400.90050000000002</v>
      </c>
    </row>
    <row r="48" spans="2:17">
      <c r="B48" s="475" t="s">
        <v>232</v>
      </c>
      <c r="C48" s="340">
        <v>2744.9074900000001</v>
      </c>
      <c r="D48" s="341">
        <v>2189.2596100000001</v>
      </c>
      <c r="E48" s="342">
        <v>1837.0931499999999</v>
      </c>
      <c r="F48" s="341">
        <v>555.64787999999999</v>
      </c>
      <c r="G48" s="341">
        <v>907.81434000000002</v>
      </c>
      <c r="H48" s="340">
        <v>4390.3119500000003</v>
      </c>
      <c r="I48" s="341">
        <v>2825.5620399999998</v>
      </c>
      <c r="J48" s="342">
        <v>1739.80043</v>
      </c>
      <c r="K48" s="343">
        <v>1564.74991</v>
      </c>
      <c r="L48" s="343">
        <v>2650.51152</v>
      </c>
      <c r="M48" s="340">
        <v>4390.3119500000003</v>
      </c>
      <c r="N48" s="341">
        <v>2825.5620399999998</v>
      </c>
      <c r="O48" s="342">
        <v>1739.80043</v>
      </c>
      <c r="P48" s="343">
        <v>1564.74991</v>
      </c>
      <c r="Q48" s="344">
        <v>2650.51152</v>
      </c>
    </row>
    <row r="49" spans="2:17" ht="20.25" customHeight="1">
      <c r="B49" s="477" t="s">
        <v>233</v>
      </c>
      <c r="C49" s="334">
        <v>14420.687379999999</v>
      </c>
      <c r="D49" s="335">
        <v>14604.552900000001</v>
      </c>
      <c r="E49" s="336">
        <v>13360.80226</v>
      </c>
      <c r="F49" s="335">
        <v>-183.86552</v>
      </c>
      <c r="G49" s="335">
        <v>1059.8851199999999</v>
      </c>
      <c r="H49" s="334">
        <v>29298.078460000001</v>
      </c>
      <c r="I49" s="335">
        <v>29526.871360000001</v>
      </c>
      <c r="J49" s="336">
        <v>27048.46744</v>
      </c>
      <c r="K49" s="337">
        <v>-228.7929</v>
      </c>
      <c r="L49" s="337">
        <v>2249.6110199999998</v>
      </c>
      <c r="M49" s="334">
        <v>29298.078460000001</v>
      </c>
      <c r="N49" s="335">
        <v>29526.871360000001</v>
      </c>
      <c r="O49" s="336">
        <v>27048.46744</v>
      </c>
      <c r="P49" s="337">
        <v>-228.7929</v>
      </c>
      <c r="Q49" s="338">
        <v>2249.6110199999998</v>
      </c>
    </row>
    <row r="50" spans="2:17" ht="13.8">
      <c r="B50" s="478" t="s">
        <v>234</v>
      </c>
      <c r="C50" s="334">
        <v>6320.6307900000002</v>
      </c>
      <c r="D50" s="335">
        <v>7371.7279500000004</v>
      </c>
      <c r="E50" s="336">
        <v>6867.3185999999996</v>
      </c>
      <c r="F50" s="335">
        <v>-1051.09716</v>
      </c>
      <c r="G50" s="335">
        <v>-546.68781000000001</v>
      </c>
      <c r="H50" s="334">
        <v>13483.390520000001</v>
      </c>
      <c r="I50" s="335">
        <v>15177.3717</v>
      </c>
      <c r="J50" s="336">
        <v>15156.9519</v>
      </c>
      <c r="K50" s="337">
        <v>-1693.98118</v>
      </c>
      <c r="L50" s="337">
        <v>-1673.5613800000001</v>
      </c>
      <c r="M50" s="334">
        <v>13483.390520000001</v>
      </c>
      <c r="N50" s="335">
        <v>15177.3717</v>
      </c>
      <c r="O50" s="336">
        <v>15156.9519</v>
      </c>
      <c r="P50" s="337">
        <v>-1693.98118</v>
      </c>
      <c r="Q50" s="338">
        <v>-1673.5613800000001</v>
      </c>
    </row>
    <row r="51" spans="2:17" ht="13.8">
      <c r="B51" s="478" t="s">
        <v>235</v>
      </c>
      <c r="C51" s="334">
        <v>15828.28047</v>
      </c>
      <c r="D51" s="335">
        <v>16740.348989999999</v>
      </c>
      <c r="E51" s="336">
        <v>16095.541939999999</v>
      </c>
      <c r="F51" s="335">
        <v>-912.06852000000003</v>
      </c>
      <c r="G51" s="335">
        <v>-267.26146999999997</v>
      </c>
      <c r="H51" s="334">
        <v>33587.948759999999</v>
      </c>
      <c r="I51" s="335">
        <v>35955.276590000001</v>
      </c>
      <c r="J51" s="336">
        <v>35322.071219999998</v>
      </c>
      <c r="K51" s="337">
        <v>-2367.3278300000002</v>
      </c>
      <c r="L51" s="337">
        <v>-1734.12246</v>
      </c>
      <c r="M51" s="334">
        <v>33587.948759999999</v>
      </c>
      <c r="N51" s="335">
        <v>35955.276590000001</v>
      </c>
      <c r="O51" s="336">
        <v>35322.071219999998</v>
      </c>
      <c r="P51" s="337">
        <v>-2367.3278300000002</v>
      </c>
      <c r="Q51" s="338">
        <v>-1734.12246</v>
      </c>
    </row>
    <row r="52" spans="2:17" ht="13.8">
      <c r="B52" s="358" t="s">
        <v>236</v>
      </c>
      <c r="C52" s="340">
        <v>30865.157459999999</v>
      </c>
      <c r="D52" s="341">
        <v>31946.309809999999</v>
      </c>
      <c r="E52" s="342">
        <v>31090.09087</v>
      </c>
      <c r="F52" s="341">
        <v>-1081.1523500000001</v>
      </c>
      <c r="G52" s="341">
        <v>-224.93341000000001</v>
      </c>
      <c r="H52" s="340">
        <v>65343.984219999998</v>
      </c>
      <c r="I52" s="341">
        <v>68576.651249999995</v>
      </c>
      <c r="J52" s="342">
        <v>68007.198369999998</v>
      </c>
      <c r="K52" s="343">
        <v>-3232.6670300000001</v>
      </c>
      <c r="L52" s="343">
        <v>-2663.2141499999998</v>
      </c>
      <c r="M52" s="340">
        <v>65343.984219999998</v>
      </c>
      <c r="N52" s="341">
        <v>68576.651249999995</v>
      </c>
      <c r="O52" s="342">
        <v>68007.198369999998</v>
      </c>
      <c r="P52" s="343">
        <v>-3232.6670300000001</v>
      </c>
      <c r="Q52" s="344">
        <v>-2663.2141499999998</v>
      </c>
    </row>
    <row r="53" spans="2:17" ht="13.8">
      <c r="B53" s="358" t="s">
        <v>237</v>
      </c>
      <c r="C53" s="334">
        <f t="shared" ref="C53:Q53" si="4">C43+C46+C49+C50+C51+C52</f>
        <v>129950.67780999999</v>
      </c>
      <c r="D53" s="335">
        <f t="shared" si="4"/>
        <v>134112.9644</v>
      </c>
      <c r="E53" s="336">
        <f t="shared" si="4"/>
        <v>117162.26704999999</v>
      </c>
      <c r="F53" s="335">
        <f t="shared" si="4"/>
        <v>-4162.2865900000006</v>
      </c>
      <c r="G53" s="335">
        <f t="shared" si="4"/>
        <v>12788.410759999999</v>
      </c>
      <c r="H53" s="334">
        <f t="shared" si="4"/>
        <v>273221.60009999998</v>
      </c>
      <c r="I53" s="335">
        <f t="shared" si="4"/>
        <v>286848.31965999998</v>
      </c>
      <c r="J53" s="336">
        <f t="shared" si="4"/>
        <v>253818.58360999997</v>
      </c>
      <c r="K53" s="337">
        <f t="shared" si="4"/>
        <v>-13626.719560000001</v>
      </c>
      <c r="L53" s="337">
        <f t="shared" si="4"/>
        <v>19403.016490000002</v>
      </c>
      <c r="M53" s="334">
        <f t="shared" si="4"/>
        <v>273221.60009999998</v>
      </c>
      <c r="N53" s="335">
        <f t="shared" si="4"/>
        <v>286848.31965999998</v>
      </c>
      <c r="O53" s="336">
        <f t="shared" si="4"/>
        <v>253818.58360999997</v>
      </c>
      <c r="P53" s="337">
        <f t="shared" si="4"/>
        <v>-13626.719560000001</v>
      </c>
      <c r="Q53" s="338">
        <f t="shared" si="4"/>
        <v>19403.016490000002</v>
      </c>
    </row>
    <row r="54" spans="2:17" ht="13.8">
      <c r="B54" s="358" t="s">
        <v>238</v>
      </c>
      <c r="C54" s="334">
        <f t="shared" ref="C54:Q54" si="5">C38+C43+C46+C49+C50+C51+C52</f>
        <v>388071.37399000005</v>
      </c>
      <c r="D54" s="335">
        <f t="shared" si="5"/>
        <v>405543.96699999995</v>
      </c>
      <c r="E54" s="336">
        <f t="shared" si="5"/>
        <v>410617.5242000001</v>
      </c>
      <c r="F54" s="335">
        <f t="shared" si="5"/>
        <v>-17472.593010000001</v>
      </c>
      <c r="G54" s="335">
        <f t="shared" si="5"/>
        <v>-22546.150210000003</v>
      </c>
      <c r="H54" s="334">
        <f t="shared" si="5"/>
        <v>823970.23390999995</v>
      </c>
      <c r="I54" s="335">
        <f t="shared" si="5"/>
        <v>878233.91639000003</v>
      </c>
      <c r="J54" s="336">
        <f t="shared" si="5"/>
        <v>903292.37919000001</v>
      </c>
      <c r="K54" s="337">
        <f t="shared" si="5"/>
        <v>-54263.682479999996</v>
      </c>
      <c r="L54" s="337">
        <f t="shared" si="5"/>
        <v>-79322.145280000012</v>
      </c>
      <c r="M54" s="334">
        <f t="shared" si="5"/>
        <v>823970.23390999995</v>
      </c>
      <c r="N54" s="335">
        <f t="shared" si="5"/>
        <v>878233.91639000003</v>
      </c>
      <c r="O54" s="336">
        <f t="shared" si="5"/>
        <v>903292.37919000001</v>
      </c>
      <c r="P54" s="337">
        <f t="shared" si="5"/>
        <v>-54263.682479999996</v>
      </c>
      <c r="Q54" s="338">
        <f t="shared" si="5"/>
        <v>-79322.145280000012</v>
      </c>
    </row>
    <row r="55" spans="2:17" ht="19.5" customHeight="1" thickBot="1">
      <c r="B55" s="359" t="s">
        <v>239</v>
      </c>
      <c r="C55" s="360">
        <f t="shared" ref="C55:Q55" si="6">C32+C38+C43+C46+C49+C50+C51+C52</f>
        <v>704008.39817000006</v>
      </c>
      <c r="D55" s="361">
        <f t="shared" si="6"/>
        <v>712050.43227999983</v>
      </c>
      <c r="E55" s="362">
        <f t="shared" si="6"/>
        <v>694214.48444999999</v>
      </c>
      <c r="F55" s="361">
        <f t="shared" si="6"/>
        <v>-8042.0341100000023</v>
      </c>
      <c r="G55" s="361">
        <f t="shared" si="6"/>
        <v>9793.9137199999968</v>
      </c>
      <c r="H55" s="360">
        <f t="shared" si="6"/>
        <v>1463302.1792799998</v>
      </c>
      <c r="I55" s="361">
        <f t="shared" si="6"/>
        <v>1525143.28162</v>
      </c>
      <c r="J55" s="362">
        <f t="shared" si="6"/>
        <v>1507332.9062800002</v>
      </c>
      <c r="K55" s="363">
        <f t="shared" si="6"/>
        <v>-61841.102340000005</v>
      </c>
      <c r="L55" s="363">
        <f t="shared" si="6"/>
        <v>-44030.727000000014</v>
      </c>
      <c r="M55" s="360">
        <f t="shared" si="6"/>
        <v>1463302.1792799998</v>
      </c>
      <c r="N55" s="361">
        <f t="shared" si="6"/>
        <v>1525143.28162</v>
      </c>
      <c r="O55" s="362">
        <f t="shared" si="6"/>
        <v>1507332.9062800002</v>
      </c>
      <c r="P55" s="363">
        <f t="shared" si="6"/>
        <v>-61841.102340000005</v>
      </c>
      <c r="Q55" s="364">
        <f t="shared" si="6"/>
        <v>-44030.727000000014</v>
      </c>
    </row>
    <row r="56" spans="2:17" ht="13.8" thickTop="1">
      <c r="B56" s="365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313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</row>
    <row r="60" spans="2:17">
      <c r="B60" s="369" t="s">
        <v>249</v>
      </c>
      <c r="C60" s="370">
        <v>7127076.0449999999</v>
      </c>
      <c r="D60" s="371">
        <v>7464304.8700000001</v>
      </c>
      <c r="E60" s="372">
        <v>7081196.7249999996</v>
      </c>
      <c r="F60" s="371">
        <v>-337228.82500000001</v>
      </c>
      <c r="G60" s="371">
        <v>45879.32</v>
      </c>
      <c r="H60" s="370">
        <v>15141839.179</v>
      </c>
      <c r="I60" s="371">
        <v>16013491.710000001</v>
      </c>
      <c r="J60" s="372">
        <v>15471610.172</v>
      </c>
      <c r="K60" s="373">
        <v>-871652.53099999996</v>
      </c>
      <c r="L60" s="373">
        <v>-329770.99300000002</v>
      </c>
      <c r="M60" s="370">
        <v>15141839.179</v>
      </c>
      <c r="N60" s="371">
        <v>16013491.710000001</v>
      </c>
      <c r="O60" s="372">
        <v>15471610.172</v>
      </c>
      <c r="P60" s="373">
        <v>-871652.53099999996</v>
      </c>
      <c r="Q60" s="374">
        <v>-329770.99300000002</v>
      </c>
    </row>
    <row r="61" spans="2:17">
      <c r="B61" s="369" t="s">
        <v>250</v>
      </c>
      <c r="C61" s="375">
        <v>153279</v>
      </c>
      <c r="D61" s="373">
        <v>-487685.59</v>
      </c>
      <c r="E61" s="374">
        <v>-280394</v>
      </c>
      <c r="F61" s="373">
        <v>640964.59</v>
      </c>
      <c r="G61" s="373">
        <v>433673</v>
      </c>
      <c r="H61" s="375">
        <v>-341592</v>
      </c>
      <c r="I61" s="373">
        <v>-1248947.46</v>
      </c>
      <c r="J61" s="374">
        <v>-1089484</v>
      </c>
      <c r="K61" s="373">
        <v>907355.46</v>
      </c>
      <c r="L61" s="373">
        <v>747892</v>
      </c>
      <c r="M61" s="375">
        <v>-341592</v>
      </c>
      <c r="N61" s="373">
        <v>-1248947.46</v>
      </c>
      <c r="O61" s="374">
        <v>-1089484</v>
      </c>
      <c r="P61" s="373">
        <v>907355.46</v>
      </c>
      <c r="Q61" s="374">
        <v>747892</v>
      </c>
    </row>
    <row r="62" spans="2:17">
      <c r="B62" s="369" t="s">
        <v>251</v>
      </c>
      <c r="C62" s="375">
        <v>71890</v>
      </c>
      <c r="D62" s="373">
        <v>113654.72</v>
      </c>
      <c r="E62" s="374">
        <v>90816</v>
      </c>
      <c r="F62" s="373">
        <v>-41764.720000000001</v>
      </c>
      <c r="G62" s="373">
        <v>-18926</v>
      </c>
      <c r="H62" s="375">
        <v>140625</v>
      </c>
      <c r="I62" s="373">
        <v>261936.95</v>
      </c>
      <c r="J62" s="374">
        <v>263888</v>
      </c>
      <c r="K62" s="373">
        <v>-121311.95</v>
      </c>
      <c r="L62" s="373">
        <v>-123263</v>
      </c>
      <c r="M62" s="375">
        <v>140625</v>
      </c>
      <c r="N62" s="373">
        <v>261936.95</v>
      </c>
      <c r="O62" s="374">
        <v>263888</v>
      </c>
      <c r="P62" s="373">
        <v>-121311.95</v>
      </c>
      <c r="Q62" s="374">
        <v>-123263</v>
      </c>
    </row>
    <row r="63" spans="2:17" ht="13.8" thickBot="1">
      <c r="B63" s="376" t="s">
        <v>252</v>
      </c>
      <c r="C63" s="377">
        <v>7352245.0449999999</v>
      </c>
      <c r="D63" s="378">
        <v>7090274</v>
      </c>
      <c r="E63" s="379">
        <v>6891618.7249999996</v>
      </c>
      <c r="F63" s="378">
        <v>261971.04500000001</v>
      </c>
      <c r="G63" s="378">
        <v>460626.32</v>
      </c>
      <c r="H63" s="377">
        <v>14940872.179</v>
      </c>
      <c r="I63" s="378">
        <v>15026481.199999999</v>
      </c>
      <c r="J63" s="379">
        <v>14646014.172</v>
      </c>
      <c r="K63" s="380">
        <v>-85609.020999999993</v>
      </c>
      <c r="L63" s="380">
        <v>294858.00699999998</v>
      </c>
      <c r="M63" s="377">
        <v>14940872.179</v>
      </c>
      <c r="N63" s="378">
        <v>15026481.199999999</v>
      </c>
      <c r="O63" s="379">
        <v>14646014.172</v>
      </c>
      <c r="P63" s="380">
        <v>-85609.020999999993</v>
      </c>
      <c r="Q63" s="381">
        <v>294858.00699999998</v>
      </c>
    </row>
    <row r="64" spans="2:17" ht="13.8" thickTop="1">
      <c r="B64" s="382"/>
    </row>
    <row r="65" spans="2:17" ht="17.399999999999999">
      <c r="B65" s="383" t="s">
        <v>253</v>
      </c>
      <c r="C65" s="384">
        <f>C55</f>
        <v>704008.39817000006</v>
      </c>
      <c r="D65" s="384"/>
      <c r="E65" s="384">
        <f>E55</f>
        <v>694214.48444999999</v>
      </c>
      <c r="F65" s="384"/>
      <c r="G65" s="384">
        <f>G55</f>
        <v>9793.9137199999968</v>
      </c>
      <c r="H65" s="384">
        <f>H55</f>
        <v>1463302.1792799998</v>
      </c>
      <c r="I65" s="384"/>
      <c r="J65" s="384">
        <f>J55</f>
        <v>1507332.9062800002</v>
      </c>
      <c r="K65" s="384"/>
      <c r="L65" s="384">
        <f>L55</f>
        <v>-44030.727000000014</v>
      </c>
      <c r="M65" s="384">
        <f>M55</f>
        <v>1463302.1792799998</v>
      </c>
      <c r="N65" s="384"/>
      <c r="O65" s="384">
        <f>O55</f>
        <v>1507332.9062800002</v>
      </c>
      <c r="P65" s="384"/>
      <c r="Q65" s="384">
        <f>Q55</f>
        <v>-44030.727000000014</v>
      </c>
    </row>
    <row r="66" spans="2:17">
      <c r="B66" s="385"/>
      <c r="C66" s="160"/>
      <c r="D66" s="160"/>
      <c r="E66" s="160"/>
      <c r="F66" s="160"/>
      <c r="G66" s="386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2:17">
      <c r="B67" s="387"/>
      <c r="C67" s="388"/>
      <c r="D67" s="389"/>
      <c r="E67" s="389"/>
      <c r="F67" s="390"/>
      <c r="G67" s="391"/>
      <c r="H67" s="388"/>
      <c r="I67" s="392"/>
      <c r="J67" s="389"/>
      <c r="K67" s="390"/>
      <c r="L67" s="391"/>
      <c r="M67" s="388"/>
      <c r="N67" s="392"/>
      <c r="O67" s="389"/>
      <c r="P67" s="393"/>
      <c r="Q67" s="391"/>
    </row>
    <row r="68" spans="2:17">
      <c r="B68" s="480" t="s">
        <v>254</v>
      </c>
      <c r="C68" s="395">
        <f>-2.82938-132.67142</f>
        <v>-135.5008</v>
      </c>
      <c r="D68" s="396"/>
      <c r="E68" s="276">
        <f>[5]Prior!D68</f>
        <v>-120.75836000000001</v>
      </c>
      <c r="F68" s="397"/>
      <c r="G68" s="398">
        <f>C68-E68</f>
        <v>-14.742439999999988</v>
      </c>
      <c r="H68" s="399">
        <f>+[5]Actual!C68+[5]Actual!D68</f>
        <v>-261.28460999999999</v>
      </c>
      <c r="I68" s="276"/>
      <c r="J68" s="400">
        <f>[5]Prior!C68+[5]Prior!D68</f>
        <v>-234.12466000000001</v>
      </c>
      <c r="K68" s="398"/>
      <c r="L68" s="398">
        <f>H68-J68</f>
        <v>-27.159949999999981</v>
      </c>
      <c r="M68" s="399">
        <f>[5]Actual!O68</f>
        <v>-261.28460999999999</v>
      </c>
      <c r="N68" s="401"/>
      <c r="O68" s="402">
        <f>[5]Prior!C68+[5]Prior!D68</f>
        <v>-234.12466000000001</v>
      </c>
      <c r="P68" s="398"/>
      <c r="Q68" s="403">
        <f>M68-O68</f>
        <v>-27.159949999999981</v>
      </c>
    </row>
    <row r="69" spans="2:17">
      <c r="B69" s="480" t="s">
        <v>255</v>
      </c>
      <c r="C69" s="395">
        <v>0</v>
      </c>
      <c r="D69" s="396"/>
      <c r="E69" s="276">
        <f>[5]Prior!D69</f>
        <v>0</v>
      </c>
      <c r="F69" s="397"/>
      <c r="G69" s="398">
        <f>C69-E69</f>
        <v>0</v>
      </c>
      <c r="H69" s="399">
        <f>+[5]Actual!C69+[5]Actual!D69</f>
        <v>0</v>
      </c>
      <c r="I69" s="276"/>
      <c r="J69" s="400">
        <f>[5]Prior!C69+[5]Prior!D69</f>
        <v>0</v>
      </c>
      <c r="K69" s="398"/>
      <c r="L69" s="398">
        <f>H69-J69</f>
        <v>0</v>
      </c>
      <c r="M69" s="399">
        <f>[5]Actual!O69</f>
        <v>0</v>
      </c>
      <c r="N69" s="401"/>
      <c r="O69" s="402">
        <f>[5]Prior!C69+[5]Prior!D69</f>
        <v>0</v>
      </c>
      <c r="P69" s="398"/>
      <c r="Q69" s="403">
        <f>M69-O69</f>
        <v>0</v>
      </c>
    </row>
    <row r="70" spans="2:17">
      <c r="B70" s="480" t="s">
        <v>256</v>
      </c>
      <c r="C70" s="404">
        <f>-20.70512-246.28956</f>
        <v>-266.99468000000002</v>
      </c>
      <c r="D70" s="405"/>
      <c r="E70" s="276">
        <f>[5]Prior!D70</f>
        <v>-67.465559999999996</v>
      </c>
      <c r="F70" s="406"/>
      <c r="G70" s="398">
        <f>C70-E70</f>
        <v>-199.52912000000003</v>
      </c>
      <c r="H70" s="399">
        <f>+[5]Actual!C70+[5]Actual!D70</f>
        <v>-438.98320000000001</v>
      </c>
      <c r="I70" s="276"/>
      <c r="J70" s="400">
        <f>[5]Prior!C70+[5]Prior!D70</f>
        <v>-254.47039999999998</v>
      </c>
      <c r="K70" s="398"/>
      <c r="L70" s="398">
        <f>H70-J70</f>
        <v>-184.51280000000003</v>
      </c>
      <c r="M70" s="399">
        <f>[5]Actual!O70</f>
        <v>-438.98320000000001</v>
      </c>
      <c r="N70" s="401"/>
      <c r="O70" s="402">
        <f>[5]Prior!C70+[5]Prior!D70</f>
        <v>-254.47039999999998</v>
      </c>
      <c r="P70" s="398"/>
      <c r="Q70" s="403">
        <f>M70-O70</f>
        <v>-184.51280000000003</v>
      </c>
    </row>
    <row r="71" spans="2:17" ht="18" thickBot="1">
      <c r="B71" s="383" t="s">
        <v>257</v>
      </c>
      <c r="C71" s="407">
        <f>SUM(C65:C70)</f>
        <v>703605.90269000002</v>
      </c>
      <c r="D71" s="408"/>
      <c r="E71" s="409">
        <f>SUM(E65:E70)</f>
        <v>694026.26052999997</v>
      </c>
      <c r="F71" s="408"/>
      <c r="G71" s="409">
        <f>C71-E71</f>
        <v>9579.6421600000467</v>
      </c>
      <c r="H71" s="408">
        <f>SUM(H65:H70)</f>
        <v>1462601.9114699999</v>
      </c>
      <c r="I71" s="408"/>
      <c r="J71" s="409">
        <f>SUM(J65:J70)</f>
        <v>1506844.3112200003</v>
      </c>
      <c r="K71" s="408"/>
      <c r="L71" s="409">
        <f>H71-J71</f>
        <v>-44242.399750000332</v>
      </c>
      <c r="M71" s="407">
        <f>SUM(M65:M70)</f>
        <v>1462601.9114699999</v>
      </c>
      <c r="N71" s="408"/>
      <c r="O71" s="409">
        <f>SUM(O65:O70)</f>
        <v>1506844.3112200003</v>
      </c>
      <c r="P71" s="408"/>
      <c r="Q71" s="409">
        <f>M71-O71</f>
        <v>-44242.399750000332</v>
      </c>
    </row>
    <row r="72" spans="2:17" ht="13.8" thickTop="1">
      <c r="B72" s="382"/>
    </row>
    <row r="73" spans="2:17">
      <c r="B73" s="382"/>
      <c r="C73" s="481"/>
    </row>
    <row r="74" spans="2:17">
      <c r="B74" s="382"/>
    </row>
    <row r="75" spans="2:17">
      <c r="B75" s="410"/>
      <c r="C75" s="481"/>
    </row>
    <row r="76" spans="2:17">
      <c r="B76" s="382"/>
    </row>
    <row r="77" spans="2:17">
      <c r="B77" s="382"/>
    </row>
    <row r="78" spans="2:17">
      <c r="B78" s="382"/>
    </row>
    <row r="79" spans="2:17">
      <c r="B79" s="382"/>
    </row>
    <row r="80" spans="2:17">
      <c r="B80" s="410"/>
    </row>
    <row r="81" spans="2:2">
      <c r="B81" s="382"/>
    </row>
    <row r="82" spans="2:2">
      <c r="B82" s="382"/>
    </row>
    <row r="83" spans="2:2">
      <c r="B83" s="410"/>
    </row>
    <row r="84" spans="2:2">
      <c r="B84" s="382"/>
    </row>
    <row r="85" spans="2:2">
      <c r="B85" s="382"/>
    </row>
    <row r="86" spans="2:2">
      <c r="B86" s="410"/>
    </row>
    <row r="87" spans="2:2">
      <c r="B87" s="382"/>
    </row>
    <row r="88" spans="2:2">
      <c r="B88" s="382"/>
    </row>
    <row r="89" spans="2:2">
      <c r="B89" s="410"/>
    </row>
    <row r="90" spans="2:2">
      <c r="B90" s="382"/>
    </row>
    <row r="91" spans="2:2">
      <c r="B91" s="410"/>
    </row>
    <row r="92" spans="2:2">
      <c r="B92" s="365"/>
    </row>
    <row r="93" spans="2:2">
      <c r="B93" s="410"/>
    </row>
    <row r="94" spans="2:2">
      <c r="B94" s="365"/>
    </row>
    <row r="95" spans="2:2">
      <c r="B95" s="410"/>
    </row>
    <row r="96" spans="2:2">
      <c r="B96" s="365"/>
    </row>
  </sheetData>
  <mergeCells count="1">
    <mergeCell ref="B2:D2"/>
  </mergeCells>
  <phoneticPr fontId="2" type="noConversion"/>
  <printOptions horizontalCentered="1" vertic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96"/>
  <sheetViews>
    <sheetView showGridLines="0" zoomScale="75" zoomScaleNormal="75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RowHeight="13.2"/>
  <cols>
    <col min="1" max="1" width="2.109375" style="160" customWidth="1"/>
    <col min="2" max="2" width="45.5546875" customWidth="1"/>
    <col min="3" max="5" width="11.88671875" customWidth="1"/>
    <col min="6" max="6" width="11.33203125" customWidth="1"/>
    <col min="7" max="7" width="14" bestFit="1" customWidth="1"/>
    <col min="8" max="10" width="11.88671875" customWidth="1"/>
    <col min="11" max="11" width="12.88671875" bestFit="1" customWidth="1"/>
    <col min="12" max="12" width="11.33203125" customWidth="1"/>
    <col min="13" max="13" width="11.88671875" customWidth="1"/>
    <col min="14" max="14" width="14.5546875" bestFit="1" customWidth="1"/>
    <col min="15" max="15" width="11.6640625" customWidth="1"/>
    <col min="16" max="17" width="11.33203125" customWidth="1"/>
  </cols>
  <sheetData>
    <row r="1" spans="2:17" ht="58.5" customHeight="1">
      <c r="B1" s="781" t="s">
        <v>475</v>
      </c>
    </row>
    <row r="2" spans="2:17" s="160" customFormat="1" ht="22.8">
      <c r="B2" s="785" t="s">
        <v>178</v>
      </c>
      <c r="C2" s="785"/>
      <c r="D2" s="785"/>
      <c r="O2" s="160" t="str">
        <f>B6</f>
        <v>Last Refreshed</v>
      </c>
      <c r="P2" s="160" t="str">
        <f>C6</f>
        <v>4/5/2012 10:39:23</v>
      </c>
    </row>
    <row r="3" spans="2:17" s="160" customFormat="1" ht="22.8">
      <c r="B3" s="314" t="s">
        <v>179</v>
      </c>
      <c r="C3" s="313"/>
      <c r="D3" s="313"/>
    </row>
    <row r="4" spans="2:17" ht="21">
      <c r="B4" s="315" t="s">
        <v>180</v>
      </c>
      <c r="C4" s="316"/>
    </row>
    <row r="5" spans="2:17" ht="16.8" hidden="1">
      <c r="B5" s="317"/>
      <c r="C5" s="495"/>
    </row>
    <row r="6" spans="2:17" hidden="1">
      <c r="B6" s="319" t="s">
        <v>181</v>
      </c>
      <c r="C6" s="320" t="s">
        <v>349</v>
      </c>
    </row>
    <row r="7" spans="2:17" ht="17.399999999999999">
      <c r="B7" s="321" t="str">
        <f>MID(D9,1,LEN(D9)-11)</f>
        <v>MAR 2012</v>
      </c>
      <c r="C7" s="322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7" ht="66.75" customHeight="1">
      <c r="B8" s="321"/>
      <c r="C8" s="323" t="str">
        <f>C9</f>
        <v xml:space="preserve"> MAR 2012</v>
      </c>
      <c r="D8" s="324" t="str">
        <f>D9</f>
        <v>MAR 2012
Month
Plan</v>
      </c>
      <c r="E8" s="325" t="str">
        <f>E9</f>
        <v xml:space="preserve"> MAR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350</v>
      </c>
      <c r="D9" s="324" t="s">
        <v>351</v>
      </c>
      <c r="E9" s="325" t="s">
        <v>352</v>
      </c>
      <c r="F9" s="324" t="s">
        <v>186</v>
      </c>
      <c r="G9" s="324" t="s">
        <v>187</v>
      </c>
      <c r="H9" s="323" t="s">
        <v>183</v>
      </c>
      <c r="I9" s="324" t="s">
        <v>188</v>
      </c>
      <c r="J9" s="325" t="s">
        <v>185</v>
      </c>
      <c r="K9" s="324" t="s">
        <v>189</v>
      </c>
      <c r="L9" s="324" t="s">
        <v>190</v>
      </c>
      <c r="M9" s="323" t="s">
        <v>350</v>
      </c>
      <c r="N9" s="324" t="s">
        <v>353</v>
      </c>
      <c r="O9" s="325" t="s">
        <v>352</v>
      </c>
      <c r="P9" s="324" t="s">
        <v>192</v>
      </c>
      <c r="Q9" s="325" t="s">
        <v>193</v>
      </c>
    </row>
    <row r="10" spans="2:17">
      <c r="B10" s="496" t="s">
        <v>194</v>
      </c>
      <c r="C10" s="329">
        <v>297849.27104999998</v>
      </c>
      <c r="D10" s="330">
        <v>288335.16894</v>
      </c>
      <c r="E10" s="331">
        <v>279508.16557000001</v>
      </c>
      <c r="F10" s="330">
        <v>9514.1021099999998</v>
      </c>
      <c r="G10" s="330">
        <v>18341.105479999998</v>
      </c>
      <c r="H10" s="329">
        <v>888865.77702000004</v>
      </c>
      <c r="I10" s="330">
        <v>919374.30801000004</v>
      </c>
      <c r="J10" s="331">
        <v>892504.36598</v>
      </c>
      <c r="K10" s="332">
        <v>-30508.530989999999</v>
      </c>
      <c r="L10" s="332">
        <v>-3638.58896</v>
      </c>
      <c r="M10" s="329">
        <v>888865.77702000004</v>
      </c>
      <c r="N10" s="330">
        <v>919374.30801000004</v>
      </c>
      <c r="O10" s="331">
        <v>892504.36598</v>
      </c>
      <c r="P10" s="332">
        <v>-30508.530989999999</v>
      </c>
      <c r="Q10" s="333">
        <v>-3638.58896</v>
      </c>
    </row>
    <row r="11" spans="2:17">
      <c r="B11" s="496" t="s">
        <v>195</v>
      </c>
      <c r="C11" s="329">
        <v>12098.50592</v>
      </c>
      <c r="D11" s="330">
        <v>11844.713449999999</v>
      </c>
      <c r="E11" s="331"/>
      <c r="F11" s="330">
        <v>253.79247000000001</v>
      </c>
      <c r="G11" s="330">
        <v>12098.50592</v>
      </c>
      <c r="H11" s="329">
        <v>36015.900840000002</v>
      </c>
      <c r="I11" s="330">
        <v>37544.287790000002</v>
      </c>
      <c r="J11" s="331"/>
      <c r="K11" s="332">
        <v>-1528.3869500000001</v>
      </c>
      <c r="L11" s="332">
        <v>36015.900840000002</v>
      </c>
      <c r="M11" s="329">
        <v>36015.900840000002</v>
      </c>
      <c r="N11" s="330">
        <v>37544.287790000002</v>
      </c>
      <c r="O11" s="331"/>
      <c r="P11" s="332">
        <v>-1528.3869500000001</v>
      </c>
      <c r="Q11" s="333">
        <v>36015.900840000002</v>
      </c>
    </row>
    <row r="12" spans="2:17">
      <c r="B12" s="496" t="s">
        <v>196</v>
      </c>
      <c r="C12" s="334"/>
      <c r="D12" s="335"/>
      <c r="E12" s="336"/>
      <c r="F12" s="335"/>
      <c r="G12" s="335"/>
      <c r="H12" s="334"/>
      <c r="I12" s="335"/>
      <c r="J12" s="336"/>
      <c r="K12" s="337"/>
      <c r="L12" s="337"/>
      <c r="M12" s="334"/>
      <c r="N12" s="335"/>
      <c r="O12" s="336"/>
      <c r="P12" s="337"/>
      <c r="Q12" s="338"/>
    </row>
    <row r="13" spans="2:17">
      <c r="B13" s="496" t="s">
        <v>197</v>
      </c>
      <c r="C13" s="334"/>
      <c r="D13" s="335"/>
      <c r="E13" s="336"/>
      <c r="F13" s="335"/>
      <c r="G13" s="335"/>
      <c r="H13" s="334"/>
      <c r="I13" s="335"/>
      <c r="J13" s="336"/>
      <c r="K13" s="337"/>
      <c r="L13" s="337"/>
      <c r="M13" s="334"/>
      <c r="N13" s="335"/>
      <c r="O13" s="336"/>
      <c r="P13" s="337"/>
      <c r="Q13" s="338"/>
    </row>
    <row r="14" spans="2:17">
      <c r="B14" s="496" t="s">
        <v>198</v>
      </c>
      <c r="C14" s="334"/>
      <c r="D14" s="335"/>
      <c r="E14" s="336"/>
      <c r="F14" s="335"/>
      <c r="G14" s="335"/>
      <c r="H14" s="334"/>
      <c r="I14" s="335"/>
      <c r="J14" s="336"/>
      <c r="K14" s="337"/>
      <c r="L14" s="337"/>
      <c r="M14" s="334"/>
      <c r="N14" s="335"/>
      <c r="O14" s="336"/>
      <c r="P14" s="337"/>
      <c r="Q14" s="338"/>
    </row>
    <row r="15" spans="2:17">
      <c r="B15" s="497" t="s">
        <v>199</v>
      </c>
      <c r="C15" s="340">
        <v>19814.731199999998</v>
      </c>
      <c r="D15" s="341">
        <v>17491.21416</v>
      </c>
      <c r="E15" s="342">
        <v>17356.866770000001</v>
      </c>
      <c r="F15" s="341">
        <v>2323.5170400000002</v>
      </c>
      <c r="G15" s="341">
        <v>2457.8644300000001</v>
      </c>
      <c r="H15" s="340">
        <v>9422.4916499999999</v>
      </c>
      <c r="I15" s="341">
        <v>-30220.783100000001</v>
      </c>
      <c r="J15" s="342">
        <v>-23469.683120000002</v>
      </c>
      <c r="K15" s="343">
        <v>39643.274749999997</v>
      </c>
      <c r="L15" s="343">
        <v>32892.174769999998</v>
      </c>
      <c r="M15" s="340">
        <v>9422.4916499999999</v>
      </c>
      <c r="N15" s="341">
        <v>-30220.783100000001</v>
      </c>
      <c r="O15" s="342">
        <v>-23469.683120000002</v>
      </c>
      <c r="P15" s="343">
        <v>39643.274749999997</v>
      </c>
      <c r="Q15" s="344">
        <v>32892.174769999998</v>
      </c>
    </row>
    <row r="16" spans="2:17">
      <c r="B16" s="498" t="s">
        <v>200</v>
      </c>
      <c r="C16" s="334">
        <v>329762.50816999999</v>
      </c>
      <c r="D16" s="506">
        <v>317671.09655000002</v>
      </c>
      <c r="E16" s="507">
        <v>296865.03233999998</v>
      </c>
      <c r="F16" s="335">
        <v>12091.411620000001</v>
      </c>
      <c r="G16" s="335">
        <v>32897.475830000003</v>
      </c>
      <c r="H16" s="334">
        <v>934304.16951000004</v>
      </c>
      <c r="I16" s="335">
        <v>926697.81270000001</v>
      </c>
      <c r="J16" s="336">
        <v>869034.68285999994</v>
      </c>
      <c r="K16" s="337">
        <v>7606.3568100000002</v>
      </c>
      <c r="L16" s="337">
        <v>65269.486649999999</v>
      </c>
      <c r="M16" s="334">
        <v>934304.16951000004</v>
      </c>
      <c r="N16" s="335">
        <v>926697.81270000001</v>
      </c>
      <c r="O16" s="336">
        <v>869034.68285999994</v>
      </c>
      <c r="P16" s="337">
        <v>7606.3568100000002</v>
      </c>
      <c r="Q16" s="338">
        <v>65269.486649999999</v>
      </c>
    </row>
    <row r="17" spans="2:17">
      <c r="B17" s="497" t="s">
        <v>201</v>
      </c>
      <c r="C17" s="334">
        <v>4609.9926500000001</v>
      </c>
      <c r="D17" s="335">
        <v>4788.3613999999998</v>
      </c>
      <c r="E17" s="336">
        <v>3673.0873200000001</v>
      </c>
      <c r="F17" s="335">
        <v>-178.36875000000001</v>
      </c>
      <c r="G17" s="335">
        <v>936.90533000000005</v>
      </c>
      <c r="H17" s="334">
        <v>13376.54566</v>
      </c>
      <c r="I17" s="335">
        <v>13330.098599999999</v>
      </c>
      <c r="J17" s="336">
        <v>12655.947899999999</v>
      </c>
      <c r="K17" s="337">
        <v>46.44706</v>
      </c>
      <c r="L17" s="337">
        <v>720.59775999999999</v>
      </c>
      <c r="M17" s="334">
        <v>13376.54566</v>
      </c>
      <c r="N17" s="335">
        <v>13330.098599999999</v>
      </c>
      <c r="O17" s="336">
        <v>12655.947899999999</v>
      </c>
      <c r="P17" s="337">
        <v>46.44706</v>
      </c>
      <c r="Q17" s="338">
        <v>720.59775999999999</v>
      </c>
    </row>
    <row r="18" spans="2:17">
      <c r="B18" s="497" t="s">
        <v>202</v>
      </c>
      <c r="C18" s="334">
        <v>-153.154</v>
      </c>
      <c r="D18" s="335">
        <v>-610.32320000000004</v>
      </c>
      <c r="E18" s="336">
        <v>206.38399999999999</v>
      </c>
      <c r="F18" s="335">
        <v>457.16919999999999</v>
      </c>
      <c r="G18" s="335">
        <v>-359.53800000000001</v>
      </c>
      <c r="H18" s="334">
        <v>410.26499999999999</v>
      </c>
      <c r="I18" s="335">
        <v>392.51280000000003</v>
      </c>
      <c r="J18" s="336">
        <v>-741.81299999999999</v>
      </c>
      <c r="K18" s="337">
        <v>17.752199999999998</v>
      </c>
      <c r="L18" s="337">
        <v>1152.078</v>
      </c>
      <c r="M18" s="334">
        <v>410.26499999999999</v>
      </c>
      <c r="N18" s="335">
        <v>392.51280000000003</v>
      </c>
      <c r="O18" s="336">
        <v>-741.81299999999999</v>
      </c>
      <c r="P18" s="337">
        <v>17.752199999999998</v>
      </c>
      <c r="Q18" s="338">
        <v>1152.078</v>
      </c>
    </row>
    <row r="19" spans="2:17">
      <c r="B19" s="499" t="s">
        <v>203</v>
      </c>
      <c r="C19" s="340"/>
      <c r="D19" s="341"/>
      <c r="E19" s="342"/>
      <c r="F19" s="341"/>
      <c r="G19" s="341"/>
      <c r="H19" s="340"/>
      <c r="I19" s="341"/>
      <c r="J19" s="342"/>
      <c r="K19" s="343"/>
      <c r="L19" s="343"/>
      <c r="M19" s="340"/>
      <c r="N19" s="341"/>
      <c r="O19" s="342"/>
      <c r="P19" s="343"/>
      <c r="Q19" s="344"/>
    </row>
    <row r="20" spans="2:17">
      <c r="B20" s="498" t="s">
        <v>204</v>
      </c>
      <c r="C20" s="334">
        <v>4456.8386499999997</v>
      </c>
      <c r="D20" s="335">
        <v>4178.0382</v>
      </c>
      <c r="E20" s="336">
        <v>3879.4713200000001</v>
      </c>
      <c r="F20" s="335">
        <v>278.80045000000001</v>
      </c>
      <c r="G20" s="335">
        <v>577.36733000000004</v>
      </c>
      <c r="H20" s="334">
        <v>13786.810659999999</v>
      </c>
      <c r="I20" s="335">
        <v>13722.6114</v>
      </c>
      <c r="J20" s="336">
        <v>11914.134899999999</v>
      </c>
      <c r="K20" s="337">
        <v>64.199259999999995</v>
      </c>
      <c r="L20" s="337">
        <v>1872.6757600000001</v>
      </c>
      <c r="M20" s="334">
        <v>13786.810659999999</v>
      </c>
      <c r="N20" s="335">
        <v>13722.6114</v>
      </c>
      <c r="O20" s="336">
        <v>11914.134899999999</v>
      </c>
      <c r="P20" s="337">
        <v>64.199259999999995</v>
      </c>
      <c r="Q20" s="338">
        <v>1872.6757600000001</v>
      </c>
    </row>
    <row r="21" spans="2:17">
      <c r="B21" s="500" t="s">
        <v>205</v>
      </c>
      <c r="C21" s="334">
        <v>3564.0915799999998</v>
      </c>
      <c r="D21" s="335">
        <v>3620.4568399999998</v>
      </c>
      <c r="E21" s="336">
        <v>3886.9175700000001</v>
      </c>
      <c r="F21" s="335">
        <v>-56.365259999999999</v>
      </c>
      <c r="G21" s="335">
        <v>-322.82598999999999</v>
      </c>
      <c r="H21" s="334">
        <v>9509.34584</v>
      </c>
      <c r="I21" s="335">
        <v>10854.97402</v>
      </c>
      <c r="J21" s="336">
        <v>8662.7918100000006</v>
      </c>
      <c r="K21" s="337">
        <v>-1345.6281799999999</v>
      </c>
      <c r="L21" s="337">
        <v>846.55403000000001</v>
      </c>
      <c r="M21" s="334">
        <v>9509.34584</v>
      </c>
      <c r="N21" s="335">
        <v>10854.97402</v>
      </c>
      <c r="O21" s="336">
        <v>8662.7918100000006</v>
      </c>
      <c r="P21" s="337">
        <v>-1345.6281799999999</v>
      </c>
      <c r="Q21" s="338">
        <v>846.55403000000001</v>
      </c>
    </row>
    <row r="22" spans="2:17">
      <c r="B22" s="500" t="s">
        <v>206</v>
      </c>
      <c r="C22" s="334">
        <v>2931.6922100000002</v>
      </c>
      <c r="D22" s="335">
        <v>2849.64</v>
      </c>
      <c r="E22" s="336">
        <v>-10.878220000000001</v>
      </c>
      <c r="F22" s="335">
        <v>82.052210000000002</v>
      </c>
      <c r="G22" s="335">
        <v>2942.5704300000002</v>
      </c>
      <c r="H22" s="334">
        <v>9449.7272699999994</v>
      </c>
      <c r="I22" s="335">
        <v>10127.529200000001</v>
      </c>
      <c r="J22" s="336">
        <v>6015.0230199999996</v>
      </c>
      <c r="K22" s="337">
        <v>-677.80192999999997</v>
      </c>
      <c r="L22" s="337">
        <v>3434.7042499999998</v>
      </c>
      <c r="M22" s="334">
        <v>9449.7272699999994</v>
      </c>
      <c r="N22" s="335">
        <v>10127.529200000001</v>
      </c>
      <c r="O22" s="336">
        <v>6015.0230199999996</v>
      </c>
      <c r="P22" s="337">
        <v>-677.80192999999997</v>
      </c>
      <c r="Q22" s="338">
        <v>3434.7042499999998</v>
      </c>
    </row>
    <row r="23" spans="2:17">
      <c r="B23" s="500" t="s">
        <v>207</v>
      </c>
      <c r="C23" s="334">
        <v>0</v>
      </c>
      <c r="D23" s="335"/>
      <c r="E23" s="336">
        <v>0.57399999999999995</v>
      </c>
      <c r="F23" s="335">
        <v>0</v>
      </c>
      <c r="G23" s="335">
        <v>-0.57399999999999995</v>
      </c>
      <c r="H23" s="334">
        <v>0.754</v>
      </c>
      <c r="I23" s="335"/>
      <c r="J23" s="336">
        <v>11.4154</v>
      </c>
      <c r="K23" s="337">
        <v>0.754</v>
      </c>
      <c r="L23" s="337">
        <v>-10.6614</v>
      </c>
      <c r="M23" s="334">
        <v>0.754</v>
      </c>
      <c r="N23" s="335"/>
      <c r="O23" s="336">
        <v>11.4154</v>
      </c>
      <c r="P23" s="337">
        <v>0.754</v>
      </c>
      <c r="Q23" s="338">
        <v>-10.6614</v>
      </c>
    </row>
    <row r="24" spans="2:17">
      <c r="B24" s="500" t="s">
        <v>208</v>
      </c>
      <c r="C24" s="334">
        <v>2105.9571599999999</v>
      </c>
      <c r="D24" s="335">
        <v>2326.7595000000001</v>
      </c>
      <c r="E24" s="336">
        <v>2318.9353799999999</v>
      </c>
      <c r="F24" s="335">
        <v>-220.80233999999999</v>
      </c>
      <c r="G24" s="335">
        <v>-212.97821999999999</v>
      </c>
      <c r="H24" s="334">
        <v>6927.6549699999996</v>
      </c>
      <c r="I24" s="335">
        <v>7728.5794999999998</v>
      </c>
      <c r="J24" s="336">
        <v>7638.66201</v>
      </c>
      <c r="K24" s="337">
        <v>-800.92453</v>
      </c>
      <c r="L24" s="337">
        <v>-711.00703999999996</v>
      </c>
      <c r="M24" s="334">
        <v>6927.6549699999996</v>
      </c>
      <c r="N24" s="335">
        <v>7728.5794999999998</v>
      </c>
      <c r="O24" s="336">
        <v>7638.66201</v>
      </c>
      <c r="P24" s="337">
        <v>-800.92453</v>
      </c>
      <c r="Q24" s="338">
        <v>-711.00703999999996</v>
      </c>
    </row>
    <row r="25" spans="2:17">
      <c r="B25" s="497" t="s">
        <v>209</v>
      </c>
      <c r="C25" s="334">
        <v>2365.0916900000002</v>
      </c>
      <c r="D25" s="335">
        <v>2506.8997399999998</v>
      </c>
      <c r="E25" s="336">
        <v>2802.7534500000002</v>
      </c>
      <c r="F25" s="335">
        <v>-141.80805000000001</v>
      </c>
      <c r="G25" s="335">
        <v>-437.66176000000002</v>
      </c>
      <c r="H25" s="334">
        <v>7631.0422099999996</v>
      </c>
      <c r="I25" s="335">
        <v>7734.3896999999997</v>
      </c>
      <c r="J25" s="336">
        <v>7694.2586600000004</v>
      </c>
      <c r="K25" s="337">
        <v>-103.34748999999999</v>
      </c>
      <c r="L25" s="337">
        <v>-63.216450000000002</v>
      </c>
      <c r="M25" s="334">
        <v>7631.0422099999996</v>
      </c>
      <c r="N25" s="335">
        <v>7734.3896999999997</v>
      </c>
      <c r="O25" s="336">
        <v>7694.2586600000004</v>
      </c>
      <c r="P25" s="337">
        <v>-103.34748999999999</v>
      </c>
      <c r="Q25" s="338">
        <v>-63.216450000000002</v>
      </c>
    </row>
    <row r="26" spans="2:17">
      <c r="B26" s="499" t="s">
        <v>210</v>
      </c>
      <c r="C26" s="334"/>
      <c r="D26" s="348"/>
      <c r="E26" s="336"/>
      <c r="F26" s="348"/>
      <c r="G26" s="348"/>
      <c r="H26" s="334"/>
      <c r="I26" s="348"/>
      <c r="J26" s="336"/>
      <c r="K26" s="349"/>
      <c r="L26" s="349"/>
      <c r="M26" s="334"/>
      <c r="N26" s="348"/>
      <c r="O26" s="336"/>
      <c r="P26" s="349"/>
      <c r="Q26" s="338"/>
    </row>
    <row r="27" spans="2:17">
      <c r="B27" s="497" t="s">
        <v>211</v>
      </c>
      <c r="C27" s="334">
        <v>1360.14671</v>
      </c>
      <c r="D27" s="335">
        <v>1110.8800000000001</v>
      </c>
      <c r="E27" s="336">
        <v>1731.30637</v>
      </c>
      <c r="F27" s="335">
        <v>249.26670999999999</v>
      </c>
      <c r="G27" s="335">
        <v>-371.15965999999997</v>
      </c>
      <c r="H27" s="334">
        <v>3161.81</v>
      </c>
      <c r="I27" s="335">
        <v>3770.5039999999999</v>
      </c>
      <c r="J27" s="336">
        <v>3702.6704199999999</v>
      </c>
      <c r="K27" s="337">
        <v>-608.69399999999996</v>
      </c>
      <c r="L27" s="337">
        <v>-540.86041999999998</v>
      </c>
      <c r="M27" s="334">
        <v>3161.81</v>
      </c>
      <c r="N27" s="335">
        <v>3770.5039999999999</v>
      </c>
      <c r="O27" s="336">
        <v>3702.6704199999999</v>
      </c>
      <c r="P27" s="337">
        <v>-608.69399999999996</v>
      </c>
      <c r="Q27" s="338">
        <v>-540.86041999999998</v>
      </c>
    </row>
    <row r="28" spans="2:17">
      <c r="B28" s="497" t="s">
        <v>212</v>
      </c>
      <c r="C28" s="334"/>
      <c r="D28" s="335"/>
      <c r="E28" s="336"/>
      <c r="F28" s="335"/>
      <c r="G28" s="335"/>
      <c r="H28" s="334"/>
      <c r="I28" s="335"/>
      <c r="J28" s="336"/>
      <c r="K28" s="337"/>
      <c r="L28" s="337"/>
      <c r="M28" s="334"/>
      <c r="N28" s="335"/>
      <c r="O28" s="336"/>
      <c r="P28" s="337"/>
      <c r="Q28" s="338"/>
    </row>
    <row r="29" spans="2:17">
      <c r="B29" s="497" t="s">
        <v>213</v>
      </c>
      <c r="C29" s="334">
        <v>522.09487999999999</v>
      </c>
      <c r="D29" s="335">
        <v>302.05286999999998</v>
      </c>
      <c r="E29" s="336">
        <v>537.29335000000003</v>
      </c>
      <c r="F29" s="335">
        <v>220.04201</v>
      </c>
      <c r="G29" s="335">
        <v>-15.19847</v>
      </c>
      <c r="H29" s="334">
        <v>1629.05196</v>
      </c>
      <c r="I29" s="335">
        <v>838.78841</v>
      </c>
      <c r="J29" s="336">
        <v>1378.29357</v>
      </c>
      <c r="K29" s="337">
        <v>790.26355000000001</v>
      </c>
      <c r="L29" s="337">
        <v>250.75838999999999</v>
      </c>
      <c r="M29" s="334">
        <v>1629.05196</v>
      </c>
      <c r="N29" s="335">
        <v>838.78841</v>
      </c>
      <c r="O29" s="336">
        <v>1378.29357</v>
      </c>
      <c r="P29" s="337">
        <v>790.26355000000001</v>
      </c>
      <c r="Q29" s="338">
        <v>250.75838999999999</v>
      </c>
    </row>
    <row r="30" spans="2:17">
      <c r="B30" s="497" t="s">
        <v>214</v>
      </c>
      <c r="C30" s="334"/>
      <c r="D30" s="335"/>
      <c r="E30" s="336"/>
      <c r="F30" s="335"/>
      <c r="G30" s="335"/>
      <c r="H30" s="334"/>
      <c r="I30" s="335"/>
      <c r="J30" s="336"/>
      <c r="K30" s="337"/>
      <c r="L30" s="337"/>
      <c r="M30" s="334"/>
      <c r="N30" s="335"/>
      <c r="O30" s="336"/>
      <c r="P30" s="337"/>
      <c r="Q30" s="338"/>
    </row>
    <row r="31" spans="2:17" ht="20.25" customHeight="1">
      <c r="B31" s="501" t="s">
        <v>215</v>
      </c>
      <c r="C31" s="351">
        <v>12849.07423</v>
      </c>
      <c r="D31" s="352">
        <v>12716.68895</v>
      </c>
      <c r="E31" s="353">
        <v>11266.901900000001</v>
      </c>
      <c r="F31" s="352">
        <v>132.38527999999999</v>
      </c>
      <c r="G31" s="352">
        <v>1582.1723300000001</v>
      </c>
      <c r="H31" s="351">
        <v>38309.386250000003</v>
      </c>
      <c r="I31" s="352">
        <v>41054.76483</v>
      </c>
      <c r="J31" s="353">
        <v>35103.114889999997</v>
      </c>
      <c r="K31" s="354">
        <v>-2745.3785800000001</v>
      </c>
      <c r="L31" s="354">
        <v>3206.2713600000002</v>
      </c>
      <c r="M31" s="351">
        <v>38309.386250000003</v>
      </c>
      <c r="N31" s="352">
        <v>41054.76483</v>
      </c>
      <c r="O31" s="353">
        <v>35103.114889999997</v>
      </c>
      <c r="P31" s="354">
        <v>-2745.3785800000001</v>
      </c>
      <c r="Q31" s="355">
        <v>3206.2713600000002</v>
      </c>
    </row>
    <row r="32" spans="2:17" ht="13.8">
      <c r="B32" s="501" t="s">
        <v>216</v>
      </c>
      <c r="C32" s="334">
        <v>347068.42105</v>
      </c>
      <c r="D32" s="335">
        <v>334565.82370000001</v>
      </c>
      <c r="E32" s="336">
        <v>312011.40555999998</v>
      </c>
      <c r="F32" s="335">
        <v>12502.59735</v>
      </c>
      <c r="G32" s="335">
        <v>35057.015489999998</v>
      </c>
      <c r="H32" s="334">
        <v>986400.36641999998</v>
      </c>
      <c r="I32" s="335">
        <v>981475.18892999995</v>
      </c>
      <c r="J32" s="336">
        <v>916051.93264999997</v>
      </c>
      <c r="K32" s="337">
        <v>4925.17749</v>
      </c>
      <c r="L32" s="337">
        <v>70348.433770000003</v>
      </c>
      <c r="M32" s="334">
        <v>986400.36641999998</v>
      </c>
      <c r="N32" s="335">
        <v>981475.18892999995</v>
      </c>
      <c r="O32" s="336">
        <v>916051.93264999997</v>
      </c>
      <c r="P32" s="337">
        <v>4925.17749</v>
      </c>
      <c r="Q32" s="338">
        <v>70348.433770000003</v>
      </c>
    </row>
    <row r="33" spans="2:17">
      <c r="B33" s="499" t="s">
        <v>217</v>
      </c>
      <c r="C33" s="334">
        <v>275081.62987</v>
      </c>
      <c r="D33" s="335">
        <v>272526.69251999998</v>
      </c>
      <c r="E33" s="336">
        <v>301056.55823000002</v>
      </c>
      <c r="F33" s="335">
        <v>2554.9373500000002</v>
      </c>
      <c r="G33" s="335">
        <v>-25974.928360000002</v>
      </c>
      <c r="H33" s="334">
        <v>822001.25318</v>
      </c>
      <c r="I33" s="335">
        <v>863448.01482000004</v>
      </c>
      <c r="J33" s="336">
        <v>942364.96206000005</v>
      </c>
      <c r="K33" s="337">
        <v>-41446.761639999997</v>
      </c>
      <c r="L33" s="337">
        <v>-120363.70888000001</v>
      </c>
      <c r="M33" s="334">
        <v>822001.25318</v>
      </c>
      <c r="N33" s="335">
        <v>863448.01482000004</v>
      </c>
      <c r="O33" s="336">
        <v>942364.96206000005</v>
      </c>
      <c r="P33" s="337">
        <v>-41446.761639999997</v>
      </c>
      <c r="Q33" s="338">
        <v>-120363.70888000001</v>
      </c>
    </row>
    <row r="34" spans="2:17">
      <c r="B34" s="499" t="s">
        <v>218</v>
      </c>
      <c r="C34" s="334"/>
      <c r="D34" s="335"/>
      <c r="E34" s="336"/>
      <c r="F34" s="335"/>
      <c r="G34" s="335"/>
      <c r="H34" s="334"/>
      <c r="I34" s="335"/>
      <c r="J34" s="336"/>
      <c r="K34" s="337"/>
      <c r="L34" s="337"/>
      <c r="M34" s="334"/>
      <c r="N34" s="335"/>
      <c r="O34" s="336"/>
      <c r="P34" s="337"/>
      <c r="Q34" s="338"/>
    </row>
    <row r="35" spans="2:17">
      <c r="B35" s="497" t="s">
        <v>219</v>
      </c>
      <c r="C35" s="334">
        <v>555.23614999999995</v>
      </c>
      <c r="D35" s="335">
        <v>3342.67616</v>
      </c>
      <c r="E35" s="336">
        <v>2230.5379499999999</v>
      </c>
      <c r="F35" s="335">
        <v>-2787.4400099999998</v>
      </c>
      <c r="G35" s="335">
        <v>-1675.3018</v>
      </c>
      <c r="H35" s="334">
        <v>4393.4513800000004</v>
      </c>
      <c r="I35" s="335">
        <v>10976.02513</v>
      </c>
      <c r="J35" s="336">
        <v>9763.8828900000008</v>
      </c>
      <c r="K35" s="337">
        <v>-6582.5737499999996</v>
      </c>
      <c r="L35" s="337">
        <v>-5370.4315100000003</v>
      </c>
      <c r="M35" s="334">
        <v>4393.4513800000004</v>
      </c>
      <c r="N35" s="335">
        <v>10976.02513</v>
      </c>
      <c r="O35" s="336">
        <v>9763.8828900000008</v>
      </c>
      <c r="P35" s="337">
        <v>-6582.5737499999996</v>
      </c>
      <c r="Q35" s="338">
        <v>-5370.4315100000003</v>
      </c>
    </row>
    <row r="36" spans="2:17">
      <c r="B36" s="497" t="s">
        <v>220</v>
      </c>
      <c r="C36" s="334"/>
      <c r="D36" s="335">
        <v>7169.0745399999996</v>
      </c>
      <c r="E36" s="336"/>
      <c r="F36" s="335">
        <v>-7169.0745399999996</v>
      </c>
      <c r="G36" s="335"/>
      <c r="H36" s="334"/>
      <c r="I36" s="335">
        <v>0</v>
      </c>
      <c r="J36" s="336"/>
      <c r="K36" s="337">
        <v>0</v>
      </c>
      <c r="L36" s="337"/>
      <c r="M36" s="334"/>
      <c r="N36" s="335">
        <v>0</v>
      </c>
      <c r="O36" s="336"/>
      <c r="P36" s="337">
        <v>0</v>
      </c>
      <c r="Q36" s="338"/>
    </row>
    <row r="37" spans="2:17">
      <c r="B37" s="500" t="s">
        <v>221</v>
      </c>
      <c r="C37" s="340">
        <v>-212.15281999999999</v>
      </c>
      <c r="D37" s="341"/>
      <c r="E37" s="342">
        <v>11.356019999999999</v>
      </c>
      <c r="F37" s="341">
        <v>-212.15281999999999</v>
      </c>
      <c r="G37" s="341">
        <v>-223.50883999999999</v>
      </c>
      <c r="H37" s="340">
        <v>-221.35755</v>
      </c>
      <c r="I37" s="341"/>
      <c r="J37" s="342">
        <v>643.40282999999999</v>
      </c>
      <c r="K37" s="343">
        <v>-221.35755</v>
      </c>
      <c r="L37" s="343">
        <v>-864.76038000000005</v>
      </c>
      <c r="M37" s="340">
        <v>-221.35755</v>
      </c>
      <c r="N37" s="341"/>
      <c r="O37" s="342">
        <v>643.40282999999999</v>
      </c>
      <c r="P37" s="343">
        <v>-221.35755</v>
      </c>
      <c r="Q37" s="344">
        <v>-864.76038000000005</v>
      </c>
    </row>
    <row r="38" spans="2:17" ht="20.25" customHeight="1">
      <c r="B38" s="502" t="s">
        <v>222</v>
      </c>
      <c r="C38" s="334">
        <v>275424.7132</v>
      </c>
      <c r="D38" s="335">
        <v>283038.44322000002</v>
      </c>
      <c r="E38" s="336">
        <v>303298.4522</v>
      </c>
      <c r="F38" s="335">
        <v>-7613.73002</v>
      </c>
      <c r="G38" s="335">
        <v>-27873.739000000001</v>
      </c>
      <c r="H38" s="334">
        <v>826173.34701000003</v>
      </c>
      <c r="I38" s="335">
        <v>874424.03995000001</v>
      </c>
      <c r="J38" s="336">
        <v>952772.24777999998</v>
      </c>
      <c r="K38" s="337">
        <v>-48250.692940000001</v>
      </c>
      <c r="L38" s="337">
        <v>-126598.90076999999</v>
      </c>
      <c r="M38" s="334">
        <v>826173.34701000003</v>
      </c>
      <c r="N38" s="335">
        <v>874424.03995000001</v>
      </c>
      <c r="O38" s="336">
        <v>952772.24777999998</v>
      </c>
      <c r="P38" s="337">
        <v>-48250.692940000001</v>
      </c>
      <c r="Q38" s="338">
        <v>-126598.90076999999</v>
      </c>
    </row>
    <row r="39" spans="2:17">
      <c r="B39" s="497" t="s">
        <v>223</v>
      </c>
      <c r="C39" s="334">
        <v>63487.311049999997</v>
      </c>
      <c r="D39" s="335">
        <v>50447.108520000002</v>
      </c>
      <c r="E39" s="336">
        <v>42808.248930000002</v>
      </c>
      <c r="F39" s="335">
        <v>13040.20253</v>
      </c>
      <c r="G39" s="335">
        <v>20679.062119999999</v>
      </c>
      <c r="H39" s="334">
        <v>189120.71257999999</v>
      </c>
      <c r="I39" s="335">
        <v>159902.62392000001</v>
      </c>
      <c r="J39" s="336">
        <v>132419.01921999999</v>
      </c>
      <c r="K39" s="337">
        <v>29218.088660000001</v>
      </c>
      <c r="L39" s="337">
        <v>56701.693359999997</v>
      </c>
      <c r="M39" s="334">
        <v>189120.71257999999</v>
      </c>
      <c r="N39" s="335">
        <v>159902.62392000001</v>
      </c>
      <c r="O39" s="336">
        <v>132419.01921999999</v>
      </c>
      <c r="P39" s="337">
        <v>29218.088660000001</v>
      </c>
      <c r="Q39" s="338">
        <v>56701.693359999997</v>
      </c>
    </row>
    <row r="40" spans="2:17">
      <c r="B40" s="497" t="s">
        <v>224</v>
      </c>
      <c r="C40" s="334">
        <v>-12098.50592</v>
      </c>
      <c r="D40" s="335"/>
      <c r="E40" s="336"/>
      <c r="F40" s="335">
        <v>-12098.50592</v>
      </c>
      <c r="G40" s="335">
        <v>-12098.50592</v>
      </c>
      <c r="H40" s="334">
        <v>-36015.900840000002</v>
      </c>
      <c r="I40" s="335"/>
      <c r="J40" s="336"/>
      <c r="K40" s="337">
        <v>-36015.900840000002</v>
      </c>
      <c r="L40" s="337">
        <v>-36015.900840000002</v>
      </c>
      <c r="M40" s="334">
        <v>-36015.900840000002</v>
      </c>
      <c r="N40" s="335"/>
      <c r="O40" s="336"/>
      <c r="P40" s="337">
        <v>-36015.900840000002</v>
      </c>
      <c r="Q40" s="338">
        <v>-36015.900840000002</v>
      </c>
    </row>
    <row r="41" spans="2:17">
      <c r="B41" s="497" t="s">
        <v>225</v>
      </c>
      <c r="C41" s="334">
        <v>-25.791550000000001</v>
      </c>
      <c r="D41" s="335">
        <v>177.70310000000001</v>
      </c>
      <c r="E41" s="336">
        <v>153.09505999999999</v>
      </c>
      <c r="F41" s="335">
        <v>-203.49465000000001</v>
      </c>
      <c r="G41" s="335">
        <v>-178.88660999999999</v>
      </c>
      <c r="H41" s="334">
        <v>346.87225999999998</v>
      </c>
      <c r="I41" s="335">
        <v>784.07254</v>
      </c>
      <c r="J41" s="336">
        <v>742.25409999999999</v>
      </c>
      <c r="K41" s="337">
        <v>-437.20028000000002</v>
      </c>
      <c r="L41" s="337">
        <v>-395.38184000000001</v>
      </c>
      <c r="M41" s="334">
        <v>346.87225999999998</v>
      </c>
      <c r="N41" s="335">
        <v>784.07254</v>
      </c>
      <c r="O41" s="336">
        <v>742.25409999999999</v>
      </c>
      <c r="P41" s="337">
        <v>-437.20028000000002</v>
      </c>
      <c r="Q41" s="338">
        <v>-395.38184000000001</v>
      </c>
    </row>
    <row r="42" spans="2:17">
      <c r="B42" s="500" t="s">
        <v>226</v>
      </c>
      <c r="C42" s="340"/>
      <c r="D42" s="341"/>
      <c r="E42" s="342"/>
      <c r="F42" s="341"/>
      <c r="G42" s="341"/>
      <c r="H42" s="340"/>
      <c r="I42" s="341"/>
      <c r="J42" s="342"/>
      <c r="K42" s="343"/>
      <c r="L42" s="343"/>
      <c r="M42" s="340"/>
      <c r="N42" s="341"/>
      <c r="O42" s="342"/>
      <c r="P42" s="343"/>
      <c r="Q42" s="344"/>
    </row>
    <row r="43" spans="2:17" ht="20.25" customHeight="1">
      <c r="B43" s="502" t="s">
        <v>227</v>
      </c>
      <c r="C43" s="334">
        <v>51363.013579999999</v>
      </c>
      <c r="D43" s="335">
        <v>50624.81162</v>
      </c>
      <c r="E43" s="336">
        <v>42961.343990000001</v>
      </c>
      <c r="F43" s="335">
        <v>738.20195999999999</v>
      </c>
      <c r="G43" s="335">
        <v>8401.6695899999995</v>
      </c>
      <c r="H43" s="334">
        <v>153451.68400000001</v>
      </c>
      <c r="I43" s="335">
        <v>160686.69646000001</v>
      </c>
      <c r="J43" s="336">
        <v>133161.27332000001</v>
      </c>
      <c r="K43" s="337">
        <v>-7235.0124599999999</v>
      </c>
      <c r="L43" s="337">
        <v>20290.410680000001</v>
      </c>
      <c r="M43" s="334">
        <v>153451.68400000001</v>
      </c>
      <c r="N43" s="335">
        <v>160686.69646000001</v>
      </c>
      <c r="O43" s="336">
        <v>133161.27332000001</v>
      </c>
      <c r="P43" s="337">
        <v>-7235.0124599999999</v>
      </c>
      <c r="Q43" s="338">
        <v>20290.410680000001</v>
      </c>
    </row>
    <row r="44" spans="2:17">
      <c r="B44" s="497" t="s">
        <v>228</v>
      </c>
      <c r="C44" s="334">
        <v>15007.92007</v>
      </c>
      <c r="D44" s="335">
        <v>12134.33748</v>
      </c>
      <c r="E44" s="336">
        <v>11804.40878</v>
      </c>
      <c r="F44" s="335">
        <v>2873.58259</v>
      </c>
      <c r="G44" s="335">
        <v>3203.5112899999999</v>
      </c>
      <c r="H44" s="334">
        <v>44427.447789999998</v>
      </c>
      <c r="I44" s="335">
        <v>39684.6014</v>
      </c>
      <c r="J44" s="336">
        <v>29888.37413</v>
      </c>
      <c r="K44" s="337">
        <v>4742.8463899999997</v>
      </c>
      <c r="L44" s="337">
        <v>14539.07366</v>
      </c>
      <c r="M44" s="334">
        <v>44427.447789999998</v>
      </c>
      <c r="N44" s="335">
        <v>39684.6014</v>
      </c>
      <c r="O44" s="336">
        <v>29888.37413</v>
      </c>
      <c r="P44" s="337">
        <v>4742.8463899999997</v>
      </c>
      <c r="Q44" s="338">
        <v>14539.07366</v>
      </c>
    </row>
    <row r="45" spans="2:17">
      <c r="B45" s="500" t="s">
        <v>229</v>
      </c>
      <c r="C45" s="340"/>
      <c r="D45" s="341">
        <v>0</v>
      </c>
      <c r="E45" s="342"/>
      <c r="F45" s="341">
        <v>0</v>
      </c>
      <c r="G45" s="341"/>
      <c r="H45" s="340"/>
      <c r="I45" s="341">
        <v>0</v>
      </c>
      <c r="J45" s="342"/>
      <c r="K45" s="343">
        <v>0</v>
      </c>
      <c r="L45" s="343"/>
      <c r="M45" s="340"/>
      <c r="N45" s="341">
        <v>0</v>
      </c>
      <c r="O45" s="342"/>
      <c r="P45" s="343">
        <v>0</v>
      </c>
      <c r="Q45" s="344"/>
    </row>
    <row r="46" spans="2:17" ht="20.25" customHeight="1">
      <c r="B46" s="502" t="s">
        <v>230</v>
      </c>
      <c r="C46" s="334">
        <v>15007.92007</v>
      </c>
      <c r="D46" s="335">
        <v>12134.33748</v>
      </c>
      <c r="E46" s="336">
        <v>11804.40878</v>
      </c>
      <c r="F46" s="335">
        <v>2873.58259</v>
      </c>
      <c r="G46" s="335">
        <v>3203.5112899999999</v>
      </c>
      <c r="H46" s="334">
        <v>44427.447789999998</v>
      </c>
      <c r="I46" s="335">
        <v>39684.6014</v>
      </c>
      <c r="J46" s="336">
        <v>29888.37413</v>
      </c>
      <c r="K46" s="337">
        <v>4742.8463899999997</v>
      </c>
      <c r="L46" s="337">
        <v>14539.07366</v>
      </c>
      <c r="M46" s="334">
        <v>44427.447789999998</v>
      </c>
      <c r="N46" s="335">
        <v>39684.6014</v>
      </c>
      <c r="O46" s="336">
        <v>29888.37413</v>
      </c>
      <c r="P46" s="337">
        <v>4742.8463899999997</v>
      </c>
      <c r="Q46" s="338">
        <v>14539.07366</v>
      </c>
    </row>
    <row r="47" spans="2:17">
      <c r="B47" s="497" t="s">
        <v>231</v>
      </c>
      <c r="C47" s="334">
        <v>12556.746789999999</v>
      </c>
      <c r="D47" s="335">
        <v>12306.40452</v>
      </c>
      <c r="E47" s="336">
        <v>9040.5425099999993</v>
      </c>
      <c r="F47" s="335">
        <v>250.34227000000001</v>
      </c>
      <c r="G47" s="335">
        <v>3516.2042799999999</v>
      </c>
      <c r="H47" s="334">
        <v>37464.513299999999</v>
      </c>
      <c r="I47" s="335">
        <v>39007.713839999997</v>
      </c>
      <c r="J47" s="336">
        <v>34349.209519999997</v>
      </c>
      <c r="K47" s="337">
        <v>-1543.20054</v>
      </c>
      <c r="L47" s="337">
        <v>3115.3037800000002</v>
      </c>
      <c r="M47" s="334">
        <v>37464.513299999999</v>
      </c>
      <c r="N47" s="335">
        <v>39007.713839999997</v>
      </c>
      <c r="O47" s="336">
        <v>34349.209519999997</v>
      </c>
      <c r="P47" s="337">
        <v>-1543.20054</v>
      </c>
      <c r="Q47" s="338">
        <v>3115.3037800000002</v>
      </c>
    </row>
    <row r="48" spans="2:17">
      <c r="B48" s="500" t="s">
        <v>232</v>
      </c>
      <c r="C48" s="340">
        <v>1958.5424800000001</v>
      </c>
      <c r="D48" s="341">
        <v>2950.7868699999999</v>
      </c>
      <c r="E48" s="342">
        <v>4782.7791999999999</v>
      </c>
      <c r="F48" s="341">
        <v>-992.24438999999995</v>
      </c>
      <c r="G48" s="341">
        <v>-2824.2367199999999</v>
      </c>
      <c r="H48" s="340">
        <v>6348.8544300000003</v>
      </c>
      <c r="I48" s="341">
        <v>5776.3489099999997</v>
      </c>
      <c r="J48" s="342">
        <v>6522.5796300000002</v>
      </c>
      <c r="K48" s="343">
        <v>572.50552000000005</v>
      </c>
      <c r="L48" s="343">
        <v>-173.7252</v>
      </c>
      <c r="M48" s="340">
        <v>6348.8544300000003</v>
      </c>
      <c r="N48" s="341">
        <v>5776.3489099999997</v>
      </c>
      <c r="O48" s="342">
        <v>6522.5796300000002</v>
      </c>
      <c r="P48" s="343">
        <v>572.50552000000005</v>
      </c>
      <c r="Q48" s="344">
        <v>-173.7252</v>
      </c>
    </row>
    <row r="49" spans="2:17" ht="20.25" customHeight="1">
      <c r="B49" s="502" t="s">
        <v>233</v>
      </c>
      <c r="C49" s="334">
        <v>14515.289269999999</v>
      </c>
      <c r="D49" s="335">
        <v>15257.19139</v>
      </c>
      <c r="E49" s="336">
        <v>13823.32171</v>
      </c>
      <c r="F49" s="335">
        <v>-741.90211999999997</v>
      </c>
      <c r="G49" s="335">
        <v>691.96756000000005</v>
      </c>
      <c r="H49" s="334">
        <v>43813.367729999998</v>
      </c>
      <c r="I49" s="335">
        <v>44784.062749999997</v>
      </c>
      <c r="J49" s="336">
        <v>40871.789149999997</v>
      </c>
      <c r="K49" s="337">
        <v>-970.69502</v>
      </c>
      <c r="L49" s="337">
        <v>2941.5785799999999</v>
      </c>
      <c r="M49" s="334">
        <v>43813.367729999998</v>
      </c>
      <c r="N49" s="335">
        <v>44784.062749999997</v>
      </c>
      <c r="O49" s="336">
        <v>40871.789149999997</v>
      </c>
      <c r="P49" s="337">
        <v>-970.69502</v>
      </c>
      <c r="Q49" s="338">
        <v>2941.5785799999999</v>
      </c>
    </row>
    <row r="50" spans="2:17" ht="13.8">
      <c r="B50" s="503" t="s">
        <v>234</v>
      </c>
      <c r="C50" s="334">
        <v>6802.8196200000002</v>
      </c>
      <c r="D50" s="335">
        <v>7307.07395</v>
      </c>
      <c r="E50" s="336">
        <v>6743.1288699999996</v>
      </c>
      <c r="F50" s="335">
        <v>-504.25432999999998</v>
      </c>
      <c r="G50" s="335">
        <v>59.690750000000001</v>
      </c>
      <c r="H50" s="334">
        <v>20286.210139999999</v>
      </c>
      <c r="I50" s="335">
        <v>22484.445650000001</v>
      </c>
      <c r="J50" s="336">
        <v>21900.08077</v>
      </c>
      <c r="K50" s="337">
        <v>-2198.23551</v>
      </c>
      <c r="L50" s="337">
        <v>-1613.8706299999999</v>
      </c>
      <c r="M50" s="334">
        <v>20286.210139999999</v>
      </c>
      <c r="N50" s="335">
        <v>22484.445650000001</v>
      </c>
      <c r="O50" s="336">
        <v>21900.08077</v>
      </c>
      <c r="P50" s="337">
        <v>-2198.23551</v>
      </c>
      <c r="Q50" s="338">
        <v>-1613.8706299999999</v>
      </c>
    </row>
    <row r="51" spans="2:17" ht="13.8">
      <c r="B51" s="503" t="s">
        <v>235</v>
      </c>
      <c r="C51" s="334">
        <v>16933.12026</v>
      </c>
      <c r="D51" s="335">
        <v>16490.037509999998</v>
      </c>
      <c r="E51" s="336">
        <v>16426.39242</v>
      </c>
      <c r="F51" s="335">
        <v>443.08274999999998</v>
      </c>
      <c r="G51" s="335">
        <v>506.72784000000001</v>
      </c>
      <c r="H51" s="334">
        <v>50521.069020000003</v>
      </c>
      <c r="I51" s="335">
        <v>52445.314100000003</v>
      </c>
      <c r="J51" s="336">
        <v>51748.463640000002</v>
      </c>
      <c r="K51" s="337">
        <v>-1924.2450799999999</v>
      </c>
      <c r="L51" s="337">
        <v>-1227.39462</v>
      </c>
      <c r="M51" s="334">
        <v>50521.069020000003</v>
      </c>
      <c r="N51" s="335">
        <v>52445.314100000003</v>
      </c>
      <c r="O51" s="336">
        <v>51748.463640000002</v>
      </c>
      <c r="P51" s="337">
        <v>-1924.2450799999999</v>
      </c>
      <c r="Q51" s="338">
        <v>-1227.39462</v>
      </c>
    </row>
    <row r="52" spans="2:17" ht="13.8">
      <c r="B52" s="358" t="s">
        <v>236</v>
      </c>
      <c r="C52" s="340">
        <v>33103.069490000002</v>
      </c>
      <c r="D52" s="341">
        <v>31472.55226</v>
      </c>
      <c r="E52" s="342">
        <v>32049.249510000001</v>
      </c>
      <c r="F52" s="341">
        <v>1630.5172299999999</v>
      </c>
      <c r="G52" s="341">
        <v>1053.81998</v>
      </c>
      <c r="H52" s="340">
        <v>98447.053709999993</v>
      </c>
      <c r="I52" s="341">
        <v>100049.20351000001</v>
      </c>
      <c r="J52" s="342">
        <v>100056.44788000001</v>
      </c>
      <c r="K52" s="343">
        <v>-1602.1497999999999</v>
      </c>
      <c r="L52" s="343">
        <v>-1609.39417</v>
      </c>
      <c r="M52" s="340">
        <v>98447.053709999993</v>
      </c>
      <c r="N52" s="341">
        <v>100049.20351000001</v>
      </c>
      <c r="O52" s="342">
        <v>100056.44788000001</v>
      </c>
      <c r="P52" s="343">
        <v>-1602.1497999999999</v>
      </c>
      <c r="Q52" s="344">
        <v>-1609.39417</v>
      </c>
    </row>
    <row r="53" spans="2:17" ht="13.8">
      <c r="B53" s="358" t="s">
        <v>237</v>
      </c>
      <c r="C53" s="334">
        <v>137725.23229000001</v>
      </c>
      <c r="D53" s="335">
        <v>133286.00421000001</v>
      </c>
      <c r="E53" s="336">
        <v>123807.84527999999</v>
      </c>
      <c r="F53" s="335">
        <v>4439.2280799999999</v>
      </c>
      <c r="G53" s="335">
        <v>13917.38701</v>
      </c>
      <c r="H53" s="334">
        <v>410946.83239</v>
      </c>
      <c r="I53" s="335">
        <v>420134.32387000002</v>
      </c>
      <c r="J53" s="336">
        <v>377626.42888999998</v>
      </c>
      <c r="K53" s="337">
        <v>-9187.4914800000006</v>
      </c>
      <c r="L53" s="337">
        <v>33320.4035</v>
      </c>
      <c r="M53" s="334">
        <v>410946.83239</v>
      </c>
      <c r="N53" s="335">
        <v>420134.32387000002</v>
      </c>
      <c r="O53" s="336">
        <v>377626.42888999998</v>
      </c>
      <c r="P53" s="337">
        <v>-9187.4914800000006</v>
      </c>
      <c r="Q53" s="338">
        <v>33320.4035</v>
      </c>
    </row>
    <row r="54" spans="2:17" ht="13.8">
      <c r="B54" s="358" t="s">
        <v>238</v>
      </c>
      <c r="C54" s="334">
        <v>413149.94549000001</v>
      </c>
      <c r="D54" s="335">
        <v>416324.44743</v>
      </c>
      <c r="E54" s="336">
        <v>427106.29748000001</v>
      </c>
      <c r="F54" s="335">
        <v>-3174.5019400000001</v>
      </c>
      <c r="G54" s="335">
        <v>-13956.351989999999</v>
      </c>
      <c r="H54" s="334">
        <v>1237120.1794</v>
      </c>
      <c r="I54" s="335">
        <v>1294558.3638200001</v>
      </c>
      <c r="J54" s="336">
        <v>1330398.67667</v>
      </c>
      <c r="K54" s="337">
        <v>-57438.184419999998</v>
      </c>
      <c r="L54" s="337">
        <v>-93278.497270000007</v>
      </c>
      <c r="M54" s="334">
        <v>1237120.1794</v>
      </c>
      <c r="N54" s="335">
        <v>1294558.3638200001</v>
      </c>
      <c r="O54" s="336">
        <v>1330398.67667</v>
      </c>
      <c r="P54" s="337">
        <v>-57438.184419999998</v>
      </c>
      <c r="Q54" s="338">
        <v>-93278.497270000007</v>
      </c>
    </row>
    <row r="55" spans="2:17" ht="19.5" customHeight="1" thickBot="1">
      <c r="B55" s="359" t="s">
        <v>239</v>
      </c>
      <c r="C55" s="360">
        <v>760218.36653999996</v>
      </c>
      <c r="D55" s="361">
        <v>750890.27113000001</v>
      </c>
      <c r="E55" s="362">
        <v>739117.70304000005</v>
      </c>
      <c r="F55" s="361">
        <v>9328.0954099999999</v>
      </c>
      <c r="G55" s="361">
        <v>21100.663499999999</v>
      </c>
      <c r="H55" s="360">
        <v>2223520.5458200001</v>
      </c>
      <c r="I55" s="361">
        <v>2276033.5527499998</v>
      </c>
      <c r="J55" s="362">
        <v>2246450.6093199998</v>
      </c>
      <c r="K55" s="363">
        <v>-52513.006930000003</v>
      </c>
      <c r="L55" s="363">
        <v>-22930.0635</v>
      </c>
      <c r="M55" s="360">
        <v>2223520.5458200001</v>
      </c>
      <c r="N55" s="361">
        <v>2276033.5527499998</v>
      </c>
      <c r="O55" s="362">
        <v>2246450.6093199998</v>
      </c>
      <c r="P55" s="363">
        <v>-52513.006930000003</v>
      </c>
      <c r="Q55" s="364">
        <v>-22930.0635</v>
      </c>
    </row>
    <row r="56" spans="2:17" ht="13.8" thickTop="1">
      <c r="B56" s="365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351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504"/>
      <c r="D59" s="504"/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504"/>
      <c r="P59" s="504"/>
      <c r="Q59" s="504"/>
    </row>
    <row r="60" spans="2:17">
      <c r="B60" s="369" t="s">
        <v>249</v>
      </c>
      <c r="C60" s="370">
        <v>7624983.318</v>
      </c>
      <c r="D60" s="371">
        <v>7384629.5700000003</v>
      </c>
      <c r="E60" s="372">
        <v>7155217.3389999997</v>
      </c>
      <c r="F60" s="371">
        <v>240353.74799999999</v>
      </c>
      <c r="G60" s="371">
        <v>469765.97899999999</v>
      </c>
      <c r="H60" s="370">
        <v>22766822.497000001</v>
      </c>
      <c r="I60" s="371">
        <v>23398121.280000001</v>
      </c>
      <c r="J60" s="372">
        <v>22626827.511</v>
      </c>
      <c r="K60" s="373">
        <v>-631298.78300000005</v>
      </c>
      <c r="L60" s="373">
        <v>139994.986</v>
      </c>
      <c r="M60" s="370">
        <v>22766822.497000001</v>
      </c>
      <c r="N60" s="371">
        <v>23398121.280000001</v>
      </c>
      <c r="O60" s="372">
        <v>22626827.511</v>
      </c>
      <c r="P60" s="373">
        <v>-631298.78300000005</v>
      </c>
      <c r="Q60" s="374">
        <v>139994.986</v>
      </c>
    </row>
    <row r="61" spans="2:17">
      <c r="B61" s="369" t="s">
        <v>250</v>
      </c>
      <c r="C61" s="375">
        <v>524133</v>
      </c>
      <c r="D61" s="373">
        <v>481186.49</v>
      </c>
      <c r="E61" s="374">
        <v>501463</v>
      </c>
      <c r="F61" s="373">
        <v>42946.51</v>
      </c>
      <c r="G61" s="373">
        <v>22670</v>
      </c>
      <c r="H61" s="375">
        <v>182758</v>
      </c>
      <c r="I61" s="373">
        <v>-767760.97</v>
      </c>
      <c r="J61" s="374">
        <v>-588021</v>
      </c>
      <c r="K61" s="373">
        <v>950518.97</v>
      </c>
      <c r="L61" s="373">
        <v>770779</v>
      </c>
      <c r="M61" s="375">
        <v>182758</v>
      </c>
      <c r="N61" s="373">
        <v>-767760.97</v>
      </c>
      <c r="O61" s="374">
        <v>-588021</v>
      </c>
      <c r="P61" s="373">
        <v>950518.97</v>
      </c>
      <c r="Q61" s="374">
        <v>770779</v>
      </c>
    </row>
    <row r="62" spans="2:17">
      <c r="B62" s="369" t="s">
        <v>251</v>
      </c>
      <c r="C62" s="375">
        <v>13077</v>
      </c>
      <c r="D62" s="373">
        <v>100782.23</v>
      </c>
      <c r="E62" s="374">
        <v>97390</v>
      </c>
      <c r="F62" s="373">
        <v>-87705.23</v>
      </c>
      <c r="G62" s="373">
        <v>-84313</v>
      </c>
      <c r="H62" s="375">
        <v>153702</v>
      </c>
      <c r="I62" s="373">
        <v>362719.18</v>
      </c>
      <c r="J62" s="374">
        <v>361278</v>
      </c>
      <c r="K62" s="373">
        <v>-209017.18</v>
      </c>
      <c r="L62" s="373">
        <v>-207576</v>
      </c>
      <c r="M62" s="375">
        <v>153702</v>
      </c>
      <c r="N62" s="373">
        <v>362719.18</v>
      </c>
      <c r="O62" s="374">
        <v>361278</v>
      </c>
      <c r="P62" s="373">
        <v>-209017.18</v>
      </c>
      <c r="Q62" s="374">
        <v>-207576</v>
      </c>
    </row>
    <row r="63" spans="2:17" ht="13.8" thickBot="1">
      <c r="B63" s="376" t="s">
        <v>252</v>
      </c>
      <c r="C63" s="377">
        <v>8162193.318</v>
      </c>
      <c r="D63" s="378">
        <v>7966598.29</v>
      </c>
      <c r="E63" s="379">
        <v>7754070.3389999997</v>
      </c>
      <c r="F63" s="378">
        <v>195595.02799999999</v>
      </c>
      <c r="G63" s="378">
        <v>408122.97899999999</v>
      </c>
      <c r="H63" s="377">
        <v>23103282.497000001</v>
      </c>
      <c r="I63" s="378">
        <v>22993079.489999998</v>
      </c>
      <c r="J63" s="379">
        <v>22400084.511</v>
      </c>
      <c r="K63" s="380">
        <v>110203.007</v>
      </c>
      <c r="L63" s="380">
        <v>703197.98600000003</v>
      </c>
      <c r="M63" s="377">
        <v>23103282.497000001</v>
      </c>
      <c r="N63" s="378">
        <v>22993079.489999998</v>
      </c>
      <c r="O63" s="379">
        <v>22400084.511</v>
      </c>
      <c r="P63" s="380">
        <v>110203.007</v>
      </c>
      <c r="Q63" s="381">
        <v>703197.98600000003</v>
      </c>
    </row>
    <row r="64" spans="2:17" ht="13.8" thickTop="1">
      <c r="B64" s="382"/>
    </row>
    <row r="65" spans="2:17" ht="17.399999999999999">
      <c r="B65" s="383" t="s">
        <v>253</v>
      </c>
      <c r="C65" s="384">
        <f>C55</f>
        <v>760218.36653999996</v>
      </c>
      <c r="D65" s="384"/>
      <c r="E65" s="384">
        <f>E55</f>
        <v>739117.70304000005</v>
      </c>
      <c r="F65" s="384"/>
      <c r="G65" s="384">
        <f>G55</f>
        <v>21100.663499999999</v>
      </c>
      <c r="H65" s="384">
        <f>H55</f>
        <v>2223520.5458200001</v>
      </c>
      <c r="I65" s="384"/>
      <c r="J65" s="384">
        <f>J55</f>
        <v>2246450.6093199998</v>
      </c>
      <c r="K65" s="384"/>
      <c r="L65" s="384">
        <f>L55</f>
        <v>-22930.0635</v>
      </c>
      <c r="M65" s="384">
        <f>M55</f>
        <v>2223520.5458200001</v>
      </c>
      <c r="N65" s="384"/>
      <c r="O65" s="384">
        <f>O55</f>
        <v>2246450.6093199998</v>
      </c>
      <c r="P65" s="384"/>
      <c r="Q65" s="384">
        <f>Q55</f>
        <v>-22930.0635</v>
      </c>
    </row>
    <row r="66" spans="2:17">
      <c r="B66" s="385"/>
      <c r="C66" s="160"/>
      <c r="D66" s="160"/>
      <c r="E66" s="160"/>
      <c r="F66" s="160"/>
      <c r="G66" s="386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2:17">
      <c r="B67" s="387"/>
      <c r="C67" s="388"/>
      <c r="D67" s="389"/>
      <c r="E67" s="389"/>
      <c r="F67" s="390"/>
      <c r="G67" s="391"/>
      <c r="H67" s="388"/>
      <c r="I67" s="392"/>
      <c r="J67" s="389"/>
      <c r="K67" s="390"/>
      <c r="L67" s="391"/>
      <c r="M67" s="388"/>
      <c r="N67" s="392"/>
      <c r="O67" s="389"/>
      <c r="P67" s="393"/>
      <c r="Q67" s="391"/>
    </row>
    <row r="68" spans="2:17">
      <c r="B68" s="505" t="s">
        <v>254</v>
      </c>
      <c r="C68" s="395">
        <f>-2.82938-122.9271</f>
        <v>-125.75648</v>
      </c>
      <c r="D68" s="396"/>
      <c r="E68" s="276">
        <f>[7]Summary!C65</f>
        <v>-114.89097</v>
      </c>
      <c r="F68" s="397"/>
      <c r="G68" s="398">
        <f>C68-E68</f>
        <v>-10.86551</v>
      </c>
      <c r="H68" s="399" t="e">
        <f ca="1">SUM([8]Actual!C68:'[8]Actual'!E68)</f>
        <v>#REF!</v>
      </c>
      <c r="I68" s="276"/>
      <c r="J68" s="400">
        <f>SUM([7]Actual!C66:E66)</f>
        <v>-349.01562999999999</v>
      </c>
      <c r="K68" s="398"/>
      <c r="L68" s="398" t="e">
        <f ca="1">H68-J68</f>
        <v>#REF!</v>
      </c>
      <c r="M68" s="399">
        <f>SUM([8]Actual!C68:E68)</f>
        <v>-387.04109</v>
      </c>
      <c r="N68" s="401"/>
      <c r="O68" s="402">
        <f>SUM([7]Summary!M65)</f>
        <v>-349.01562999999999</v>
      </c>
      <c r="P68" s="398"/>
      <c r="Q68" s="403">
        <f>M68-O68</f>
        <v>-38.02546000000001</v>
      </c>
    </row>
    <row r="69" spans="2:17">
      <c r="B69" s="505" t="s">
        <v>255</v>
      </c>
      <c r="C69" s="395">
        <v>0</v>
      </c>
      <c r="D69" s="396"/>
      <c r="E69" s="276">
        <f>[7]Summary!C66</f>
        <v>0</v>
      </c>
      <c r="F69" s="397"/>
      <c r="G69" s="398">
        <f>C69-E69</f>
        <v>0</v>
      </c>
      <c r="H69" s="399" t="e">
        <f ca="1">SUM([8]Actual!C69:'[8]Actual'!E69)</f>
        <v>#REF!</v>
      </c>
      <c r="I69" s="276"/>
      <c r="J69" s="400">
        <f>SUM([7]Actual!C67:E67)</f>
        <v>0</v>
      </c>
      <c r="K69" s="398"/>
      <c r="L69" s="398" t="e">
        <f ca="1">H69-J69</f>
        <v>#REF!</v>
      </c>
      <c r="M69" s="399">
        <f>SUM([8]Actual!C69:E69)</f>
        <v>0</v>
      </c>
      <c r="N69" s="401"/>
      <c r="O69" s="402">
        <f>SUM([7]Summary!M66)</f>
        <v>0</v>
      </c>
      <c r="P69" s="398"/>
      <c r="Q69" s="403">
        <f>M69-O69</f>
        <v>0</v>
      </c>
    </row>
    <row r="70" spans="2:17">
      <c r="B70" s="505" t="s">
        <v>256</v>
      </c>
      <c r="C70" s="404">
        <f>-10.73119-173.30679</f>
        <v>-184.03798</v>
      </c>
      <c r="D70" s="405"/>
      <c r="E70" s="276">
        <f>[7]Summary!C67</f>
        <v>-98.068399999999997</v>
      </c>
      <c r="F70" s="406"/>
      <c r="G70" s="398">
        <f>C70-E70</f>
        <v>-85.969580000000008</v>
      </c>
      <c r="H70" s="399" t="e">
        <f ca="1">SUM([8]Actual!C70:'[8]Actual'!E70)</f>
        <v>#REF!</v>
      </c>
      <c r="I70" s="276"/>
      <c r="J70" s="400">
        <f>SUM([7]Actual!C68:E68)</f>
        <v>-352.53879999999998</v>
      </c>
      <c r="K70" s="398"/>
      <c r="L70" s="398" t="e">
        <f ca="1">H70-J70</f>
        <v>#REF!</v>
      </c>
      <c r="M70" s="399">
        <f>SUM([8]Actual!C70:E70)</f>
        <v>-623.02117999999996</v>
      </c>
      <c r="N70" s="401"/>
      <c r="O70" s="402">
        <f>SUM([7]Summary!M67)</f>
        <v>-352.53879999999998</v>
      </c>
      <c r="P70" s="398"/>
      <c r="Q70" s="403">
        <f>M70-O70</f>
        <v>-270.48237999999998</v>
      </c>
    </row>
    <row r="71" spans="2:17" ht="18" thickBot="1">
      <c r="B71" s="383" t="s">
        <v>257</v>
      </c>
      <c r="C71" s="407">
        <f>SUM(C65:C70)</f>
        <v>759908.57207999995</v>
      </c>
      <c r="D71" s="408"/>
      <c r="E71" s="409">
        <f>SUM(E65:E70)</f>
        <v>738904.74367000011</v>
      </c>
      <c r="F71" s="408"/>
      <c r="G71" s="409">
        <f>C71-E71</f>
        <v>21003.828409999842</v>
      </c>
      <c r="H71" s="408" t="e">
        <f ca="1">SUM(H65:H70)</f>
        <v>#REF!</v>
      </c>
      <c r="I71" s="408"/>
      <c r="J71" s="409">
        <f>SUM(J65:J70)</f>
        <v>2245749.0548899998</v>
      </c>
      <c r="K71" s="408"/>
      <c r="L71" s="409" t="e">
        <f ca="1">H71-J71</f>
        <v>#REF!</v>
      </c>
      <c r="M71" s="407">
        <f>SUM(M65:M70)</f>
        <v>2222510.48355</v>
      </c>
      <c r="N71" s="408"/>
      <c r="O71" s="409">
        <f>SUM(O65:O70)</f>
        <v>2245749.0548899998</v>
      </c>
      <c r="P71" s="408"/>
      <c r="Q71" s="409">
        <f>M71-O71</f>
        <v>-23238.571339999791</v>
      </c>
    </row>
    <row r="72" spans="2:17" ht="13.8" thickTop="1">
      <c r="B72" s="382"/>
    </row>
    <row r="73" spans="2:17">
      <c r="B73" s="382"/>
    </row>
    <row r="74" spans="2:17">
      <c r="B74" s="382"/>
    </row>
    <row r="75" spans="2:17">
      <c r="B75" s="410"/>
    </row>
    <row r="76" spans="2:17">
      <c r="B76" s="382"/>
    </row>
    <row r="77" spans="2:17">
      <c r="B77" s="382"/>
    </row>
    <row r="78" spans="2:17">
      <c r="B78" s="382"/>
    </row>
    <row r="79" spans="2:17">
      <c r="B79" s="382"/>
    </row>
    <row r="80" spans="2:17">
      <c r="B80" s="410"/>
    </row>
    <row r="81" spans="2:2">
      <c r="B81" s="382"/>
    </row>
    <row r="82" spans="2:2">
      <c r="B82" s="382"/>
    </row>
    <row r="83" spans="2:2">
      <c r="B83" s="410"/>
    </row>
    <row r="84" spans="2:2">
      <c r="B84" s="382"/>
    </row>
    <row r="85" spans="2:2">
      <c r="B85" s="382"/>
    </row>
    <row r="86" spans="2:2">
      <c r="B86" s="410"/>
    </row>
    <row r="87" spans="2:2">
      <c r="B87" s="382"/>
    </row>
    <row r="88" spans="2:2">
      <c r="B88" s="382"/>
    </row>
    <row r="89" spans="2:2">
      <c r="B89" s="410"/>
    </row>
    <row r="90" spans="2:2">
      <c r="B90" s="382"/>
    </row>
    <row r="91" spans="2:2">
      <c r="B91" s="410"/>
    </row>
    <row r="92" spans="2:2">
      <c r="B92" s="365"/>
    </row>
    <row r="93" spans="2:2">
      <c r="B93" s="410"/>
    </row>
    <row r="94" spans="2:2">
      <c r="B94" s="365"/>
    </row>
    <row r="95" spans="2:2">
      <c r="B95" s="410"/>
    </row>
    <row r="96" spans="2:2">
      <c r="B96" s="365"/>
    </row>
  </sheetData>
  <mergeCells count="1">
    <mergeCell ref="B2:D2"/>
  </mergeCells>
  <phoneticPr fontId="2" type="noConversion"/>
  <printOptions horizontalCentered="1" vertic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96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ColWidth="9.109375" defaultRowHeight="13.2"/>
  <cols>
    <col min="1" max="1" width="2.109375" style="557" customWidth="1"/>
    <col min="2" max="2" width="45.5546875" style="560" customWidth="1"/>
    <col min="3" max="5" width="11.88671875" style="560" customWidth="1"/>
    <col min="6" max="6" width="11.33203125" style="560" customWidth="1"/>
    <col min="7" max="7" width="14" style="560" bestFit="1" customWidth="1"/>
    <col min="8" max="10" width="11.88671875" style="560" customWidth="1"/>
    <col min="11" max="11" width="12.88671875" style="560" bestFit="1" customWidth="1"/>
    <col min="12" max="12" width="11.33203125" style="560" customWidth="1"/>
    <col min="13" max="13" width="11.88671875" style="560" customWidth="1"/>
    <col min="14" max="14" width="14.5546875" style="560" bestFit="1" customWidth="1"/>
    <col min="15" max="15" width="11.6640625" style="560" customWidth="1"/>
    <col min="16" max="17" width="11.33203125" style="560" customWidth="1"/>
    <col min="18" max="16384" width="9.109375" style="560"/>
  </cols>
  <sheetData>
    <row r="1" spans="2:17" ht="63.75" customHeight="1">
      <c r="B1" s="782" t="s">
        <v>476</v>
      </c>
    </row>
    <row r="2" spans="2:17" s="557" customFormat="1" ht="22.8">
      <c r="B2" s="786" t="s">
        <v>178</v>
      </c>
      <c r="C2" s="786"/>
      <c r="D2" s="786"/>
      <c r="O2" s="557" t="str">
        <f>B6</f>
        <v>Last Refreshed</v>
      </c>
      <c r="P2" s="557" t="str">
        <f>C6</f>
        <v>5/4/2012 09:55:22</v>
      </c>
    </row>
    <row r="3" spans="2:17" s="557" customFormat="1" ht="22.8">
      <c r="B3" s="558" t="s">
        <v>179</v>
      </c>
      <c r="C3" s="559"/>
      <c r="D3" s="559"/>
    </row>
    <row r="4" spans="2:17" ht="21">
      <c r="B4" s="315" t="s">
        <v>180</v>
      </c>
      <c r="C4" s="316"/>
    </row>
    <row r="5" spans="2:17" ht="16.8" hidden="1">
      <c r="B5" s="317"/>
      <c r="C5" s="561"/>
    </row>
    <row r="6" spans="2:17" hidden="1">
      <c r="B6" s="562" t="s">
        <v>181</v>
      </c>
      <c r="C6" s="563" t="s">
        <v>369</v>
      </c>
    </row>
    <row r="7" spans="2:17" ht="17.399999999999999">
      <c r="B7" s="564" t="str">
        <f>MID(D9,1,LEN(D9)-11)</f>
        <v>APR 2012</v>
      </c>
      <c r="C7" s="565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</row>
    <row r="8" spans="2:17" ht="66.75" customHeight="1">
      <c r="B8" s="564"/>
      <c r="C8" s="323" t="str">
        <f>C9</f>
        <v xml:space="preserve"> APR 2012</v>
      </c>
      <c r="D8" s="324" t="str">
        <f>D9</f>
        <v>APR 2012
Month
Plan</v>
      </c>
      <c r="E8" s="325" t="str">
        <f>E9</f>
        <v xml:space="preserve"> APR 2011</v>
      </c>
      <c r="F8" s="324" t="str">
        <f>F9</f>
        <v>Month
Variance
Plan</v>
      </c>
      <c r="G8" s="326" t="str">
        <f>"Month" &amp; CHAR(10) &amp;"Variance" &amp; CHAR(10) &amp; RIGHT(C9,2) &amp; "'" &amp; " vs " &amp; RIGHT(E9,2) &amp; "'"</f>
        <v>Month
Variance
12' vs 11'</v>
      </c>
      <c r="H8" s="323" t="str">
        <f>RIGHT(H9,4) &amp; " QTD"</f>
        <v>2012 QTD</v>
      </c>
      <c r="I8" s="324" t="str">
        <f>RIGHT(I9,13)</f>
        <v>2012 QTD
Plan</v>
      </c>
      <c r="J8" s="325" t="str">
        <f>RIGHT(J9,4) &amp; " QTD"</f>
        <v>2011 QTD</v>
      </c>
      <c r="K8" s="324" t="str">
        <f>K9</f>
        <v>QTD
Variance 
Plan</v>
      </c>
      <c r="L8" s="324" t="str">
        <f>"QTD" &amp; CHAR(10) &amp;"Variance" &amp; CHAR(10) &amp; RIGHT(H9,2) &amp; "'" &amp; " vs " &amp; RIGHT(J9,2) &amp; "'"</f>
        <v>QTD
Variance
12' vs 11'</v>
      </c>
      <c r="M8" s="323" t="str">
        <f>RIGHT(M9,4) &amp; " YTD"</f>
        <v>2012 YTD</v>
      </c>
      <c r="N8" s="324" t="str">
        <f>RIGHT(N9,13)</f>
        <v>2012 YTD
Plan</v>
      </c>
      <c r="O8" s="325" t="str">
        <f>RIGHT(O9,4) &amp; " YTD"</f>
        <v>2011 YTD</v>
      </c>
      <c r="P8" s="324" t="str">
        <f>P9</f>
        <v>YTD
Variance
Plan</v>
      </c>
      <c r="Q8" s="325" t="str">
        <f>"YTD" &amp; CHAR(10) &amp;"Variance" &amp; CHAR(10) &amp; RIGHT(M9,2) &amp; "'" &amp; " vs " &amp; RIGHT(O9,2) &amp; "'"</f>
        <v>YTD
Variance
12' vs 11'</v>
      </c>
    </row>
    <row r="9" spans="2:17" ht="66.75" hidden="1" customHeight="1">
      <c r="B9" s="327"/>
      <c r="C9" s="323" t="s">
        <v>370</v>
      </c>
      <c r="D9" s="324" t="s">
        <v>371</v>
      </c>
      <c r="E9" s="325" t="s">
        <v>372</v>
      </c>
      <c r="F9" s="324" t="s">
        <v>186</v>
      </c>
      <c r="G9" s="324" t="s">
        <v>187</v>
      </c>
      <c r="H9" s="323" t="s">
        <v>370</v>
      </c>
      <c r="I9" s="324" t="s">
        <v>373</v>
      </c>
      <c r="J9" s="325" t="s">
        <v>372</v>
      </c>
      <c r="K9" s="324" t="s">
        <v>189</v>
      </c>
      <c r="L9" s="324" t="s">
        <v>190</v>
      </c>
      <c r="M9" s="323" t="s">
        <v>370</v>
      </c>
      <c r="N9" s="324" t="s">
        <v>374</v>
      </c>
      <c r="O9" s="325" t="s">
        <v>372</v>
      </c>
      <c r="P9" s="324" t="s">
        <v>192</v>
      </c>
      <c r="Q9" s="325" t="s">
        <v>193</v>
      </c>
    </row>
    <row r="10" spans="2:17">
      <c r="B10" s="567" t="s">
        <v>194</v>
      </c>
      <c r="C10" s="329">
        <v>319743.43328</v>
      </c>
      <c r="D10" s="330">
        <v>291244.92414000002</v>
      </c>
      <c r="E10" s="331">
        <v>323941.06605999998</v>
      </c>
      <c r="F10" s="330">
        <v>28498.509139999998</v>
      </c>
      <c r="G10" s="330">
        <v>-4197.6327799999999</v>
      </c>
      <c r="H10" s="329">
        <v>319743.43328</v>
      </c>
      <c r="I10" s="330">
        <v>291244.92414000002</v>
      </c>
      <c r="J10" s="331">
        <v>323941.06605999998</v>
      </c>
      <c r="K10" s="332">
        <v>28498.509139999998</v>
      </c>
      <c r="L10" s="332">
        <v>-4197.6327799999999</v>
      </c>
      <c r="M10" s="329">
        <v>1208609.2102999999</v>
      </c>
      <c r="N10" s="330">
        <v>1210619.2321500001</v>
      </c>
      <c r="O10" s="331">
        <v>1216445.4320400001</v>
      </c>
      <c r="P10" s="332">
        <v>-2010.0218500000001</v>
      </c>
      <c r="Q10" s="333">
        <v>-7836.22174</v>
      </c>
    </row>
    <row r="11" spans="2:17">
      <c r="B11" s="567" t="s">
        <v>195</v>
      </c>
      <c r="C11" s="329">
        <v>12891.71724</v>
      </c>
      <c r="D11" s="330">
        <v>11963.875910000001</v>
      </c>
      <c r="E11" s="331"/>
      <c r="F11" s="330">
        <v>927.84132999999997</v>
      </c>
      <c r="G11" s="330">
        <v>12891.71724</v>
      </c>
      <c r="H11" s="329">
        <v>12891.71724</v>
      </c>
      <c r="I11" s="330">
        <v>11963.875910000001</v>
      </c>
      <c r="J11" s="331"/>
      <c r="K11" s="332">
        <v>927.84132999999997</v>
      </c>
      <c r="L11" s="332">
        <v>12891.71724</v>
      </c>
      <c r="M11" s="329">
        <v>48907.61808</v>
      </c>
      <c r="N11" s="330">
        <v>49508.163699999997</v>
      </c>
      <c r="O11" s="331"/>
      <c r="P11" s="332">
        <v>-600.54561999999999</v>
      </c>
      <c r="Q11" s="333">
        <v>48907.61808</v>
      </c>
    </row>
    <row r="12" spans="2:17">
      <c r="B12" s="567" t="s">
        <v>196</v>
      </c>
      <c r="C12" s="334"/>
      <c r="D12" s="335"/>
      <c r="E12" s="336"/>
      <c r="F12" s="335"/>
      <c r="G12" s="335"/>
      <c r="H12" s="334"/>
      <c r="I12" s="335"/>
      <c r="J12" s="336"/>
      <c r="K12" s="337"/>
      <c r="L12" s="337"/>
      <c r="M12" s="334"/>
      <c r="N12" s="335"/>
      <c r="O12" s="336"/>
      <c r="P12" s="337"/>
      <c r="Q12" s="338"/>
    </row>
    <row r="13" spans="2:17">
      <c r="B13" s="567" t="s">
        <v>197</v>
      </c>
      <c r="C13" s="334"/>
      <c r="D13" s="335"/>
      <c r="E13" s="336"/>
      <c r="F13" s="335"/>
      <c r="G13" s="335"/>
      <c r="H13" s="334"/>
      <c r="I13" s="335"/>
      <c r="J13" s="336"/>
      <c r="K13" s="337"/>
      <c r="L13" s="337"/>
      <c r="M13" s="334"/>
      <c r="N13" s="335"/>
      <c r="O13" s="336"/>
      <c r="P13" s="337"/>
      <c r="Q13" s="338"/>
    </row>
    <row r="14" spans="2:17">
      <c r="B14" s="567" t="s">
        <v>198</v>
      </c>
      <c r="C14" s="334"/>
      <c r="D14" s="335"/>
      <c r="E14" s="336"/>
      <c r="F14" s="335"/>
      <c r="G14" s="335"/>
      <c r="H14" s="334"/>
      <c r="I14" s="335"/>
      <c r="J14" s="336"/>
      <c r="K14" s="337"/>
      <c r="L14" s="337"/>
      <c r="M14" s="334"/>
      <c r="N14" s="335"/>
      <c r="O14" s="336"/>
      <c r="P14" s="337"/>
      <c r="Q14" s="338"/>
    </row>
    <row r="15" spans="2:17">
      <c r="B15" s="568" t="s">
        <v>199</v>
      </c>
      <c r="C15" s="340">
        <v>-9933.5989100000006</v>
      </c>
      <c r="D15" s="341">
        <v>20105.133239999999</v>
      </c>
      <c r="E15" s="342">
        <v>29052.544000000002</v>
      </c>
      <c r="F15" s="341">
        <v>-30038.73215</v>
      </c>
      <c r="G15" s="341">
        <v>-38986.142910000002</v>
      </c>
      <c r="H15" s="340">
        <v>-9933.5989100000006</v>
      </c>
      <c r="I15" s="341">
        <v>20105.133239999999</v>
      </c>
      <c r="J15" s="342">
        <v>29052.544000000002</v>
      </c>
      <c r="K15" s="343">
        <v>-30038.73215</v>
      </c>
      <c r="L15" s="343">
        <v>-38986.142910000002</v>
      </c>
      <c r="M15" s="340">
        <v>-511.10726</v>
      </c>
      <c r="N15" s="341">
        <v>-10115.64986</v>
      </c>
      <c r="O15" s="342">
        <v>5582.8608800000002</v>
      </c>
      <c r="P15" s="343">
        <v>9604.5426000000007</v>
      </c>
      <c r="Q15" s="344">
        <v>-6093.9681399999999</v>
      </c>
    </row>
    <row r="16" spans="2:17">
      <c r="B16" s="569" t="s">
        <v>200</v>
      </c>
      <c r="C16" s="334">
        <v>322701.55161000002</v>
      </c>
      <c r="D16" s="335">
        <v>323313.93329000002</v>
      </c>
      <c r="E16" s="336">
        <v>352993.61005999998</v>
      </c>
      <c r="F16" s="335">
        <v>-612.38167999999996</v>
      </c>
      <c r="G16" s="335">
        <v>-30292.05845</v>
      </c>
      <c r="H16" s="334">
        <v>322701.55161000002</v>
      </c>
      <c r="I16" s="335">
        <v>323313.93329000002</v>
      </c>
      <c r="J16" s="336">
        <v>352993.61005999998</v>
      </c>
      <c r="K16" s="337">
        <v>-612.38167999999996</v>
      </c>
      <c r="L16" s="337">
        <v>-30292.05845</v>
      </c>
      <c r="M16" s="334">
        <v>1257005.7211199999</v>
      </c>
      <c r="N16" s="335">
        <v>1250011.74599</v>
      </c>
      <c r="O16" s="336">
        <v>1222028.2929199999</v>
      </c>
      <c r="P16" s="337">
        <v>6993.9751299999998</v>
      </c>
      <c r="Q16" s="338">
        <v>34977.428200000002</v>
      </c>
    </row>
    <row r="17" spans="2:17">
      <c r="B17" s="568" t="s">
        <v>201</v>
      </c>
      <c r="C17" s="334">
        <v>4456.9254600000004</v>
      </c>
      <c r="D17" s="335">
        <v>4178.0382</v>
      </c>
      <c r="E17" s="336">
        <v>3879.8868499999999</v>
      </c>
      <c r="F17" s="335">
        <v>278.88726000000003</v>
      </c>
      <c r="G17" s="335">
        <v>577.03860999999995</v>
      </c>
      <c r="H17" s="334">
        <v>4456.9254600000004</v>
      </c>
      <c r="I17" s="335">
        <v>4178.0382</v>
      </c>
      <c r="J17" s="336">
        <v>3879.8868499999999</v>
      </c>
      <c r="K17" s="337">
        <v>278.88726000000003</v>
      </c>
      <c r="L17" s="337">
        <v>577.03860999999995</v>
      </c>
      <c r="M17" s="334">
        <v>17833.471119999998</v>
      </c>
      <c r="N17" s="335">
        <v>17508.1368</v>
      </c>
      <c r="O17" s="336">
        <v>16535.834750000002</v>
      </c>
      <c r="P17" s="337">
        <v>325.33431999999999</v>
      </c>
      <c r="Q17" s="338">
        <v>1297.6363699999999</v>
      </c>
    </row>
    <row r="18" spans="2:17">
      <c r="B18" s="568" t="s">
        <v>202</v>
      </c>
      <c r="C18" s="334">
        <v>352.93700000000001</v>
      </c>
      <c r="D18" s="335">
        <v>178.79589999999999</v>
      </c>
      <c r="E18" s="336">
        <v>79.363</v>
      </c>
      <c r="F18" s="335">
        <v>174.14109999999999</v>
      </c>
      <c r="G18" s="335">
        <v>273.57400000000001</v>
      </c>
      <c r="H18" s="334">
        <v>352.93700000000001</v>
      </c>
      <c r="I18" s="335">
        <v>178.79589999999999</v>
      </c>
      <c r="J18" s="336">
        <v>79.363</v>
      </c>
      <c r="K18" s="337">
        <v>174.14109999999999</v>
      </c>
      <c r="L18" s="337">
        <v>273.57400000000001</v>
      </c>
      <c r="M18" s="334">
        <v>763.202</v>
      </c>
      <c r="N18" s="335">
        <v>571.30870000000004</v>
      </c>
      <c r="O18" s="336">
        <v>-662.45</v>
      </c>
      <c r="P18" s="337">
        <v>191.89330000000001</v>
      </c>
      <c r="Q18" s="338">
        <v>1425.652</v>
      </c>
    </row>
    <row r="19" spans="2:17">
      <c r="B19" s="570" t="s">
        <v>203</v>
      </c>
      <c r="C19" s="340"/>
      <c r="D19" s="341"/>
      <c r="E19" s="342"/>
      <c r="F19" s="341"/>
      <c r="G19" s="341"/>
      <c r="H19" s="340"/>
      <c r="I19" s="341"/>
      <c r="J19" s="342"/>
      <c r="K19" s="343"/>
      <c r="L19" s="343"/>
      <c r="M19" s="340"/>
      <c r="N19" s="341"/>
      <c r="O19" s="342"/>
      <c r="P19" s="343"/>
      <c r="Q19" s="344"/>
    </row>
    <row r="20" spans="2:17">
      <c r="B20" s="569" t="s">
        <v>204</v>
      </c>
      <c r="C20" s="334">
        <v>4809.8624600000003</v>
      </c>
      <c r="D20" s="335">
        <v>4356.8341</v>
      </c>
      <c r="E20" s="336">
        <v>3959.2498500000002</v>
      </c>
      <c r="F20" s="335">
        <v>453.02836000000002</v>
      </c>
      <c r="G20" s="335">
        <v>850.61261000000002</v>
      </c>
      <c r="H20" s="334">
        <v>4809.8624600000003</v>
      </c>
      <c r="I20" s="335">
        <v>4356.8341</v>
      </c>
      <c r="J20" s="336">
        <v>3959.2498500000002</v>
      </c>
      <c r="K20" s="337">
        <v>453.02836000000002</v>
      </c>
      <c r="L20" s="337">
        <v>850.61261000000002</v>
      </c>
      <c r="M20" s="334">
        <v>18596.673119999999</v>
      </c>
      <c r="N20" s="335">
        <v>18079.445500000002</v>
      </c>
      <c r="O20" s="336">
        <v>15873.384749999999</v>
      </c>
      <c r="P20" s="337">
        <v>517.22762</v>
      </c>
      <c r="Q20" s="338">
        <v>2723.2883700000002</v>
      </c>
    </row>
    <row r="21" spans="2:17">
      <c r="B21" s="571" t="s">
        <v>205</v>
      </c>
      <c r="C21" s="334">
        <v>3908.4829100000002</v>
      </c>
      <c r="D21" s="335">
        <v>3620.4568399999998</v>
      </c>
      <c r="E21" s="336">
        <v>3898.0942399999999</v>
      </c>
      <c r="F21" s="335">
        <v>288.02607</v>
      </c>
      <c r="G21" s="335">
        <v>10.388669999999999</v>
      </c>
      <c r="H21" s="334">
        <v>3908.4829100000002</v>
      </c>
      <c r="I21" s="335">
        <v>3620.4568399999998</v>
      </c>
      <c r="J21" s="336">
        <v>3898.0942399999999</v>
      </c>
      <c r="K21" s="337">
        <v>288.02607</v>
      </c>
      <c r="L21" s="337">
        <v>10.388669999999999</v>
      </c>
      <c r="M21" s="334">
        <v>13417.828750000001</v>
      </c>
      <c r="N21" s="335">
        <v>14475.43086</v>
      </c>
      <c r="O21" s="336">
        <v>12560.886049999999</v>
      </c>
      <c r="P21" s="337">
        <v>-1057.60211</v>
      </c>
      <c r="Q21" s="338">
        <v>856.94269999999995</v>
      </c>
    </row>
    <row r="22" spans="2:17">
      <c r="B22" s="571" t="s">
        <v>206</v>
      </c>
      <c r="C22" s="334">
        <v>3220.12356</v>
      </c>
      <c r="D22" s="335">
        <v>3125.92652</v>
      </c>
      <c r="E22" s="336">
        <v>3333.2584400000001</v>
      </c>
      <c r="F22" s="335">
        <v>94.197040000000001</v>
      </c>
      <c r="G22" s="335">
        <v>-113.13488</v>
      </c>
      <c r="H22" s="334">
        <v>3220.12356</v>
      </c>
      <c r="I22" s="335">
        <v>3125.92652</v>
      </c>
      <c r="J22" s="336">
        <v>3333.2584400000001</v>
      </c>
      <c r="K22" s="337">
        <v>94.197040000000001</v>
      </c>
      <c r="L22" s="337">
        <v>-113.13488</v>
      </c>
      <c r="M22" s="334">
        <v>12669.850829999999</v>
      </c>
      <c r="N22" s="335">
        <v>13253.45572</v>
      </c>
      <c r="O22" s="336">
        <v>9348.2814600000002</v>
      </c>
      <c r="P22" s="337">
        <v>-583.60488999999995</v>
      </c>
      <c r="Q22" s="338">
        <v>3321.5693700000002</v>
      </c>
    </row>
    <row r="23" spans="2:17">
      <c r="B23" s="571" t="s">
        <v>207</v>
      </c>
      <c r="C23" s="334">
        <v>0</v>
      </c>
      <c r="D23" s="335"/>
      <c r="E23" s="336">
        <v>8.3480000000000008</v>
      </c>
      <c r="F23" s="335">
        <v>0</v>
      </c>
      <c r="G23" s="335">
        <v>-8.3480000000000008</v>
      </c>
      <c r="H23" s="334">
        <v>0</v>
      </c>
      <c r="I23" s="335"/>
      <c r="J23" s="336">
        <v>8.3480000000000008</v>
      </c>
      <c r="K23" s="337">
        <v>0</v>
      </c>
      <c r="L23" s="337">
        <v>-8.3480000000000008</v>
      </c>
      <c r="M23" s="334">
        <v>0.754</v>
      </c>
      <c r="N23" s="335"/>
      <c r="O23" s="336">
        <v>19.763400000000001</v>
      </c>
      <c r="P23" s="337">
        <v>0.754</v>
      </c>
      <c r="Q23" s="338">
        <v>-19.009399999999999</v>
      </c>
    </row>
    <row r="24" spans="2:17">
      <c r="B24" s="571" t="s">
        <v>208</v>
      </c>
      <c r="C24" s="334">
        <v>2099.1549100000002</v>
      </c>
      <c r="D24" s="335">
        <v>1738.3637000000001</v>
      </c>
      <c r="E24" s="336">
        <v>1988.4122</v>
      </c>
      <c r="F24" s="335">
        <v>360.79120999999998</v>
      </c>
      <c r="G24" s="335">
        <v>110.74271</v>
      </c>
      <c r="H24" s="334">
        <v>2099.1549100000002</v>
      </c>
      <c r="I24" s="335">
        <v>1738.3637000000001</v>
      </c>
      <c r="J24" s="336">
        <v>1988.4122</v>
      </c>
      <c r="K24" s="337">
        <v>360.79120999999998</v>
      </c>
      <c r="L24" s="337">
        <v>110.74271</v>
      </c>
      <c r="M24" s="334">
        <v>9026.8098800000007</v>
      </c>
      <c r="N24" s="335">
        <v>9466.9431999999997</v>
      </c>
      <c r="O24" s="336">
        <v>9627.0742100000007</v>
      </c>
      <c r="P24" s="337">
        <v>-440.13332000000003</v>
      </c>
      <c r="Q24" s="338">
        <v>-600.26432999999997</v>
      </c>
    </row>
    <row r="25" spans="2:17">
      <c r="B25" s="568" t="s">
        <v>209</v>
      </c>
      <c r="C25" s="334">
        <v>2276.59773</v>
      </c>
      <c r="D25" s="335">
        <v>2522.03388</v>
      </c>
      <c r="E25" s="336">
        <v>2334.1560599999998</v>
      </c>
      <c r="F25" s="335">
        <v>-245.43615</v>
      </c>
      <c r="G25" s="335">
        <v>-57.558329999999998</v>
      </c>
      <c r="H25" s="334">
        <v>2276.59773</v>
      </c>
      <c r="I25" s="335">
        <v>2522.03388</v>
      </c>
      <c r="J25" s="336">
        <v>2334.1560599999998</v>
      </c>
      <c r="K25" s="337">
        <v>-245.43615</v>
      </c>
      <c r="L25" s="337">
        <v>-57.558329999999998</v>
      </c>
      <c r="M25" s="334">
        <v>9907.6399399999991</v>
      </c>
      <c r="N25" s="335">
        <v>10256.423580000001</v>
      </c>
      <c r="O25" s="336">
        <v>10028.414720000001</v>
      </c>
      <c r="P25" s="337">
        <v>-348.78363999999999</v>
      </c>
      <c r="Q25" s="338">
        <v>-120.77478000000001</v>
      </c>
    </row>
    <row r="26" spans="2:17">
      <c r="B26" s="570" t="s">
        <v>210</v>
      </c>
      <c r="C26" s="334"/>
      <c r="D26" s="348"/>
      <c r="E26" s="336"/>
      <c r="F26" s="348"/>
      <c r="G26" s="348"/>
      <c r="H26" s="334"/>
      <c r="I26" s="348"/>
      <c r="J26" s="336"/>
      <c r="K26" s="349"/>
      <c r="L26" s="349"/>
      <c r="M26" s="334"/>
      <c r="N26" s="348"/>
      <c r="O26" s="336"/>
      <c r="P26" s="349"/>
      <c r="Q26" s="338"/>
    </row>
    <row r="27" spans="2:17">
      <c r="B27" s="568" t="s">
        <v>211</v>
      </c>
      <c r="C27" s="334">
        <v>1326.3238200000001</v>
      </c>
      <c r="D27" s="335">
        <v>1196.6199999999999</v>
      </c>
      <c r="E27" s="336">
        <v>1452.87077</v>
      </c>
      <c r="F27" s="335">
        <v>129.70382000000001</v>
      </c>
      <c r="G27" s="335">
        <v>-126.54695</v>
      </c>
      <c r="H27" s="334">
        <v>1326.3238200000001</v>
      </c>
      <c r="I27" s="335">
        <v>1196.6199999999999</v>
      </c>
      <c r="J27" s="336">
        <v>1452.87077</v>
      </c>
      <c r="K27" s="337">
        <v>129.70382000000001</v>
      </c>
      <c r="L27" s="337">
        <v>-126.54695</v>
      </c>
      <c r="M27" s="334">
        <v>4488.13382</v>
      </c>
      <c r="N27" s="335">
        <v>4967.1239999999998</v>
      </c>
      <c r="O27" s="336">
        <v>5155.5411899999999</v>
      </c>
      <c r="P27" s="337">
        <v>-478.99018000000001</v>
      </c>
      <c r="Q27" s="338">
        <v>-667.40737000000001</v>
      </c>
    </row>
    <row r="28" spans="2:17">
      <c r="B28" s="568" t="s">
        <v>212</v>
      </c>
      <c r="C28" s="334"/>
      <c r="D28" s="335"/>
      <c r="E28" s="336"/>
      <c r="F28" s="335"/>
      <c r="G28" s="335"/>
      <c r="H28" s="334"/>
      <c r="I28" s="335"/>
      <c r="J28" s="336"/>
      <c r="K28" s="337"/>
      <c r="L28" s="337"/>
      <c r="M28" s="334"/>
      <c r="N28" s="335"/>
      <c r="O28" s="336"/>
      <c r="P28" s="337"/>
      <c r="Q28" s="338"/>
    </row>
    <row r="29" spans="2:17">
      <c r="B29" s="568" t="s">
        <v>213</v>
      </c>
      <c r="C29" s="334">
        <v>702.95745999999997</v>
      </c>
      <c r="D29" s="335">
        <v>299.16244999999998</v>
      </c>
      <c r="E29" s="336">
        <v>607.22197000000006</v>
      </c>
      <c r="F29" s="335">
        <v>403.79500999999999</v>
      </c>
      <c r="G29" s="335">
        <v>95.735489999999999</v>
      </c>
      <c r="H29" s="334">
        <v>702.95745999999997</v>
      </c>
      <c r="I29" s="335">
        <v>299.16244999999998</v>
      </c>
      <c r="J29" s="336">
        <v>607.22197000000006</v>
      </c>
      <c r="K29" s="337">
        <v>403.79500999999999</v>
      </c>
      <c r="L29" s="337">
        <v>95.735489999999999</v>
      </c>
      <c r="M29" s="334">
        <v>2332.0094199999999</v>
      </c>
      <c r="N29" s="335">
        <v>1137.9508599999999</v>
      </c>
      <c r="O29" s="336">
        <v>1985.5155400000001</v>
      </c>
      <c r="P29" s="337">
        <v>1194.0585599999999</v>
      </c>
      <c r="Q29" s="338">
        <v>346.49387999999999</v>
      </c>
    </row>
    <row r="30" spans="2:17">
      <c r="B30" s="568" t="s">
        <v>214</v>
      </c>
      <c r="C30" s="334"/>
      <c r="D30" s="335"/>
      <c r="E30" s="336"/>
      <c r="F30" s="335"/>
      <c r="G30" s="335"/>
      <c r="H30" s="334"/>
      <c r="I30" s="335"/>
      <c r="J30" s="336"/>
      <c r="K30" s="337"/>
      <c r="L30" s="337"/>
      <c r="M30" s="334"/>
      <c r="N30" s="335"/>
      <c r="O30" s="336"/>
      <c r="P30" s="337"/>
      <c r="Q30" s="338"/>
    </row>
    <row r="31" spans="2:17" ht="20.25" customHeight="1">
      <c r="B31" s="572" t="s">
        <v>215</v>
      </c>
      <c r="C31" s="351">
        <v>13533.64039</v>
      </c>
      <c r="D31" s="352">
        <v>12502.563389999999</v>
      </c>
      <c r="E31" s="353">
        <v>13622.36168</v>
      </c>
      <c r="F31" s="352">
        <v>1031.077</v>
      </c>
      <c r="G31" s="352">
        <v>-88.721289999999996</v>
      </c>
      <c r="H31" s="351">
        <v>13533.64039</v>
      </c>
      <c r="I31" s="352">
        <v>12502.563389999999</v>
      </c>
      <c r="J31" s="353">
        <v>13622.36168</v>
      </c>
      <c r="K31" s="354">
        <v>1031.077</v>
      </c>
      <c r="L31" s="354">
        <v>-88.721289999999996</v>
      </c>
      <c r="M31" s="351">
        <v>51843.026639999996</v>
      </c>
      <c r="N31" s="352">
        <v>53557.328220000003</v>
      </c>
      <c r="O31" s="353">
        <v>48725.476569999999</v>
      </c>
      <c r="P31" s="354">
        <v>-1714.3015800000001</v>
      </c>
      <c r="Q31" s="355">
        <v>3117.5500699999998</v>
      </c>
    </row>
    <row r="32" spans="2:17" ht="13.8">
      <c r="B32" s="572" t="s">
        <v>216</v>
      </c>
      <c r="C32" s="334">
        <v>341045.05446000001</v>
      </c>
      <c r="D32" s="335">
        <v>340173.33078000002</v>
      </c>
      <c r="E32" s="336">
        <v>370575.22158999997</v>
      </c>
      <c r="F32" s="335">
        <v>871.72367999999994</v>
      </c>
      <c r="G32" s="335">
        <v>-29530.167130000002</v>
      </c>
      <c r="H32" s="334">
        <v>341045.05446000001</v>
      </c>
      <c r="I32" s="335">
        <v>340173.33078000002</v>
      </c>
      <c r="J32" s="336">
        <v>370575.22158999997</v>
      </c>
      <c r="K32" s="337">
        <v>871.72367999999994</v>
      </c>
      <c r="L32" s="337">
        <v>-29530.167130000002</v>
      </c>
      <c r="M32" s="334">
        <v>1327445.4208800001</v>
      </c>
      <c r="N32" s="335">
        <v>1321648.5197099999</v>
      </c>
      <c r="O32" s="336">
        <v>1286627.1542400001</v>
      </c>
      <c r="P32" s="337">
        <v>5796.9011700000001</v>
      </c>
      <c r="Q32" s="338">
        <v>40818.266640000002</v>
      </c>
    </row>
    <row r="33" spans="2:17">
      <c r="B33" s="570" t="s">
        <v>217</v>
      </c>
      <c r="C33" s="334">
        <v>296185.50156</v>
      </c>
      <c r="D33" s="335">
        <v>276188.49371000001</v>
      </c>
      <c r="E33" s="336">
        <v>357004.47993999999</v>
      </c>
      <c r="F33" s="335">
        <v>19997.007850000002</v>
      </c>
      <c r="G33" s="335">
        <v>-60818.97838</v>
      </c>
      <c r="H33" s="334">
        <v>296185.50156</v>
      </c>
      <c r="I33" s="335">
        <v>276188.49371000001</v>
      </c>
      <c r="J33" s="336">
        <v>357004.47993999999</v>
      </c>
      <c r="K33" s="337">
        <v>19997.007850000002</v>
      </c>
      <c r="L33" s="337">
        <v>-60818.97838</v>
      </c>
      <c r="M33" s="334">
        <v>1118186.75474</v>
      </c>
      <c r="N33" s="335">
        <v>1139636.50853</v>
      </c>
      <c r="O33" s="336">
        <v>1299369.442</v>
      </c>
      <c r="P33" s="337">
        <v>-21449.753789999999</v>
      </c>
      <c r="Q33" s="338">
        <v>-181182.68726000001</v>
      </c>
    </row>
    <row r="34" spans="2:17">
      <c r="B34" s="570" t="s">
        <v>218</v>
      </c>
      <c r="C34" s="334"/>
      <c r="D34" s="335"/>
      <c r="E34" s="336"/>
      <c r="F34" s="335"/>
      <c r="G34" s="335"/>
      <c r="H34" s="334"/>
      <c r="I34" s="335"/>
      <c r="J34" s="336"/>
      <c r="K34" s="337"/>
      <c r="L34" s="337"/>
      <c r="M34" s="334"/>
      <c r="N34" s="335"/>
      <c r="O34" s="336"/>
      <c r="P34" s="337"/>
      <c r="Q34" s="338"/>
    </row>
    <row r="35" spans="2:17">
      <c r="B35" s="568" t="s">
        <v>219</v>
      </c>
      <c r="C35" s="334">
        <v>563.02678000000003</v>
      </c>
      <c r="D35" s="335">
        <v>1112.1184499999999</v>
      </c>
      <c r="E35" s="336">
        <v>1273.2498000000001</v>
      </c>
      <c r="F35" s="335">
        <v>-549.09167000000002</v>
      </c>
      <c r="G35" s="335">
        <v>-710.22302000000002</v>
      </c>
      <c r="H35" s="334">
        <v>563.02678000000003</v>
      </c>
      <c r="I35" s="335">
        <v>1112.1184499999999</v>
      </c>
      <c r="J35" s="336">
        <v>1273.2498000000001</v>
      </c>
      <c r="K35" s="337">
        <v>-549.09167000000002</v>
      </c>
      <c r="L35" s="337">
        <v>-710.22302000000002</v>
      </c>
      <c r="M35" s="334">
        <v>4956.4781599999997</v>
      </c>
      <c r="N35" s="335">
        <v>12088.14358</v>
      </c>
      <c r="O35" s="336">
        <v>11037.13269</v>
      </c>
      <c r="P35" s="337">
        <v>-7131.6654200000003</v>
      </c>
      <c r="Q35" s="338">
        <v>-6080.6545299999998</v>
      </c>
    </row>
    <row r="36" spans="2:17">
      <c r="B36" s="568" t="s">
        <v>220</v>
      </c>
      <c r="C36" s="334"/>
      <c r="D36" s="335">
        <v>0</v>
      </c>
      <c r="E36" s="336"/>
      <c r="F36" s="335">
        <v>0</v>
      </c>
      <c r="G36" s="335"/>
      <c r="H36" s="334"/>
      <c r="I36" s="335">
        <v>0</v>
      </c>
      <c r="J36" s="336"/>
      <c r="K36" s="337">
        <v>0</v>
      </c>
      <c r="L36" s="337"/>
      <c r="M36" s="334"/>
      <c r="N36" s="335">
        <v>0</v>
      </c>
      <c r="O36" s="336"/>
      <c r="P36" s="337">
        <v>0</v>
      </c>
      <c r="Q36" s="338"/>
    </row>
    <row r="37" spans="2:17">
      <c r="B37" s="571" t="s">
        <v>221</v>
      </c>
      <c r="C37" s="340">
        <v>186.85113999999999</v>
      </c>
      <c r="D37" s="341"/>
      <c r="E37" s="342">
        <v>97.765940000000001</v>
      </c>
      <c r="F37" s="341">
        <v>186.85113999999999</v>
      </c>
      <c r="G37" s="341">
        <v>89.0852</v>
      </c>
      <c r="H37" s="340">
        <v>186.85113999999999</v>
      </c>
      <c r="I37" s="341"/>
      <c r="J37" s="342">
        <v>97.765940000000001</v>
      </c>
      <c r="K37" s="343">
        <v>186.85113999999999</v>
      </c>
      <c r="L37" s="343">
        <v>89.0852</v>
      </c>
      <c r="M37" s="340">
        <v>-34.506410000000002</v>
      </c>
      <c r="N37" s="341"/>
      <c r="O37" s="342">
        <v>741.16876999999999</v>
      </c>
      <c r="P37" s="343">
        <v>-34.506410000000002</v>
      </c>
      <c r="Q37" s="344">
        <v>-775.67517999999995</v>
      </c>
    </row>
    <row r="38" spans="2:17" ht="20.25" customHeight="1">
      <c r="B38" s="573" t="s">
        <v>222</v>
      </c>
      <c r="C38" s="334">
        <v>296935.37948</v>
      </c>
      <c r="D38" s="335">
        <v>277300.61216000002</v>
      </c>
      <c r="E38" s="336">
        <v>358375.49567999999</v>
      </c>
      <c r="F38" s="335">
        <v>19634.767319999999</v>
      </c>
      <c r="G38" s="335">
        <v>-61440.116199999997</v>
      </c>
      <c r="H38" s="334">
        <v>296935.37948</v>
      </c>
      <c r="I38" s="335">
        <v>277300.61216000002</v>
      </c>
      <c r="J38" s="336">
        <v>358375.49567999999</v>
      </c>
      <c r="K38" s="337">
        <v>19634.767319999999</v>
      </c>
      <c r="L38" s="337">
        <v>-61440.116199999997</v>
      </c>
      <c r="M38" s="334">
        <v>1123108.72649</v>
      </c>
      <c r="N38" s="335">
        <v>1151724.6521099999</v>
      </c>
      <c r="O38" s="336">
        <v>1311147.74346</v>
      </c>
      <c r="P38" s="337">
        <v>-28615.925620000002</v>
      </c>
      <c r="Q38" s="338">
        <v>-188039.01697</v>
      </c>
    </row>
    <row r="39" spans="2:17">
      <c r="B39" s="568" t="s">
        <v>223</v>
      </c>
      <c r="C39" s="334">
        <v>67875.759990000006</v>
      </c>
      <c r="D39" s="335">
        <v>50954.626230000002</v>
      </c>
      <c r="E39" s="336">
        <v>49206.997810000001</v>
      </c>
      <c r="F39" s="335">
        <v>16921.133760000001</v>
      </c>
      <c r="G39" s="335">
        <v>18668.762180000002</v>
      </c>
      <c r="H39" s="334">
        <v>67875.759990000006</v>
      </c>
      <c r="I39" s="335">
        <v>50954.626230000002</v>
      </c>
      <c r="J39" s="336">
        <v>49206.997810000001</v>
      </c>
      <c r="K39" s="337">
        <v>16921.133760000001</v>
      </c>
      <c r="L39" s="337">
        <v>18668.762180000002</v>
      </c>
      <c r="M39" s="334">
        <v>256996.47257000001</v>
      </c>
      <c r="N39" s="335">
        <v>210857.25015000001</v>
      </c>
      <c r="O39" s="336">
        <v>181626.01702999999</v>
      </c>
      <c r="P39" s="337">
        <v>46139.222419999998</v>
      </c>
      <c r="Q39" s="338">
        <v>75370.455539999995</v>
      </c>
    </row>
    <row r="40" spans="2:17">
      <c r="B40" s="568" t="s">
        <v>224</v>
      </c>
      <c r="C40" s="334">
        <v>-12891.71724</v>
      </c>
      <c r="D40" s="335"/>
      <c r="E40" s="336"/>
      <c r="F40" s="335">
        <v>-12891.71724</v>
      </c>
      <c r="G40" s="335">
        <v>-12891.71724</v>
      </c>
      <c r="H40" s="334">
        <v>-12891.71724</v>
      </c>
      <c r="I40" s="335"/>
      <c r="J40" s="336"/>
      <c r="K40" s="337">
        <v>-12891.71724</v>
      </c>
      <c r="L40" s="337">
        <v>-12891.71724</v>
      </c>
      <c r="M40" s="334">
        <v>-48907.61808</v>
      </c>
      <c r="N40" s="335"/>
      <c r="O40" s="336"/>
      <c r="P40" s="337">
        <v>-48907.61808</v>
      </c>
      <c r="Q40" s="338">
        <v>-48907.61808</v>
      </c>
    </row>
    <row r="41" spans="2:17">
      <c r="B41" s="568" t="s">
        <v>225</v>
      </c>
      <c r="C41" s="334">
        <v>65.281059999999997</v>
      </c>
      <c r="D41" s="335">
        <v>32.442599999999999</v>
      </c>
      <c r="E41" s="336">
        <v>26.356079999999999</v>
      </c>
      <c r="F41" s="335">
        <v>32.838459999999998</v>
      </c>
      <c r="G41" s="335">
        <v>38.924979999999998</v>
      </c>
      <c r="H41" s="334">
        <v>65.281059999999997</v>
      </c>
      <c r="I41" s="335">
        <v>32.442599999999999</v>
      </c>
      <c r="J41" s="336">
        <v>26.356079999999999</v>
      </c>
      <c r="K41" s="337">
        <v>32.838459999999998</v>
      </c>
      <c r="L41" s="337">
        <v>38.924979999999998</v>
      </c>
      <c r="M41" s="334">
        <v>412.15332000000001</v>
      </c>
      <c r="N41" s="335">
        <v>816.51513999999997</v>
      </c>
      <c r="O41" s="336">
        <v>768.61018000000001</v>
      </c>
      <c r="P41" s="337">
        <v>-404.36182000000002</v>
      </c>
      <c r="Q41" s="338">
        <v>-356.45686000000001</v>
      </c>
    </row>
    <row r="42" spans="2:17">
      <c r="B42" s="571" t="s">
        <v>226</v>
      </c>
      <c r="C42" s="340"/>
      <c r="D42" s="341"/>
      <c r="E42" s="342"/>
      <c r="F42" s="341"/>
      <c r="G42" s="341"/>
      <c r="H42" s="340"/>
      <c r="I42" s="341"/>
      <c r="J42" s="342"/>
      <c r="K42" s="343"/>
      <c r="L42" s="343"/>
      <c r="M42" s="340"/>
      <c r="N42" s="341"/>
      <c r="O42" s="342"/>
      <c r="P42" s="343"/>
      <c r="Q42" s="344"/>
    </row>
    <row r="43" spans="2:17" ht="20.25" customHeight="1">
      <c r="B43" s="573" t="s">
        <v>227</v>
      </c>
      <c r="C43" s="334">
        <v>55049.323810000002</v>
      </c>
      <c r="D43" s="335">
        <v>50987.068829999997</v>
      </c>
      <c r="E43" s="336">
        <v>49233.353889999999</v>
      </c>
      <c r="F43" s="335">
        <v>4062.2549800000002</v>
      </c>
      <c r="G43" s="335">
        <v>5815.9699199999995</v>
      </c>
      <c r="H43" s="334">
        <v>55049.323810000002</v>
      </c>
      <c r="I43" s="335">
        <v>50987.068829999997</v>
      </c>
      <c r="J43" s="336">
        <v>49233.353889999999</v>
      </c>
      <c r="K43" s="337">
        <v>4062.2549800000002</v>
      </c>
      <c r="L43" s="337">
        <v>5815.9699199999995</v>
      </c>
      <c r="M43" s="334">
        <v>208501.00781000001</v>
      </c>
      <c r="N43" s="335">
        <v>211673.76529000001</v>
      </c>
      <c r="O43" s="336">
        <v>182394.62721000001</v>
      </c>
      <c r="P43" s="337">
        <v>-3172.7574800000002</v>
      </c>
      <c r="Q43" s="338">
        <v>26106.3806</v>
      </c>
    </row>
    <row r="44" spans="2:17">
      <c r="B44" s="568" t="s">
        <v>228</v>
      </c>
      <c r="C44" s="334">
        <v>13492.245999999999</v>
      </c>
      <c r="D44" s="335">
        <v>12328.8716</v>
      </c>
      <c r="E44" s="336">
        <v>11727.184370000001</v>
      </c>
      <c r="F44" s="335">
        <v>1163.3743999999999</v>
      </c>
      <c r="G44" s="335">
        <v>1765.0616299999999</v>
      </c>
      <c r="H44" s="334">
        <v>13492.245999999999</v>
      </c>
      <c r="I44" s="335">
        <v>12328.8716</v>
      </c>
      <c r="J44" s="336">
        <v>11727.184370000001</v>
      </c>
      <c r="K44" s="337">
        <v>1163.3743999999999</v>
      </c>
      <c r="L44" s="337">
        <v>1765.0616299999999</v>
      </c>
      <c r="M44" s="334">
        <v>57919.693789999998</v>
      </c>
      <c r="N44" s="335">
        <v>52013.472999999998</v>
      </c>
      <c r="O44" s="336">
        <v>41615.558499999999</v>
      </c>
      <c r="P44" s="337">
        <v>5906.2207900000003</v>
      </c>
      <c r="Q44" s="338">
        <v>16304.13529</v>
      </c>
    </row>
    <row r="45" spans="2:17">
      <c r="B45" s="571" t="s">
        <v>229</v>
      </c>
      <c r="C45" s="340"/>
      <c r="D45" s="341">
        <v>0</v>
      </c>
      <c r="E45" s="342"/>
      <c r="F45" s="341">
        <v>0</v>
      </c>
      <c r="G45" s="341"/>
      <c r="H45" s="340"/>
      <c r="I45" s="341">
        <v>0</v>
      </c>
      <c r="J45" s="342"/>
      <c r="K45" s="343">
        <v>0</v>
      </c>
      <c r="L45" s="343"/>
      <c r="M45" s="340"/>
      <c r="N45" s="341">
        <v>0</v>
      </c>
      <c r="O45" s="342"/>
      <c r="P45" s="343">
        <v>0</v>
      </c>
      <c r="Q45" s="344"/>
    </row>
    <row r="46" spans="2:17" ht="20.25" customHeight="1">
      <c r="B46" s="573" t="s">
        <v>230</v>
      </c>
      <c r="C46" s="334">
        <v>13492.245999999999</v>
      </c>
      <c r="D46" s="335">
        <v>12328.8716</v>
      </c>
      <c r="E46" s="336">
        <v>11727.184370000001</v>
      </c>
      <c r="F46" s="335">
        <v>1163.3743999999999</v>
      </c>
      <c r="G46" s="335">
        <v>1765.0616299999999</v>
      </c>
      <c r="H46" s="334">
        <v>13492.245999999999</v>
      </c>
      <c r="I46" s="335">
        <v>12328.8716</v>
      </c>
      <c r="J46" s="336">
        <v>11727.184370000001</v>
      </c>
      <c r="K46" s="337">
        <v>1163.3743999999999</v>
      </c>
      <c r="L46" s="337">
        <v>1765.0616299999999</v>
      </c>
      <c r="M46" s="334">
        <v>57919.693789999998</v>
      </c>
      <c r="N46" s="335">
        <v>52013.472999999998</v>
      </c>
      <c r="O46" s="336">
        <v>41615.558499999999</v>
      </c>
      <c r="P46" s="337">
        <v>5906.2207900000003</v>
      </c>
      <c r="Q46" s="338">
        <v>16304.13529</v>
      </c>
    </row>
    <row r="47" spans="2:17">
      <c r="B47" s="568" t="s">
        <v>231</v>
      </c>
      <c r="C47" s="334">
        <v>13604.784299999999</v>
      </c>
      <c r="D47" s="335">
        <v>12430.21178</v>
      </c>
      <c r="E47" s="336">
        <v>10652.760029999999</v>
      </c>
      <c r="F47" s="335">
        <v>1174.5725199999999</v>
      </c>
      <c r="G47" s="335">
        <v>2952.0242699999999</v>
      </c>
      <c r="H47" s="334">
        <v>13604.784299999999</v>
      </c>
      <c r="I47" s="335">
        <v>12430.21178</v>
      </c>
      <c r="J47" s="336">
        <v>10652.760029999999</v>
      </c>
      <c r="K47" s="337">
        <v>1174.5725199999999</v>
      </c>
      <c r="L47" s="337">
        <v>2952.0242699999999</v>
      </c>
      <c r="M47" s="334">
        <v>51069.297599999998</v>
      </c>
      <c r="N47" s="335">
        <v>51437.925620000002</v>
      </c>
      <c r="O47" s="336">
        <v>45001.969550000002</v>
      </c>
      <c r="P47" s="337">
        <v>-368.62801999999999</v>
      </c>
      <c r="Q47" s="338">
        <v>6067.3280500000001</v>
      </c>
    </row>
    <row r="48" spans="2:17">
      <c r="B48" s="571" t="s">
        <v>232</v>
      </c>
      <c r="C48" s="340">
        <v>1474.8323</v>
      </c>
      <c r="D48" s="341">
        <v>2429.5716200000002</v>
      </c>
      <c r="E48" s="342">
        <v>3354.8176699999999</v>
      </c>
      <c r="F48" s="341">
        <v>-954.73932000000002</v>
      </c>
      <c r="G48" s="341">
        <v>-1879.9853700000001</v>
      </c>
      <c r="H48" s="340">
        <v>1474.8323</v>
      </c>
      <c r="I48" s="341">
        <v>2429.5716200000002</v>
      </c>
      <c r="J48" s="342">
        <v>3354.8176699999999</v>
      </c>
      <c r="K48" s="343">
        <v>-954.73932000000002</v>
      </c>
      <c r="L48" s="343">
        <v>-1879.9853700000001</v>
      </c>
      <c r="M48" s="340">
        <v>7823.6867300000004</v>
      </c>
      <c r="N48" s="341">
        <v>8205.9205299999994</v>
      </c>
      <c r="O48" s="342">
        <v>9877.3973000000005</v>
      </c>
      <c r="P48" s="343">
        <v>-382.23379999999997</v>
      </c>
      <c r="Q48" s="344">
        <v>-2053.7105700000002</v>
      </c>
    </row>
    <row r="49" spans="2:17" ht="20.25" customHeight="1">
      <c r="B49" s="573" t="s">
        <v>233</v>
      </c>
      <c r="C49" s="334">
        <v>15079.616599999999</v>
      </c>
      <c r="D49" s="335">
        <v>14859.7834</v>
      </c>
      <c r="E49" s="336">
        <v>14007.5777</v>
      </c>
      <c r="F49" s="335">
        <v>219.83320000000001</v>
      </c>
      <c r="G49" s="335">
        <v>1072.0389</v>
      </c>
      <c r="H49" s="334">
        <v>15079.616599999999</v>
      </c>
      <c r="I49" s="335">
        <v>14859.7834</v>
      </c>
      <c r="J49" s="336">
        <v>14007.5777</v>
      </c>
      <c r="K49" s="337">
        <v>219.83320000000001</v>
      </c>
      <c r="L49" s="337">
        <v>1072.0389</v>
      </c>
      <c r="M49" s="334">
        <v>58892.984329999999</v>
      </c>
      <c r="N49" s="335">
        <v>59643.846149999998</v>
      </c>
      <c r="O49" s="336">
        <v>54879.366849999999</v>
      </c>
      <c r="P49" s="337">
        <v>-750.86181999999997</v>
      </c>
      <c r="Q49" s="338">
        <v>4013.6174799999999</v>
      </c>
    </row>
    <row r="50" spans="2:17" ht="13.8">
      <c r="B50" s="574" t="s">
        <v>234</v>
      </c>
      <c r="C50" s="334">
        <v>7360.25756</v>
      </c>
      <c r="D50" s="335">
        <v>7380.5859799999998</v>
      </c>
      <c r="E50" s="336">
        <v>7936.30242</v>
      </c>
      <c r="F50" s="335">
        <v>-20.328420000000001</v>
      </c>
      <c r="G50" s="335">
        <v>-576.04485999999997</v>
      </c>
      <c r="H50" s="334">
        <v>7360.25756</v>
      </c>
      <c r="I50" s="335">
        <v>7380.5859799999998</v>
      </c>
      <c r="J50" s="336">
        <v>7936.30242</v>
      </c>
      <c r="K50" s="337">
        <v>-20.328420000000001</v>
      </c>
      <c r="L50" s="337">
        <v>-576.04485999999997</v>
      </c>
      <c r="M50" s="334">
        <v>27646.467700000001</v>
      </c>
      <c r="N50" s="335">
        <v>29865.031630000001</v>
      </c>
      <c r="O50" s="336">
        <v>29836.38319</v>
      </c>
      <c r="P50" s="337">
        <v>-2218.5639299999998</v>
      </c>
      <c r="Q50" s="338">
        <v>-2189.9154899999999</v>
      </c>
    </row>
    <row r="51" spans="2:17" ht="13.8">
      <c r="B51" s="574" t="s">
        <v>235</v>
      </c>
      <c r="C51" s="334">
        <v>18140.4895</v>
      </c>
      <c r="D51" s="335">
        <v>16659.006300000001</v>
      </c>
      <c r="E51" s="336">
        <v>19198.281760000002</v>
      </c>
      <c r="F51" s="335">
        <v>1481.4831999999999</v>
      </c>
      <c r="G51" s="335">
        <v>-1057.7922599999999</v>
      </c>
      <c r="H51" s="334">
        <v>18140.4895</v>
      </c>
      <c r="I51" s="335">
        <v>16659.006300000001</v>
      </c>
      <c r="J51" s="336">
        <v>19198.281760000002</v>
      </c>
      <c r="K51" s="337">
        <v>1481.4831999999999</v>
      </c>
      <c r="L51" s="337">
        <v>-1057.7922599999999</v>
      </c>
      <c r="M51" s="334">
        <v>68661.558520000006</v>
      </c>
      <c r="N51" s="335">
        <v>69104.320399999997</v>
      </c>
      <c r="O51" s="336">
        <v>70946.7454</v>
      </c>
      <c r="P51" s="337">
        <v>-442.76188000000002</v>
      </c>
      <c r="Q51" s="338">
        <v>-2285.1868800000002</v>
      </c>
    </row>
    <row r="52" spans="2:17" ht="13.8">
      <c r="B52" s="575" t="s">
        <v>236</v>
      </c>
      <c r="C52" s="340">
        <v>35487.590239999998</v>
      </c>
      <c r="D52" s="341">
        <v>31793.12645</v>
      </c>
      <c r="E52" s="342">
        <v>37597.175380000001</v>
      </c>
      <c r="F52" s="341">
        <v>3694.4637899999998</v>
      </c>
      <c r="G52" s="341">
        <v>-2109.5851400000001</v>
      </c>
      <c r="H52" s="340">
        <v>35487.590239999998</v>
      </c>
      <c r="I52" s="341">
        <v>31793.12645</v>
      </c>
      <c r="J52" s="342">
        <v>37597.175380000001</v>
      </c>
      <c r="K52" s="343">
        <v>3694.4637899999998</v>
      </c>
      <c r="L52" s="343">
        <v>-2109.5851400000001</v>
      </c>
      <c r="M52" s="340">
        <v>133934.64395</v>
      </c>
      <c r="N52" s="341">
        <v>131842.32996</v>
      </c>
      <c r="O52" s="342">
        <v>137653.62325999999</v>
      </c>
      <c r="P52" s="343">
        <v>2092.3139900000001</v>
      </c>
      <c r="Q52" s="344">
        <v>-3718.9793100000002</v>
      </c>
    </row>
    <row r="53" spans="2:17" ht="13.8">
      <c r="B53" s="575" t="s">
        <v>237</v>
      </c>
      <c r="C53" s="334">
        <v>144609.52371000001</v>
      </c>
      <c r="D53" s="335">
        <v>134008.44256</v>
      </c>
      <c r="E53" s="336">
        <v>139699.87552</v>
      </c>
      <c r="F53" s="335">
        <v>10601.08115</v>
      </c>
      <c r="G53" s="335">
        <v>4909.6481899999999</v>
      </c>
      <c r="H53" s="334">
        <v>144609.52371000001</v>
      </c>
      <c r="I53" s="335">
        <v>134008.44256</v>
      </c>
      <c r="J53" s="336">
        <v>139699.87552</v>
      </c>
      <c r="K53" s="337">
        <v>10601.08115</v>
      </c>
      <c r="L53" s="337">
        <v>4909.6481899999999</v>
      </c>
      <c r="M53" s="334">
        <v>555556.35609999998</v>
      </c>
      <c r="N53" s="335">
        <v>554142.76642999996</v>
      </c>
      <c r="O53" s="336">
        <v>517326.30440999998</v>
      </c>
      <c r="P53" s="337">
        <v>1413.5896700000001</v>
      </c>
      <c r="Q53" s="338">
        <v>38230.05169</v>
      </c>
    </row>
    <row r="54" spans="2:17" ht="13.8">
      <c r="B54" s="575" t="s">
        <v>238</v>
      </c>
      <c r="C54" s="334">
        <v>441544.90318999998</v>
      </c>
      <c r="D54" s="335">
        <v>411309.05472000001</v>
      </c>
      <c r="E54" s="336">
        <v>498075.37119999999</v>
      </c>
      <c r="F54" s="335">
        <v>30235.848470000001</v>
      </c>
      <c r="G54" s="335">
        <v>-56530.468009999997</v>
      </c>
      <c r="H54" s="334">
        <v>441544.90318999998</v>
      </c>
      <c r="I54" s="335">
        <v>411309.05472000001</v>
      </c>
      <c r="J54" s="336">
        <v>498075.37119999999</v>
      </c>
      <c r="K54" s="337">
        <v>30235.848470000001</v>
      </c>
      <c r="L54" s="337">
        <v>-56530.468009999997</v>
      </c>
      <c r="M54" s="334">
        <v>1678665.08259</v>
      </c>
      <c r="N54" s="335">
        <v>1705867.41854</v>
      </c>
      <c r="O54" s="336">
        <v>1828474.0478699999</v>
      </c>
      <c r="P54" s="337">
        <v>-27202.335950000001</v>
      </c>
      <c r="Q54" s="338">
        <v>-149808.96528</v>
      </c>
    </row>
    <row r="55" spans="2:17" ht="19.5" customHeight="1" thickBot="1">
      <c r="B55" s="576" t="s">
        <v>239</v>
      </c>
      <c r="C55" s="360">
        <v>782589.95765</v>
      </c>
      <c r="D55" s="361">
        <v>751482.38549999997</v>
      </c>
      <c r="E55" s="362">
        <v>868650.59279000002</v>
      </c>
      <c r="F55" s="361">
        <v>31107.57215</v>
      </c>
      <c r="G55" s="361">
        <v>-86060.635139999999</v>
      </c>
      <c r="H55" s="360">
        <v>782589.95765</v>
      </c>
      <c r="I55" s="361">
        <v>751482.38549999997</v>
      </c>
      <c r="J55" s="362">
        <v>868650.59279000002</v>
      </c>
      <c r="K55" s="363">
        <v>31107.57215</v>
      </c>
      <c r="L55" s="363">
        <v>-86060.635139999999</v>
      </c>
      <c r="M55" s="360">
        <v>3006110.5034699999</v>
      </c>
      <c r="N55" s="361">
        <v>3027515.9382500001</v>
      </c>
      <c r="O55" s="362">
        <v>3115101.20211</v>
      </c>
      <c r="P55" s="363">
        <v>-21405.43478</v>
      </c>
      <c r="Q55" s="364">
        <v>-108990.69864</v>
      </c>
    </row>
    <row r="56" spans="2:17" ht="13.8" thickTop="1">
      <c r="B56" s="577"/>
    </row>
    <row r="57" spans="2:17" ht="21" hidden="1">
      <c r="B57" s="366" t="s">
        <v>240</v>
      </c>
      <c r="C57" s="316"/>
    </row>
    <row r="58" spans="2:17" ht="50.4" hidden="1">
      <c r="B58" s="317"/>
      <c r="C58" s="324" t="s">
        <v>75</v>
      </c>
      <c r="D58" s="324" t="s">
        <v>371</v>
      </c>
      <c r="E58" s="324" t="s">
        <v>241</v>
      </c>
      <c r="F58" s="324" t="s">
        <v>242</v>
      </c>
      <c r="G58" s="324" t="s">
        <v>243</v>
      </c>
      <c r="H58" s="324" t="s">
        <v>75</v>
      </c>
      <c r="I58" s="324" t="s">
        <v>244</v>
      </c>
      <c r="J58" s="324" t="s">
        <v>241</v>
      </c>
      <c r="K58" s="324" t="s">
        <v>245</v>
      </c>
      <c r="L58" s="324" t="s">
        <v>246</v>
      </c>
      <c r="M58" s="324" t="s">
        <v>75</v>
      </c>
      <c r="N58" s="324" t="s">
        <v>247</v>
      </c>
      <c r="O58" s="324" t="s">
        <v>241</v>
      </c>
      <c r="P58" s="324" t="s">
        <v>242</v>
      </c>
      <c r="Q58" s="324" t="s">
        <v>243</v>
      </c>
    </row>
    <row r="59" spans="2:17" ht="13.8">
      <c r="B59" s="367" t="s">
        <v>248</v>
      </c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</row>
    <row r="60" spans="2:17">
      <c r="B60" s="369" t="s">
        <v>249</v>
      </c>
      <c r="C60" s="370">
        <v>8237156.5350000001</v>
      </c>
      <c r="D60" s="371">
        <v>7480594.2000000002</v>
      </c>
      <c r="E60" s="372">
        <v>8402569.8670000006</v>
      </c>
      <c r="F60" s="371">
        <v>756562.33499999996</v>
      </c>
      <c r="G60" s="371">
        <v>-165413.33199999999</v>
      </c>
      <c r="H60" s="370">
        <v>8237156.5350000001</v>
      </c>
      <c r="I60" s="371">
        <v>7480594.2000000002</v>
      </c>
      <c r="J60" s="372">
        <v>8402569.8670000006</v>
      </c>
      <c r="K60" s="373">
        <v>756562.33499999996</v>
      </c>
      <c r="L60" s="373">
        <v>-165413.33199999999</v>
      </c>
      <c r="M60" s="370">
        <v>31003979.032000002</v>
      </c>
      <c r="N60" s="371">
        <v>30878715.48</v>
      </c>
      <c r="O60" s="372">
        <v>31029397.377999999</v>
      </c>
      <c r="P60" s="373">
        <v>125263.552</v>
      </c>
      <c r="Q60" s="374">
        <v>-25418.346000000001</v>
      </c>
    </row>
    <row r="61" spans="2:17">
      <c r="B61" s="369" t="s">
        <v>250</v>
      </c>
      <c r="C61" s="375">
        <v>-220386</v>
      </c>
      <c r="D61" s="373">
        <v>502207.71</v>
      </c>
      <c r="E61" s="374">
        <v>795924</v>
      </c>
      <c r="F61" s="373">
        <v>-722593.71</v>
      </c>
      <c r="G61" s="373">
        <v>-1016310</v>
      </c>
      <c r="H61" s="375">
        <v>-220386</v>
      </c>
      <c r="I61" s="373">
        <v>502207.71</v>
      </c>
      <c r="J61" s="374">
        <v>795924</v>
      </c>
      <c r="K61" s="373">
        <v>-722593.71</v>
      </c>
      <c r="L61" s="373">
        <v>-1016310</v>
      </c>
      <c r="M61" s="375">
        <v>-37628</v>
      </c>
      <c r="N61" s="373">
        <v>-265553.26</v>
      </c>
      <c r="O61" s="374">
        <v>207903</v>
      </c>
      <c r="P61" s="373">
        <v>227925.26</v>
      </c>
      <c r="Q61" s="374">
        <v>-245531</v>
      </c>
    </row>
    <row r="62" spans="2:17">
      <c r="B62" s="369" t="s">
        <v>251</v>
      </c>
      <c r="C62" s="375">
        <v>20346</v>
      </c>
      <c r="D62" s="373">
        <v>52342.94</v>
      </c>
      <c r="E62" s="374">
        <v>64606</v>
      </c>
      <c r="F62" s="373">
        <v>-31996.94</v>
      </c>
      <c r="G62" s="373">
        <v>-44260</v>
      </c>
      <c r="H62" s="375">
        <v>20346</v>
      </c>
      <c r="I62" s="373">
        <v>52342.94</v>
      </c>
      <c r="J62" s="374">
        <v>64606</v>
      </c>
      <c r="K62" s="373">
        <v>-31996.94</v>
      </c>
      <c r="L62" s="373">
        <v>-44260</v>
      </c>
      <c r="M62" s="375">
        <v>174048</v>
      </c>
      <c r="N62" s="373">
        <v>415062.12</v>
      </c>
      <c r="O62" s="374">
        <v>425884</v>
      </c>
      <c r="P62" s="373">
        <v>-241014.12</v>
      </c>
      <c r="Q62" s="374">
        <v>-251836</v>
      </c>
    </row>
    <row r="63" spans="2:17" ht="13.8" thickBot="1">
      <c r="B63" s="376" t="s">
        <v>252</v>
      </c>
      <c r="C63" s="377">
        <v>8037116.5350000001</v>
      </c>
      <c r="D63" s="378">
        <v>8035144.8499999996</v>
      </c>
      <c r="E63" s="379">
        <v>9263099.8670000006</v>
      </c>
      <c r="F63" s="378">
        <v>1971.6849999999999</v>
      </c>
      <c r="G63" s="378">
        <v>-1225983.3319999999</v>
      </c>
      <c r="H63" s="377">
        <v>8037116.5350000001</v>
      </c>
      <c r="I63" s="378">
        <v>8035144.8499999996</v>
      </c>
      <c r="J63" s="379">
        <v>9263099.8670000006</v>
      </c>
      <c r="K63" s="380">
        <v>1971.6849999999999</v>
      </c>
      <c r="L63" s="380">
        <v>-1225983.3319999999</v>
      </c>
      <c r="M63" s="377">
        <v>31140399.032000002</v>
      </c>
      <c r="N63" s="378">
        <v>31028224.34</v>
      </c>
      <c r="O63" s="379">
        <v>31663184.377999999</v>
      </c>
      <c r="P63" s="380">
        <v>112174.692</v>
      </c>
      <c r="Q63" s="381">
        <v>-522785.34600000002</v>
      </c>
    </row>
    <row r="64" spans="2:17" ht="13.8" thickTop="1">
      <c r="B64" s="579"/>
    </row>
    <row r="65" spans="2:17" ht="17.399999999999999">
      <c r="B65" s="580" t="s">
        <v>253</v>
      </c>
      <c r="C65" s="581">
        <f>C55</f>
        <v>782589.95765</v>
      </c>
      <c r="D65" s="581"/>
      <c r="E65" s="581">
        <f>E55</f>
        <v>868650.59279000002</v>
      </c>
      <c r="F65" s="581"/>
      <c r="G65" s="581">
        <f>G55</f>
        <v>-86060.635139999999</v>
      </c>
      <c r="H65" s="581">
        <f>H55</f>
        <v>782589.95765</v>
      </c>
      <c r="I65" s="581"/>
      <c r="J65" s="581">
        <f>J55</f>
        <v>868650.59279000002</v>
      </c>
      <c r="K65" s="581"/>
      <c r="L65" s="581">
        <f>L55</f>
        <v>-86060.635139999999</v>
      </c>
      <c r="M65" s="581">
        <f>M55</f>
        <v>3006110.5034699999</v>
      </c>
      <c r="N65" s="581"/>
      <c r="O65" s="581">
        <f>O55</f>
        <v>3115101.20211</v>
      </c>
      <c r="P65" s="581"/>
      <c r="Q65" s="581">
        <f>Q55</f>
        <v>-108990.69864</v>
      </c>
    </row>
    <row r="66" spans="2:17">
      <c r="B66" s="582"/>
      <c r="C66" s="557"/>
      <c r="D66" s="557"/>
      <c r="E66" s="557"/>
      <c r="F66" s="557"/>
      <c r="G66" s="583"/>
      <c r="H66" s="557"/>
      <c r="I66" s="557"/>
      <c r="J66" s="557"/>
      <c r="K66" s="557"/>
      <c r="L66" s="557"/>
      <c r="M66" s="557"/>
      <c r="N66" s="557"/>
      <c r="O66" s="557"/>
      <c r="P66" s="557"/>
      <c r="Q66" s="557"/>
    </row>
    <row r="67" spans="2:17">
      <c r="B67" s="584"/>
      <c r="C67" s="585"/>
      <c r="D67" s="586"/>
      <c r="E67" s="586"/>
      <c r="F67" s="587"/>
      <c r="G67" s="588"/>
      <c r="H67" s="585"/>
      <c r="I67" s="589"/>
      <c r="J67" s="586"/>
      <c r="K67" s="587"/>
      <c r="L67" s="588"/>
      <c r="M67" s="585"/>
      <c r="N67" s="589"/>
      <c r="O67" s="586"/>
      <c r="P67" s="590"/>
      <c r="Q67" s="588"/>
    </row>
    <row r="68" spans="2:17">
      <c r="B68" s="591" t="s">
        <v>254</v>
      </c>
      <c r="C68" s="592">
        <f>-1.91271-141.61256</f>
        <v>-143.52527000000001</v>
      </c>
      <c r="D68" s="593"/>
      <c r="E68" s="594">
        <f>+[9]Summary!$C65</f>
        <v>-106.81132000000001</v>
      </c>
      <c r="F68" s="397"/>
      <c r="G68" s="398">
        <f>C68-E68</f>
        <v>-36.713949999999997</v>
      </c>
      <c r="H68" s="595">
        <f>+C68</f>
        <v>-143.52527000000001</v>
      </c>
      <c r="I68" s="594"/>
      <c r="J68" s="596">
        <f>+E68</f>
        <v>-106.81132000000001</v>
      </c>
      <c r="K68" s="398"/>
      <c r="L68" s="398">
        <f>H68-J68</f>
        <v>-36.713949999999997</v>
      </c>
      <c r="M68" s="595">
        <f>+[10]Actual!O68</f>
        <v>-530.56636000000003</v>
      </c>
      <c r="N68" s="597"/>
      <c r="O68" s="402">
        <f>+[9]Summary!$M65</f>
        <v>-455.82695000000001</v>
      </c>
      <c r="P68" s="398"/>
      <c r="Q68" s="403">
        <f>M68-O68</f>
        <v>-74.739410000000021</v>
      </c>
    </row>
    <row r="69" spans="2:17">
      <c r="B69" s="591" t="s">
        <v>255</v>
      </c>
      <c r="C69" s="592">
        <v>0</v>
      </c>
      <c r="D69" s="593"/>
      <c r="E69" s="594">
        <f>+[9]Summary!$C66</f>
        <v>0</v>
      </c>
      <c r="F69" s="397"/>
      <c r="G69" s="398">
        <f>C69-E69</f>
        <v>0</v>
      </c>
      <c r="H69" s="595">
        <f>+C69</f>
        <v>0</v>
      </c>
      <c r="I69" s="594"/>
      <c r="J69" s="596">
        <f>+E69</f>
        <v>0</v>
      </c>
      <c r="K69" s="398"/>
      <c r="L69" s="398">
        <f>H69-J69</f>
        <v>0</v>
      </c>
      <c r="M69" s="595">
        <f>+[10]Actual!O69</f>
        <v>0</v>
      </c>
      <c r="N69" s="597"/>
      <c r="O69" s="402">
        <f>+[9]Summary!$M66</f>
        <v>0</v>
      </c>
      <c r="P69" s="398"/>
      <c r="Q69" s="403">
        <f>M69-O69</f>
        <v>0</v>
      </c>
    </row>
    <row r="70" spans="2:17">
      <c r="B70" s="591" t="s">
        <v>256</v>
      </c>
      <c r="C70" s="598">
        <f>-8.3914-292.72576</f>
        <v>-301.11715999999996</v>
      </c>
      <c r="D70" s="599"/>
      <c r="E70" s="594">
        <f>+[9]Summary!$C67</f>
        <v>-155.92941999999999</v>
      </c>
      <c r="F70" s="406"/>
      <c r="G70" s="398">
        <f>C70-E70</f>
        <v>-145.18773999999996</v>
      </c>
      <c r="H70" s="595">
        <f>+C70</f>
        <v>-301.11715999999996</v>
      </c>
      <c r="I70" s="594"/>
      <c r="J70" s="596">
        <f>+E70</f>
        <v>-155.92941999999999</v>
      </c>
      <c r="K70" s="398"/>
      <c r="L70" s="398">
        <f>H70-J70</f>
        <v>-145.18773999999996</v>
      </c>
      <c r="M70" s="595">
        <f>+[10]Actual!O70</f>
        <v>-924.13833999999997</v>
      </c>
      <c r="N70" s="597"/>
      <c r="O70" s="402">
        <f>+[9]Summary!$M67</f>
        <v>-508.46821999999997</v>
      </c>
      <c r="P70" s="398"/>
      <c r="Q70" s="403">
        <f>M70-O70</f>
        <v>-415.67012</v>
      </c>
    </row>
    <row r="71" spans="2:17" ht="18" thickBot="1">
      <c r="B71" s="580" t="s">
        <v>257</v>
      </c>
      <c r="C71" s="407">
        <f>SUM(C65:C70)</f>
        <v>782145.31521999999</v>
      </c>
      <c r="D71" s="408"/>
      <c r="E71" s="409">
        <f>SUM(E65:E70)</f>
        <v>868387.8520500001</v>
      </c>
      <c r="F71" s="408"/>
      <c r="G71" s="409">
        <f>C71-E71</f>
        <v>-86242.536830000114</v>
      </c>
      <c r="H71" s="408">
        <f>SUM(H65:H70)</f>
        <v>782145.31521999999</v>
      </c>
      <c r="I71" s="408"/>
      <c r="J71" s="409">
        <f>SUM(J65:J70)</f>
        <v>868387.8520500001</v>
      </c>
      <c r="K71" s="408"/>
      <c r="L71" s="409">
        <f>H71-J71</f>
        <v>-86242.536830000114</v>
      </c>
      <c r="M71" s="407">
        <f>SUM(M65:M70)</f>
        <v>3004655.7987699998</v>
      </c>
      <c r="N71" s="408"/>
      <c r="O71" s="409">
        <f>SUM(O65:O70)</f>
        <v>3114136.9069399997</v>
      </c>
      <c r="P71" s="408"/>
      <c r="Q71" s="409">
        <f>M71-O71</f>
        <v>-109481.1081699999</v>
      </c>
    </row>
    <row r="72" spans="2:17" ht="13.8" thickTop="1">
      <c r="B72" s="579"/>
    </row>
    <row r="73" spans="2:17">
      <c r="B73" s="579"/>
    </row>
    <row r="74" spans="2:17">
      <c r="B74" s="579"/>
    </row>
    <row r="75" spans="2:17">
      <c r="B75" s="600"/>
    </row>
    <row r="76" spans="2:17">
      <c r="B76" s="579"/>
      <c r="C76" s="601"/>
    </row>
    <row r="77" spans="2:17">
      <c r="B77" s="579"/>
    </row>
    <row r="78" spans="2:17">
      <c r="B78" s="579"/>
    </row>
    <row r="79" spans="2:17">
      <c r="B79" s="579"/>
    </row>
    <row r="80" spans="2:17">
      <c r="B80" s="600"/>
    </row>
    <row r="81" spans="2:2">
      <c r="B81" s="579"/>
    </row>
    <row r="82" spans="2:2">
      <c r="B82" s="579"/>
    </row>
    <row r="83" spans="2:2">
      <c r="B83" s="600"/>
    </row>
    <row r="84" spans="2:2">
      <c r="B84" s="579"/>
    </row>
    <row r="85" spans="2:2">
      <c r="B85" s="579"/>
    </row>
    <row r="86" spans="2:2">
      <c r="B86" s="600"/>
    </row>
    <row r="87" spans="2:2">
      <c r="B87" s="579"/>
    </row>
    <row r="88" spans="2:2">
      <c r="B88" s="579"/>
    </row>
    <row r="89" spans="2:2">
      <c r="B89" s="600"/>
    </row>
    <row r="90" spans="2:2">
      <c r="B90" s="579"/>
    </row>
    <row r="91" spans="2:2">
      <c r="B91" s="600"/>
    </row>
    <row r="92" spans="2:2">
      <c r="B92" s="577"/>
    </row>
    <row r="93" spans="2:2">
      <c r="B93" s="600"/>
    </row>
    <row r="94" spans="2:2">
      <c r="B94" s="577"/>
    </row>
    <row r="95" spans="2:2">
      <c r="B95" s="600"/>
    </row>
    <row r="96" spans="2:2">
      <c r="B96" s="577"/>
    </row>
  </sheetData>
  <mergeCells count="1">
    <mergeCell ref="B2:D2"/>
  </mergeCells>
  <phoneticPr fontId="0" type="noConversion"/>
  <printOptions horizontalCentered="1" verticalCentered="1"/>
  <pageMargins left="0" right="0" top="0.5" bottom="0.5" header="0.17" footer="0.17"/>
  <pageSetup scale="53" orientation="landscape" r:id="rId1"/>
  <headerFooter alignWithMargins="0">
    <oddFooter>&amp;R&amp;"Arial,Bold"&amp;12Page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19</vt:i4>
      </vt:variant>
    </vt:vector>
  </HeadingPairs>
  <TitlesOfParts>
    <vt:vector size="57" baseType="lpstr">
      <vt:lpstr>P6 Summary Plan Forecast_Jan</vt:lpstr>
      <vt:lpstr>P6 Summary Plan Forecast_Feb</vt:lpstr>
      <vt:lpstr>P6 Summary Plan Forecast_Mar</vt:lpstr>
      <vt:lpstr>P6 Summary Plan Forecast_April</vt:lpstr>
      <vt:lpstr>P6 Summary Plan Forecast_May</vt:lpstr>
      <vt:lpstr>Jan_prices</vt:lpstr>
      <vt:lpstr>Feb_Prices</vt:lpstr>
      <vt:lpstr>Mar_Prices</vt:lpstr>
      <vt:lpstr>April_Prices</vt:lpstr>
      <vt:lpstr>P6 Summary Plan Forecast_Dec</vt:lpstr>
      <vt:lpstr>May_Prices</vt:lpstr>
      <vt:lpstr>P6 Summary Plan Forecast_Nov</vt:lpstr>
      <vt:lpstr>P6 Summary Plan Forecast_Oct</vt:lpstr>
      <vt:lpstr>June_Prices</vt:lpstr>
      <vt:lpstr>P6 Summary Plan Forecast_Sep</vt:lpstr>
      <vt:lpstr>P6 Summary Plan Forecast_Aug</vt:lpstr>
      <vt:lpstr>P6 Summary Plan Forecast_July</vt:lpstr>
      <vt:lpstr>P6 Summary Plan Forecast_June</vt:lpstr>
      <vt:lpstr>Summary Plan Retail Delivered</vt:lpstr>
      <vt:lpstr>Growth Plan</vt:lpstr>
      <vt:lpstr>Variance Plan</vt:lpstr>
      <vt:lpstr>JUNE_SAP_impact </vt:lpstr>
      <vt:lpstr>june_data (2)</vt:lpstr>
      <vt:lpstr>MAY_SAP_impact </vt:lpstr>
      <vt:lpstr>may_data (2)</vt:lpstr>
      <vt:lpstr>Jan_SAP_impact</vt:lpstr>
      <vt:lpstr>Feb_SAP_impact </vt:lpstr>
      <vt:lpstr>Mar_SAP_impact</vt:lpstr>
      <vt:lpstr>Apr_SAP_impact</vt:lpstr>
      <vt:lpstr>est. employment</vt:lpstr>
      <vt:lpstr>Inactive_meter_ratio</vt:lpstr>
      <vt:lpstr>Actual CPI for Energy</vt:lpstr>
      <vt:lpstr>CPI_energy</vt:lpstr>
      <vt:lpstr>jan_data (2)</vt:lpstr>
      <vt:lpstr>leap_day</vt:lpstr>
      <vt:lpstr>Feb_data (2)</vt:lpstr>
      <vt:lpstr>mar_data (2)</vt:lpstr>
      <vt:lpstr>apr_data(2)</vt:lpstr>
      <vt:lpstr>'P6 Summary Plan Forecast_April'!Print_Area</vt:lpstr>
      <vt:lpstr>'P6 Summary Plan Forecast_Aug'!Print_Area</vt:lpstr>
      <vt:lpstr>'P6 Summary Plan Forecast_Dec'!Print_Area</vt:lpstr>
      <vt:lpstr>'P6 Summary Plan Forecast_Feb'!Print_Area</vt:lpstr>
      <vt:lpstr>'P6 Summary Plan Forecast_Jan'!Print_Area</vt:lpstr>
      <vt:lpstr>'P6 Summary Plan Forecast_July'!Print_Area</vt:lpstr>
      <vt:lpstr>'P6 Summary Plan Forecast_June'!Print_Area</vt:lpstr>
      <vt:lpstr>'P6 Summary Plan Forecast_Mar'!Print_Area</vt:lpstr>
      <vt:lpstr>'P6 Summary Plan Forecast_May'!Print_Area</vt:lpstr>
      <vt:lpstr>'P6 Summary Plan Forecast_Nov'!Print_Area</vt:lpstr>
      <vt:lpstr>'P6 Summary Plan Forecast_Oct'!Print_Area</vt:lpstr>
      <vt:lpstr>'P6 Summary Plan Forecast_Sep'!Print_Area</vt:lpstr>
      <vt:lpstr>'Summary Plan Retail Delivered'!Print_Area</vt:lpstr>
      <vt:lpstr>April_Prices!Print_Titles</vt:lpstr>
      <vt:lpstr>Feb_Prices!Print_Titles</vt:lpstr>
      <vt:lpstr>Jan_prices!Print_Titles</vt:lpstr>
      <vt:lpstr>June_Prices!Print_Titles</vt:lpstr>
      <vt:lpstr>Mar_Prices!Print_Titles</vt:lpstr>
      <vt:lpstr>May_Prices!Print_Titles</vt:lpstr>
    </vt:vector>
  </TitlesOfParts>
  <Company>Florida Power &amp; Light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cmouring</cp:lastModifiedBy>
  <cp:lastPrinted>2012-07-27T17:13:57Z</cp:lastPrinted>
  <dcterms:created xsi:type="dcterms:W3CDTF">2008-12-03T20:55:02Z</dcterms:created>
  <dcterms:modified xsi:type="dcterms:W3CDTF">2012-11-13T19:33:11Z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2011 Plan MOPR Variance with DSM.xls</vt:lpwstr>
  </property>
</Properties>
</file>