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3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comments2.xml" ContentType="application/vnd.openxmlformats-officedocument.spreadsheetml.comments+xml"/>
  <Override PartName="/xl/worksheets/sheet11.xml" ContentType="application/vnd.openxmlformats-officedocument.spreadsheetml.worksheet+xml"/>
  <Override PartName="/xl/comments3.xml" ContentType="application/vnd.openxmlformats-officedocument.spreadsheetml.comment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comments4.xml" ContentType="application/vnd.openxmlformats-officedocument.spreadsheetml.comments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drawings/drawing4.xml" ContentType="application/vnd.openxmlformats-officedocument.drawing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xl/externalLinks/externalLink7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8.xml" ContentType="application/vnd.openxmlformats-officedocument.spreadsheetml.externalLink+xml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65" yWindow="0" windowWidth="11640" windowHeight="8145" firstSheet="12" activeTab="0"/>
  </bookViews>
  <sheets>
    <sheet name="Total Summary Tab" sheetId="34" r:id="rId1"/>
    <sheet name="Residential" sheetId="2" r:id="rId2"/>
    <sheet name="Commercial" sheetId="7" r:id="rId3"/>
    <sheet name="Res Assumptions" sheetId="9" state="hidden" r:id="rId4"/>
    <sheet name="Commercial Assumptions" sheetId="8" r:id="rId5"/>
    <sheet name="Industrial" sheetId="10" r:id="rId6"/>
    <sheet name="Industrial Assumptions" sheetId="5" r:id="rId7"/>
    <sheet name=" New Measures 08062013" sheetId="6" r:id="rId8"/>
    <sheet name="FPL new TP measures impacts" sheetId="43" r:id="rId9"/>
    <sheet name="Duke new Measures" sheetId="11" r:id="rId10"/>
    <sheet name="Duke Res-New Measures Calc" sheetId="12" r:id="rId11"/>
    <sheet name="Duke Com-New Measures Calc" sheetId="13" r:id="rId12"/>
    <sheet name="Duke Ind - Calcs" sheetId="22" r:id="rId13"/>
    <sheet name="Duke System Fact" sheetId="24" r:id="rId14"/>
    <sheet name="Duke Delta" sheetId="29" r:id="rId15"/>
    <sheet name="DEF DR TP 2013" sheetId="35" r:id="rId16"/>
    <sheet name="DEF Solar TP 2013" sheetId="36" r:id="rId17"/>
    <sheet name="Table ES-1 Refresh '13" sheetId="38" r:id="rId18"/>
    <sheet name="Percentage Approach W-ADJ" sheetId="39" r:id="rId19"/>
    <sheet name="3.1" sheetId="40" r:id="rId20"/>
    <sheet name="3.2" sheetId="41" r:id="rId21"/>
    <sheet name="3.3" sheetId="42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P">#REF!</definedName>
    <definedName name="_aa1" localSheetId="8">[1]ReportScript!#REF!</definedName>
    <definedName name="_aa1">[1]ReportScript!#REF!</definedName>
    <definedName name="_aa10" localSheetId="8">[1]ReportScript!#REF!</definedName>
    <definedName name="_aa10">[1]ReportScript!#REF!</definedName>
    <definedName name="_aa11" localSheetId="8">[1]ReportScript!#REF!</definedName>
    <definedName name="_aa11">[1]ReportScript!#REF!</definedName>
    <definedName name="_aa12">[1]ReportScript!#REF!</definedName>
    <definedName name="_aa2">[1]ReportScript!#REF!</definedName>
    <definedName name="_aa3">[1]ReportScript!#REF!</definedName>
    <definedName name="_aa4">[1]ReportScript!#REF!</definedName>
    <definedName name="_aa5">[1]Parameters!#REF!</definedName>
    <definedName name="_aa6">[1]ReportScript!#REF!</definedName>
    <definedName name="_aa8">[1]ReportScript!#REF!</definedName>
    <definedName name="_aa9">[1]ReportScript!#REF!</definedName>
    <definedName name="_xlnm._FilterDatabase" localSheetId="7" hidden="1">' New Measures 08062013'!$A$2:$G$35</definedName>
    <definedName name="_xlnm._FilterDatabase" localSheetId="4" hidden="1">'Commercial Assumptions'!$A$1:$K$123</definedName>
    <definedName name="_Key1" localSheetId="8" hidden="1">[2]Index!#REF!</definedName>
    <definedName name="_Key1" hidden="1">[2]Index!#REF!</definedName>
    <definedName name="_RPT3" localSheetId="8">#REF!</definedName>
    <definedName name="_RPT3">#REF!</definedName>
    <definedName name="_Sort" localSheetId="8" hidden="1">#REF!</definedName>
    <definedName name="_Sort" hidden="1">#REF!</definedName>
    <definedName name="aaa" localSheetId="8">#REF!</definedName>
    <definedName name="aaa">#REF!</definedName>
    <definedName name="AL" localSheetId="8">#REF!</definedName>
    <definedName name="AL">#REF!</definedName>
    <definedName name="Average_DX_Tons" localSheetId="8">#REF!</definedName>
    <definedName name="Average_DX_Tons">#REF!</definedName>
    <definedName name="Base_Tech_EUI" localSheetId="8">#REF!</definedName>
    <definedName name="Base_Tech_EUI">#REF!</definedName>
    <definedName name="Budget" localSheetId="8">#REF!</definedName>
    <definedName name="Budget">#REF!</definedName>
    <definedName name="CalcET" localSheetId="8">#REF!</definedName>
    <definedName name="CalcET">#REF!</definedName>
    <definedName name="CALCET1" localSheetId="8">#REF!</definedName>
    <definedName name="CALCET1">#REF!</definedName>
    <definedName name="calceta" localSheetId="8">#REF!</definedName>
    <definedName name="calceta">#REF!</definedName>
    <definedName name="COLCOM1" localSheetId="8">[3]ReportScript!#REF!</definedName>
    <definedName name="COLCOM1">[3]ReportScript!#REF!</definedName>
    <definedName name="COLMEM" localSheetId="8">[3]ReportScript!#REF!</definedName>
    <definedName name="COLMEM">[3]ReportScript!#REF!</definedName>
    <definedName name="ColumnCommand" localSheetId="8">[1]ReportScript!#REF!</definedName>
    <definedName name="ColumnCommand">[1]ReportScript!#REF!</definedName>
    <definedName name="ColumnMember" localSheetId="8">[1]ReportScript!#REF!</definedName>
    <definedName name="ColumnMember">[1]ReportScript!#REF!</definedName>
    <definedName name="CurrentRow" localSheetId="8">#REF!</definedName>
    <definedName name="CurrentRow">#REF!</definedName>
    <definedName name="daCHeader1" localSheetId="8">#REF!</definedName>
    <definedName name="daCHeader1">#REF!</definedName>
    <definedName name="daCHeader10" localSheetId="8">#REF!</definedName>
    <definedName name="daCHeader10">#REF!</definedName>
    <definedName name="daCHeader11" localSheetId="8">#REF!</definedName>
    <definedName name="daCHeader11">#REF!</definedName>
    <definedName name="daCHeader12" localSheetId="8">#REF!</definedName>
    <definedName name="daCHeader12">#REF!</definedName>
    <definedName name="daCHeader13" localSheetId="8">#REF!</definedName>
    <definedName name="daCHeader13">#REF!</definedName>
    <definedName name="daCHeader2" localSheetId="8">#REF!</definedName>
    <definedName name="daCHeader2">#REF!</definedName>
    <definedName name="daCHeader3" localSheetId="8">#REF!</definedName>
    <definedName name="daCHeader3">#REF!</definedName>
    <definedName name="daCHeader4" localSheetId="8">#REF!</definedName>
    <definedName name="daCHeader4">#REF!</definedName>
    <definedName name="daCHeader5" localSheetId="8">#REF!</definedName>
    <definedName name="daCHeader5">#REF!</definedName>
    <definedName name="daCHeader6" localSheetId="8">#REF!</definedName>
    <definedName name="daCHeader6">#REF!</definedName>
    <definedName name="daCHeader7" localSheetId="8">#REF!</definedName>
    <definedName name="daCHeader7">#REF!</definedName>
    <definedName name="daCHeader8" localSheetId="8">#REF!</definedName>
    <definedName name="daCHeader8">#REF!</definedName>
    <definedName name="daCHeader9" localSheetId="8">#REF!</definedName>
    <definedName name="daCHeader9">#REF!</definedName>
    <definedName name="daPeriod">[4]Dollar_Analysis!$D$10</definedName>
    <definedName name="DAPERIOD1">[4]Dollar_Analysis!$D$10</definedName>
    <definedName name="daperioda" localSheetId="8">#REF!</definedName>
    <definedName name="daperioda">#REF!</definedName>
    <definedName name="daRepStart" localSheetId="8">#REF!</definedName>
    <definedName name="daRepStart">#REF!</definedName>
    <definedName name="daRHeader1" localSheetId="8">#REF!</definedName>
    <definedName name="daRHeader1">#REF!</definedName>
    <definedName name="daRHeader2" localSheetId="8">#REF!</definedName>
    <definedName name="daRHeader2">#REF!</definedName>
    <definedName name="daRHeader3" localSheetId="8">#REF!</definedName>
    <definedName name="daRHeader3">#REF!</definedName>
    <definedName name="daScenario" localSheetId="8">#REF!</definedName>
    <definedName name="daScenario">#REF!</definedName>
    <definedName name="DMHEADER2" localSheetId="8">'[5]Cash_Flow YTD'!#REF!</definedName>
    <definedName name="DMHEADER2">'[5]Cash_Flow YTD'!#REF!</definedName>
    <definedName name="dmRepStart" localSheetId="8">'[6]Cash_Flow YTD'!#REF!</definedName>
    <definedName name="dmRepStart">'[6]Cash_Flow YTD'!#REF!</definedName>
    <definedName name="DMREPSTART1" localSheetId="8">'[5]Cash_Flow YTD'!#REF!</definedName>
    <definedName name="DMREPSTART1">'[5]Cash_Flow YTD'!#REF!</definedName>
    <definedName name="dmRHeader1" localSheetId="8">'[6]Cash_Flow YTD'!#REF!</definedName>
    <definedName name="dmRHeader1">'[6]Cash_Flow YTD'!#REF!</definedName>
    <definedName name="Dollars_per_kW" localSheetId="8">#REF!</definedName>
    <definedName name="Dollars_per_kW">#REF!</definedName>
    <definedName name="ed" localSheetId="8">'[7]7801'!#REF!</definedName>
    <definedName name="ed">'[7]7801'!#REF!</definedName>
    <definedName name="Energy_Savings" localSheetId="8">#REF!</definedName>
    <definedName name="Energy_Savings">#REF!</definedName>
    <definedName name="EssAliasTable">"Default"</definedName>
    <definedName name="EssLatest">"JAN"</definedName>
    <definedName name="EssOptions">"A1100000000130000000001100010_01000"</definedName>
    <definedName name="Future_13_SEER">'[8]Revised Commercial DX'!$F$20</definedName>
    <definedName name="Future_14_SEER">'[8]Revised Commercial DX'!$F$21</definedName>
    <definedName name="M" localSheetId="4">#REF!</definedName>
    <definedName name="M" localSheetId="8">#REF!</definedName>
    <definedName name="M">#REF!</definedName>
    <definedName name="MH" localSheetId="8">[9]RSC5!#REF!</definedName>
    <definedName name="MH">[9]RSC5!#REF!</definedName>
    <definedName name="Name" localSheetId="8">#REF!</definedName>
    <definedName name="Name">#REF!</definedName>
    <definedName name="NC" localSheetId="8">[9]RSC5!#REF!</definedName>
    <definedName name="NC">[9]RSC5!#REF!</definedName>
    <definedName name="new" localSheetId="8">#REF!</definedName>
    <definedName name="new">#REF!</definedName>
    <definedName name="North_Central" localSheetId="8">[9]RSC5!#REF!</definedName>
    <definedName name="North_Central">[9]RSC5!#REF!</definedName>
    <definedName name="North_Cl" localSheetId="8">[9]RSC5!#REF!</definedName>
    <definedName name="North_Cl">[9]RSC5!#REF!</definedName>
    <definedName name="Northern" localSheetId="8">[9]RSC5!#REF!</definedName>
    <definedName name="Northern">[9]RSC5!#REF!</definedName>
    <definedName name="one" localSheetId="8">'[7]7801'!#REF!</definedName>
    <definedName name="one">'[7]7801'!#REF!</definedName>
    <definedName name="onea">'[7]7801'!#REF!</definedName>
    <definedName name="oneb">'[7]7801'!#REF!</definedName>
    <definedName name="onec">'[7]7801'!#REF!</definedName>
    <definedName name="onef">'[7]7801'!#REF!</definedName>
    <definedName name="oneg">'[7]7801'!#REF!</definedName>
    <definedName name="oneh">'[7]7801'!#REF!</definedName>
    <definedName name="onej">'[7]7801'!#REF!</definedName>
    <definedName name="onek">'[7]7801'!#REF!</definedName>
    <definedName name="Option_Account" localSheetId="8">#REF!</definedName>
    <definedName name="Option_Account">#REF!</definedName>
    <definedName name="Option_Other" localSheetId="8">#REF!</definedName>
    <definedName name="Option_Other">#REF!</definedName>
    <definedName name="PageCommand" localSheetId="8">[1]ReportScript!#REF!</definedName>
    <definedName name="PageCommand">[1]ReportScript!#REF!</definedName>
    <definedName name="PAGECOMMAND1" localSheetId="8">[3]ReportScript!#REF!</definedName>
    <definedName name="PAGECOMMAND1">[3]ReportScript!#REF!</definedName>
    <definedName name="PageMember">[1]ReportScript!#REF!</definedName>
    <definedName name="PAGEMEMBER1">[3]ReportScript!#REF!</definedName>
    <definedName name="Pal_Workbook_GUID" hidden="1">"YIRMAU281UHJBZQ7ILWGWXW6"</definedName>
    <definedName name="PerUnit">#REF!</definedName>
    <definedName name="_xlnm.Print_Area" localSheetId="11">'Duke Com-New Measures Calc'!$A$1:$P$31</definedName>
    <definedName name="_xlnm.Print_Area" localSheetId="10">'Duke Res-New Measures Calc'!$A$1:$Q$99</definedName>
    <definedName name="_xlnm.Print_Area" localSheetId="13">'Duke System Fact'!$A$1:$S$32</definedName>
    <definedName name="_xlnm.Print_Titles" localSheetId="4">'Commercial Assumptions'!$1:$1</definedName>
    <definedName name="_xlnm.Print_Titles" localSheetId="1">Residential!$6:$6</definedName>
    <definedName name="PrintArea" localSheetId="8">#REF!</definedName>
    <definedName name="PrintArea">#REF!</definedName>
    <definedName name="PRINTAREA1" localSheetId="8">#REF!</definedName>
    <definedName name="PRINTAREA1">#REF!</definedName>
    <definedName name="Range_AllET" localSheetId="8">[1]Parameters!#REF!</definedName>
    <definedName name="Range_AllET">[1]Parameters!#REF!</definedName>
    <definedName name="RANGEALLET1" localSheetId="8">[3]Parameters!#REF!</definedName>
    <definedName name="RANGEALLET1">[3]Parameters!#REF!</definedName>
    <definedName name="RangeVar" localSheetId="8">#REF!</definedName>
    <definedName name="RangeVar">#REF!</definedName>
    <definedName name="RANGEVAR1" localSheetId="8">#REF!</definedName>
    <definedName name="RANGEVAR1">#REF!</definedName>
    <definedName name="rangevara" localSheetId="8">#REF!</definedName>
    <definedName name="rangevara">#REF!</definedName>
    <definedName name="Remaining" localSheetId="8">[9]RSC5!#REF!</definedName>
    <definedName name="Remaining">[9]RSC5!#REF!</definedName>
    <definedName name="ReportCol1" localSheetId="8">[10]Report!#REF!</definedName>
    <definedName name="ReportCol1">[10]Report!#REF!</definedName>
    <definedName name="ReportRange" localSheetId="8">#REF!</definedName>
    <definedName name="ReportRange">#REF!</definedName>
    <definedName name="REPORTRANGE1" localSheetId="8">#REF!</definedName>
    <definedName name="REPORTRANGE1">#REF!</definedName>
    <definedName name="ROWCOM" localSheetId="8">[3]ReportScript!#REF!</definedName>
    <definedName name="ROWCOM">[3]ReportScript!#REF!</definedName>
    <definedName name="RowCommand" localSheetId="8">[1]ReportScript!#REF!</definedName>
    <definedName name="RowCommand">[1]ReportScript!#REF!</definedName>
    <definedName name="ROWMEM" localSheetId="8">[3]ReportScript!#REF!</definedName>
    <definedName name="ROWMEM">[3]ReportScript!#REF!</definedName>
    <definedName name="RowMember" localSheetId="8">[1]ReportScript!#REF!</definedName>
    <definedName name="RowMember">[1]ReportScript!#REF!</definedName>
    <definedName name="Rpt2Act" localSheetId="8">#REF!</definedName>
    <definedName name="Rpt2Act">#REF!</definedName>
    <definedName name="Rpt2ActTot" localSheetId="8">#REF!</definedName>
    <definedName name="Rpt2ActTot">#REF!</definedName>
    <definedName name="RPT2ACTTOT1" localSheetId="8">#REF!</definedName>
    <definedName name="RPT2ACTTOT1">#REF!</definedName>
    <definedName name="Rpt2Var" localSheetId="8">#REF!</definedName>
    <definedName name="Rpt2Var">#REF!</definedName>
    <definedName name="RPT2VAR1" localSheetId="8">#REF!</definedName>
    <definedName name="RPT2VAR1">#REF!</definedName>
    <definedName name="Rpt2VarTot" localSheetId="8">#REF!</definedName>
    <definedName name="Rpt2VarTot">#REF!</definedName>
    <definedName name="RPT2VARTOT3" localSheetId="8">#REF!</definedName>
    <definedName name="RPT2VARTOT3">#REF!</definedName>
    <definedName name="Rpt3EssData" localSheetId="8">#REF!</definedName>
    <definedName name="Rpt3EssData">#REF!</definedName>
    <definedName name="Rpt6YE" localSheetId="8">#REF!</definedName>
    <definedName name="Rpt6YE">#REF!</definedName>
    <definedName name="RPT6YE3" localSheetId="8">#REF!</definedName>
    <definedName name="RPT6YE3">#REF!</definedName>
    <definedName name="rpt6yea" localSheetId="8">#REF!</definedName>
    <definedName name="rpt6yea">#REF!</definedName>
    <definedName name="Rpt6YTD" localSheetId="8">#REF!</definedName>
    <definedName name="Rpt6YTD">#REF!</definedName>
    <definedName name="RPT6YTD1" localSheetId="8">#REF!</definedName>
    <definedName name="RPT6YTD1">#REF!</definedName>
    <definedName name="rpt6ytda" localSheetId="8">#REF!</definedName>
    <definedName name="rpt6ytda">#REF!</definedName>
    <definedName name="Rpt8Act" localSheetId="8">#REF!</definedName>
    <definedName name="Rpt8Act">#REF!</definedName>
    <definedName name="Rpt8Bud" localSheetId="8">#REF!</definedName>
    <definedName name="Rpt8Bud">#REF!</definedName>
    <definedName name="rptdacttota" localSheetId="8">#REF!</definedName>
    <definedName name="rptdacttota">#REF!</definedName>
    <definedName name="RptDecBUBud" localSheetId="8">#REF!</definedName>
    <definedName name="RptDecBUBud">#REF!</definedName>
    <definedName name="rptdecbubuda" localSheetId="8">#REF!</definedName>
    <definedName name="rptdecbubuda">#REF!</definedName>
    <definedName name="RptDecBud" localSheetId="8">#REF!</definedName>
    <definedName name="RptDecBud">#REF!</definedName>
    <definedName name="rpteacta" localSheetId="8">#REF!</definedName>
    <definedName name="rpteacta">#REF!</definedName>
    <definedName name="rptevara" localSheetId="8">#REF!</definedName>
    <definedName name="rptevara">#REF!</definedName>
    <definedName name="rptevartota" localSheetId="8">#REF!</definedName>
    <definedName name="rptevartota">#REF!</definedName>
    <definedName name="RptYTDAct" localSheetId="8">#REF!</definedName>
    <definedName name="RptYTDAct">#REF!</definedName>
    <definedName name="rptytdacta" localSheetId="8">#REF!</definedName>
    <definedName name="rptytdacta">#REF!</definedName>
    <definedName name="RptYTDBUBud" localSheetId="8">#REF!</definedName>
    <definedName name="RptYTDBUBud">#REF!</definedName>
    <definedName name="RPTYTDBUBUD2" localSheetId="8">#REF!</definedName>
    <definedName name="RPTYTDBUBUD2">#REF!</definedName>
    <definedName name="rptytdbubuda" localSheetId="8">#REF!</definedName>
    <definedName name="rptytdbubuda">#REF!</definedName>
    <definedName name="SC" localSheetId="8">[9]RSC5!#REF!</definedName>
    <definedName name="SC">[9]RSC5!#REF!</definedName>
    <definedName name="Scale" localSheetId="8">[1]ReportScript!#REF!</definedName>
    <definedName name="Scale">[1]ReportScript!#REF!</definedName>
    <definedName name="SEER_10_10.9">'[8]Revised Commercial DX'!$C$17</definedName>
    <definedName name="SEER_11_11.9">'[8]Revised Commercial DX'!$C$18</definedName>
    <definedName name="SEER_12_12.9">'[8]Revised Commercial DX'!$C$19</definedName>
    <definedName name="SEER_13_13.9">'[8]Revised Commercial DX'!$C$20</definedName>
    <definedName name="SEER_14_14.9">'[8]Revised Commercial DX'!$C$21</definedName>
    <definedName name="SEER_15">'[8]Revised Commercial DX'!$C$22</definedName>
    <definedName name="SEER_lt10">'[8]Revised Commercial DX'!$C$16</definedName>
    <definedName name="SFASO">[9]RSC5!#REF!</definedName>
    <definedName name="Sort_Command">[1]ReportScript!#REF!</definedName>
    <definedName name="South_Central">[9]RSC5!#REF!</definedName>
    <definedName name="Southern">[9]RSC5!#REF!</definedName>
    <definedName name="Supp_Command">[1]ReportScript!#REF!</definedName>
    <definedName name="temp">[1]ReportScript!#REF!</definedName>
    <definedName name="Western">[9]RSC5!#REF!</definedName>
  </definedNames>
  <calcPr calcId="145621"/>
</workbook>
</file>

<file path=xl/calcChain.xml><?xml version="1.0" encoding="utf-8"?>
<calcChain xmlns="http://schemas.openxmlformats.org/spreadsheetml/2006/main">
  <c r="I18" i="43" l="1"/>
  <c r="M4" i="10"/>
  <c r="M4" i="7"/>
  <c r="H13" i="7"/>
  <c r="K5" i="2"/>
  <c r="C19" i="11" l="1"/>
  <c r="D19" i="11"/>
  <c r="D26" i="11"/>
  <c r="E21" i="12" l="1"/>
  <c r="I19" i="11"/>
  <c r="I17" i="11"/>
  <c r="G17" i="11"/>
  <c r="I15" i="11"/>
  <c r="I14" i="11"/>
  <c r="Q161" i="2" l="1"/>
  <c r="L161" i="2"/>
  <c r="R161" i="2" s="1"/>
  <c r="D17" i="11"/>
  <c r="H17" i="11" s="1"/>
  <c r="K22" i="11"/>
  <c r="G19" i="11"/>
  <c r="C15" i="11"/>
  <c r="G15" i="11" s="1"/>
  <c r="C14" i="11"/>
  <c r="G14" i="11" s="1"/>
  <c r="D27" i="11"/>
  <c r="D14" i="11" s="1"/>
  <c r="H14" i="11" s="1"/>
  <c r="D15" i="11"/>
  <c r="H15" i="11" s="1"/>
  <c r="V5" i="36"/>
  <c r="N33" i="36"/>
  <c r="P5" i="36" s="1"/>
  <c r="N31" i="36"/>
  <c r="M31" i="36"/>
  <c r="L31" i="36"/>
  <c r="N30" i="36"/>
  <c r="N34" i="36" s="1"/>
  <c r="P20" i="36" s="1"/>
  <c r="M30" i="36"/>
  <c r="M34" i="36" s="1"/>
  <c r="S20" i="36" s="1"/>
  <c r="L30" i="36"/>
  <c r="N29" i="36"/>
  <c r="M29" i="36"/>
  <c r="M32" i="36" s="1"/>
  <c r="L29" i="36"/>
  <c r="G8" i="36"/>
  <c r="M33" i="36" l="1"/>
  <c r="S5" i="36" s="1"/>
  <c r="H19" i="11"/>
  <c r="L32" i="36"/>
  <c r="N32" i="36"/>
  <c r="O26" i="41" l="1"/>
  <c r="D33" i="35" s="1"/>
  <c r="K26" i="41"/>
  <c r="O26" i="40"/>
  <c r="C33" i="35" s="1"/>
  <c r="K26" i="40"/>
  <c r="D31" i="35"/>
  <c r="C31" i="35"/>
  <c r="L3" i="7"/>
  <c r="M70" i="13"/>
  <c r="G26" i="42"/>
  <c r="K10" i="29" s="1"/>
  <c r="E26" i="42"/>
  <c r="H10" i="29" s="1"/>
  <c r="Q26" i="41"/>
  <c r="K32" i="29" s="1"/>
  <c r="M26" i="41"/>
  <c r="H32" i="29" s="1"/>
  <c r="Q26" i="40"/>
  <c r="K21" i="29" s="1"/>
  <c r="M26" i="40"/>
  <c r="H21" i="29" s="1"/>
  <c r="L13" i="24"/>
  <c r="Q165" i="2"/>
  <c r="C34" i="29"/>
  <c r="C23" i="29"/>
  <c r="N27" i="29"/>
  <c r="N16" i="29"/>
  <c r="K27" i="29"/>
  <c r="K16" i="29"/>
  <c r="H27" i="29"/>
  <c r="C27" i="29" s="1"/>
  <c r="H16" i="29"/>
  <c r="I9" i="38"/>
  <c r="F9" i="38"/>
  <c r="I8" i="38"/>
  <c r="F8" i="38"/>
  <c r="I7" i="38"/>
  <c r="F7" i="38"/>
  <c r="R18" i="39"/>
  <c r="S18" i="39" s="1"/>
  <c r="M18" i="39"/>
  <c r="P18" i="39" s="1"/>
  <c r="U17" i="39"/>
  <c r="P17" i="39"/>
  <c r="U16" i="39"/>
  <c r="P16" i="39"/>
  <c r="N16" i="39"/>
  <c r="R15" i="39"/>
  <c r="S15" i="39" s="1"/>
  <c r="M15" i="39"/>
  <c r="P15" i="39" s="1"/>
  <c r="U14" i="39"/>
  <c r="U13" i="39"/>
  <c r="P13" i="39"/>
  <c r="N13" i="39"/>
  <c r="R12" i="39"/>
  <c r="S12" i="39" s="1"/>
  <c r="S19" i="39" s="1"/>
  <c r="M12" i="39"/>
  <c r="M19" i="39" s="1"/>
  <c r="U11" i="39"/>
  <c r="P11" i="39"/>
  <c r="N11" i="39"/>
  <c r="U10" i="39"/>
  <c r="S10" i="39"/>
  <c r="P10" i="39"/>
  <c r="N10" i="39"/>
  <c r="U9" i="39"/>
  <c r="S9" i="39"/>
  <c r="P9" i="39"/>
  <c r="N9" i="39"/>
  <c r="U8" i="39"/>
  <c r="S8" i="39"/>
  <c r="P8" i="39"/>
  <c r="N8" i="39"/>
  <c r="U7" i="39"/>
  <c r="S7" i="39"/>
  <c r="P7" i="39"/>
  <c r="N7" i="39"/>
  <c r="U6" i="39"/>
  <c r="S6" i="39"/>
  <c r="P6" i="39"/>
  <c r="N6" i="39"/>
  <c r="C32" i="35" l="1"/>
  <c r="N12" i="39"/>
  <c r="N14" i="39"/>
  <c r="N15" i="39"/>
  <c r="D32" i="35"/>
  <c r="P14" i="39"/>
  <c r="N17" i="39"/>
  <c r="N18" i="39"/>
  <c r="C16" i="29"/>
  <c r="U12" i="39"/>
  <c r="U15" i="39"/>
  <c r="U18" i="39"/>
  <c r="R19" i="39"/>
  <c r="S11" i="39"/>
  <c r="P12" i="39"/>
  <c r="P19" i="39" s="1"/>
  <c r="S13" i="39"/>
  <c r="S14" i="39"/>
  <c r="S16" i="39"/>
  <c r="S17" i="39"/>
  <c r="N19" i="39" l="1"/>
  <c r="U19" i="39"/>
  <c r="F10" i="38" l="1"/>
  <c r="I10" i="38"/>
  <c r="B6" i="34"/>
  <c r="B7" i="34"/>
  <c r="B8" i="34"/>
  <c r="B9" i="34"/>
  <c r="B10" i="34"/>
  <c r="B11" i="34"/>
  <c r="B12" i="34"/>
  <c r="U20" i="36"/>
  <c r="R20" i="36"/>
  <c r="O20" i="36"/>
  <c r="J20" i="36"/>
  <c r="I20" i="36"/>
  <c r="G20" i="36"/>
  <c r="F20" i="36"/>
  <c r="D20" i="36"/>
  <c r="C20" i="36"/>
  <c r="W19" i="36"/>
  <c r="T19" i="36"/>
  <c r="Q19" i="36"/>
  <c r="K19" i="36"/>
  <c r="H19" i="36"/>
  <c r="E19" i="36"/>
  <c r="W18" i="36"/>
  <c r="T18" i="36"/>
  <c r="Q18" i="36"/>
  <c r="K18" i="36"/>
  <c r="H18" i="36"/>
  <c r="E18" i="36"/>
  <c r="W17" i="36"/>
  <c r="T17" i="36"/>
  <c r="Q17" i="36"/>
  <c r="K17" i="36"/>
  <c r="H17" i="36"/>
  <c r="E17" i="36"/>
  <c r="W16" i="36"/>
  <c r="T16" i="36"/>
  <c r="Q16" i="36"/>
  <c r="K16" i="36"/>
  <c r="H16" i="36"/>
  <c r="E16" i="36"/>
  <c r="W15" i="36"/>
  <c r="T15" i="36"/>
  <c r="Q15" i="36"/>
  <c r="K15" i="36"/>
  <c r="H15" i="36"/>
  <c r="E15" i="36"/>
  <c r="W14" i="36"/>
  <c r="T14" i="36"/>
  <c r="Q14" i="36"/>
  <c r="K14" i="36"/>
  <c r="H14" i="36"/>
  <c r="E14" i="36"/>
  <c r="W13" i="36"/>
  <c r="T13" i="36"/>
  <c r="Q13" i="36"/>
  <c r="K13" i="36"/>
  <c r="H13" i="36"/>
  <c r="E13" i="36"/>
  <c r="W12" i="36"/>
  <c r="T12" i="36"/>
  <c r="Q12" i="36"/>
  <c r="K12" i="36"/>
  <c r="H12" i="36"/>
  <c r="E12" i="36"/>
  <c r="W11" i="36"/>
  <c r="T11" i="36"/>
  <c r="Q11" i="36"/>
  <c r="K11" i="36"/>
  <c r="H11" i="36"/>
  <c r="E11" i="36"/>
  <c r="W10" i="36"/>
  <c r="T10" i="36"/>
  <c r="Q10" i="36"/>
  <c r="K10" i="36"/>
  <c r="H10" i="36"/>
  <c r="E10" i="36"/>
  <c r="W9" i="36"/>
  <c r="T9" i="36"/>
  <c r="Q9" i="36"/>
  <c r="K9" i="36"/>
  <c r="H9" i="36"/>
  <c r="E9" i="36"/>
  <c r="U8" i="36"/>
  <c r="R8" i="36"/>
  <c r="O8" i="36"/>
  <c r="J8" i="36"/>
  <c r="I8" i="36"/>
  <c r="F8" i="36"/>
  <c r="D8" i="36"/>
  <c r="E8" i="36" s="1"/>
  <c r="C8" i="36"/>
  <c r="K7" i="36"/>
  <c r="H7" i="36"/>
  <c r="E7" i="36"/>
  <c r="K6" i="36"/>
  <c r="H6" i="36"/>
  <c r="E6" i="36"/>
  <c r="W5" i="36"/>
  <c r="T5" i="36"/>
  <c r="Q5" i="36"/>
  <c r="K5" i="36"/>
  <c r="H5" i="36"/>
  <c r="E5" i="36"/>
  <c r="T20" i="36" l="1"/>
  <c r="K8" i="36"/>
  <c r="E20" i="36"/>
  <c r="K20" i="36"/>
  <c r="C21" i="36"/>
  <c r="F21" i="36"/>
  <c r="I21" i="36"/>
  <c r="O21" i="36"/>
  <c r="R21" i="36"/>
  <c r="U21" i="36"/>
  <c r="H20" i="36"/>
  <c r="Q20" i="36"/>
  <c r="D21" i="36"/>
  <c r="J21" i="36"/>
  <c r="E21" i="36" l="1"/>
  <c r="K21" i="36"/>
  <c r="R15" i="22" l="1"/>
  <c r="S15" i="22"/>
  <c r="T15" i="22"/>
  <c r="D12" i="12"/>
  <c r="D41" i="12" s="1"/>
  <c r="D9" i="12"/>
  <c r="D32" i="12" s="1"/>
  <c r="D6" i="12"/>
  <c r="D21" i="12" s="1"/>
  <c r="M63" i="13" l="1"/>
  <c r="N63" i="13" s="1"/>
  <c r="I10" i="9" l="1"/>
  <c r="I11" i="9"/>
  <c r="I12" i="9"/>
  <c r="I13" i="9"/>
  <c r="I14" i="9"/>
  <c r="I15" i="9"/>
  <c r="I9" i="9"/>
  <c r="J11" i="9" s="1"/>
  <c r="J15" i="9" l="1"/>
  <c r="J14" i="9"/>
  <c r="J13" i="9"/>
  <c r="J10" i="9"/>
  <c r="J12" i="9"/>
  <c r="H5" i="29"/>
  <c r="C5" i="34"/>
  <c r="E4" i="34" l="1"/>
  <c r="F4" i="34"/>
  <c r="G4" i="34"/>
  <c r="H4" i="34"/>
  <c r="I4" i="34"/>
  <c r="J4" i="34"/>
  <c r="K4" i="34"/>
  <c r="L4" i="34"/>
  <c r="M4" i="34"/>
  <c r="N4" i="34"/>
  <c r="O4" i="34"/>
  <c r="P4" i="34"/>
  <c r="D4" i="34"/>
  <c r="P12" i="34"/>
  <c r="O12" i="34"/>
  <c r="N12" i="34"/>
  <c r="M12" i="34"/>
  <c r="L12" i="34"/>
  <c r="K12" i="34"/>
  <c r="J12" i="34"/>
  <c r="I12" i="34"/>
  <c r="H12" i="34"/>
  <c r="E12" i="34"/>
  <c r="D12" i="34"/>
  <c r="P11" i="34"/>
  <c r="O11" i="34"/>
  <c r="N11" i="34"/>
  <c r="M11" i="34"/>
  <c r="L11" i="34"/>
  <c r="K11" i="34"/>
  <c r="J11" i="34"/>
  <c r="I11" i="34"/>
  <c r="H11" i="34"/>
  <c r="P10" i="34"/>
  <c r="O10" i="34"/>
  <c r="N10" i="34"/>
  <c r="M10" i="34"/>
  <c r="L10" i="34"/>
  <c r="K10" i="34"/>
  <c r="J10" i="34"/>
  <c r="I10" i="34"/>
  <c r="H10" i="34"/>
  <c r="P9" i="34"/>
  <c r="O9" i="34"/>
  <c r="N9" i="34"/>
  <c r="M9" i="34"/>
  <c r="L9" i="34"/>
  <c r="F9" i="34"/>
  <c r="F8" i="34"/>
  <c r="F7" i="34"/>
  <c r="F6" i="34"/>
  <c r="F5" i="34"/>
  <c r="B5" i="34"/>
  <c r="C9" i="38" l="1"/>
  <c r="C8" i="38"/>
  <c r="C7" i="38"/>
  <c r="C10" i="38" s="1"/>
  <c r="J53" i="12"/>
  <c r="G53" i="12" l="1"/>
  <c r="G157" i="13"/>
  <c r="H157" i="13"/>
  <c r="F157" i="13"/>
  <c r="D141" i="13"/>
  <c r="E141" i="13"/>
  <c r="C141" i="13"/>
  <c r="C162" i="13" s="1"/>
  <c r="D149" i="13"/>
  <c r="E149" i="13"/>
  <c r="C149" i="13"/>
  <c r="C156" i="13" s="1"/>
  <c r="I103" i="7"/>
  <c r="J103" i="7"/>
  <c r="H103" i="7"/>
  <c r="I104" i="7"/>
  <c r="J104" i="7"/>
  <c r="H104" i="7"/>
  <c r="M103" i="7"/>
  <c r="K82" i="13"/>
  <c r="P29" i="24" l="1"/>
  <c r="N31" i="24" s="1"/>
  <c r="M31" i="24"/>
  <c r="O29" i="24"/>
  <c r="N30" i="24" s="1"/>
  <c r="M30" i="24" l="1"/>
  <c r="C12" i="29"/>
  <c r="C12" i="34" s="1"/>
  <c r="C5" i="29"/>
  <c r="R12" i="22"/>
  <c r="D17" i="22" s="1"/>
  <c r="S12" i="22"/>
  <c r="T12" i="22"/>
  <c r="L3" i="10"/>
  <c r="G5" i="29" l="1"/>
  <c r="G5" i="34" s="1"/>
  <c r="N28" i="24" l="1"/>
  <c r="Q26" i="24" l="1"/>
  <c r="O26" i="24"/>
  <c r="N26" i="24"/>
  <c r="L26" i="24"/>
  <c r="K26" i="24"/>
  <c r="I26" i="24"/>
  <c r="H26" i="24"/>
  <c r="F26" i="24"/>
  <c r="E26" i="24"/>
  <c r="D26" i="24"/>
  <c r="C26" i="24"/>
  <c r="Q25" i="24"/>
  <c r="O25" i="24"/>
  <c r="N25" i="24"/>
  <c r="L25" i="24"/>
  <c r="K25" i="24"/>
  <c r="I25" i="24"/>
  <c r="H25" i="24"/>
  <c r="F25" i="24"/>
  <c r="E25" i="24"/>
  <c r="D25" i="24"/>
  <c r="C25" i="24"/>
  <c r="Q23" i="24"/>
  <c r="O23" i="24"/>
  <c r="N23" i="24"/>
  <c r="L23" i="24"/>
  <c r="K23" i="24"/>
  <c r="I23" i="24"/>
  <c r="H23" i="24"/>
  <c r="F23" i="24"/>
  <c r="E23" i="24"/>
  <c r="D23" i="24"/>
  <c r="C23" i="24"/>
  <c r="Q22" i="24"/>
  <c r="O22" i="24"/>
  <c r="N22" i="24"/>
  <c r="L22" i="24"/>
  <c r="K22" i="24"/>
  <c r="I22" i="24"/>
  <c r="H22" i="24"/>
  <c r="F22" i="24"/>
  <c r="E22" i="24"/>
  <c r="D22" i="24"/>
  <c r="C22" i="24"/>
  <c r="Q21" i="24"/>
  <c r="O21" i="24"/>
  <c r="N21" i="24"/>
  <c r="L21" i="24"/>
  <c r="K21" i="24"/>
  <c r="I21" i="24"/>
  <c r="H21" i="24"/>
  <c r="F21" i="24"/>
  <c r="E21" i="24"/>
  <c r="D21" i="24"/>
  <c r="C21" i="24"/>
  <c r="Q20" i="24"/>
  <c r="O20" i="24"/>
  <c r="N20" i="24"/>
  <c r="L20" i="24"/>
  <c r="K20" i="24"/>
  <c r="I20" i="24"/>
  <c r="H20" i="24"/>
  <c r="F20" i="24"/>
  <c r="E20" i="24"/>
  <c r="D20" i="24"/>
  <c r="C20" i="24"/>
  <c r="Q19" i="24"/>
  <c r="O19" i="24"/>
  <c r="N19" i="24"/>
  <c r="L19" i="24"/>
  <c r="K19" i="24"/>
  <c r="I19" i="24"/>
  <c r="H19" i="24"/>
  <c r="F19" i="24"/>
  <c r="E19" i="24"/>
  <c r="D19" i="24"/>
  <c r="C19" i="24"/>
  <c r="Q18" i="24"/>
  <c r="O18" i="24"/>
  <c r="N18" i="24"/>
  <c r="L18" i="24"/>
  <c r="K18" i="24"/>
  <c r="I18" i="24"/>
  <c r="H18" i="24"/>
  <c r="F18" i="24"/>
  <c r="E18" i="24"/>
  <c r="D18" i="24"/>
  <c r="C18" i="24"/>
  <c r="Q17" i="24"/>
  <c r="O17" i="24"/>
  <c r="N17" i="24"/>
  <c r="L17" i="24"/>
  <c r="K17" i="24"/>
  <c r="I17" i="24"/>
  <c r="H17" i="24"/>
  <c r="F17" i="24"/>
  <c r="E17" i="24"/>
  <c r="D17" i="24"/>
  <c r="C17" i="24"/>
  <c r="Q16" i="24"/>
  <c r="O16" i="24"/>
  <c r="N16" i="24"/>
  <c r="L16" i="24"/>
  <c r="K16" i="24"/>
  <c r="I16" i="24"/>
  <c r="H16" i="24"/>
  <c r="F16" i="24"/>
  <c r="E16" i="24"/>
  <c r="D16" i="24"/>
  <c r="C16" i="24"/>
  <c r="Q15" i="24"/>
  <c r="O15" i="24"/>
  <c r="N15" i="24"/>
  <c r="L15" i="24"/>
  <c r="K15" i="24"/>
  <c r="I15" i="24"/>
  <c r="H15" i="24"/>
  <c r="F15" i="24"/>
  <c r="E15" i="24"/>
  <c r="D15" i="24"/>
  <c r="C15" i="24"/>
  <c r="S12" i="24"/>
  <c r="R12" i="24"/>
  <c r="P12" i="24"/>
  <c r="M12" i="24"/>
  <c r="J12" i="24"/>
  <c r="G12" i="24"/>
  <c r="S11" i="24"/>
  <c r="R11" i="24"/>
  <c r="P11" i="24"/>
  <c r="P22" i="24" s="1"/>
  <c r="M11" i="24"/>
  <c r="J11" i="24"/>
  <c r="G11" i="24"/>
  <c r="S10" i="24"/>
  <c r="R10" i="24"/>
  <c r="P10" i="24"/>
  <c r="M10" i="24"/>
  <c r="J10" i="24"/>
  <c r="J21" i="24" s="1"/>
  <c r="G10" i="24"/>
  <c r="S9" i="24"/>
  <c r="R9" i="24"/>
  <c r="R20" i="24" s="1"/>
  <c r="P9" i="24"/>
  <c r="P20" i="24" s="1"/>
  <c r="M9" i="24"/>
  <c r="J9" i="24"/>
  <c r="G9" i="24"/>
  <c r="G20" i="24" s="1"/>
  <c r="S8" i="24"/>
  <c r="R8" i="24"/>
  <c r="P8" i="24"/>
  <c r="M8" i="24"/>
  <c r="M19" i="24" s="1"/>
  <c r="J8" i="24"/>
  <c r="J19" i="24" s="1"/>
  <c r="G8" i="24"/>
  <c r="S7" i="24"/>
  <c r="R7" i="24"/>
  <c r="R18" i="24" s="1"/>
  <c r="P7" i="24"/>
  <c r="P18" i="24" s="1"/>
  <c r="M7" i="24"/>
  <c r="J7" i="24"/>
  <c r="G7" i="24"/>
  <c r="G18" i="24" s="1"/>
  <c r="S6" i="24"/>
  <c r="R6" i="24"/>
  <c r="P6" i="24"/>
  <c r="M6" i="24"/>
  <c r="M17" i="24" s="1"/>
  <c r="J6" i="24"/>
  <c r="J17" i="24" s="1"/>
  <c r="G6" i="24"/>
  <c r="S5" i="24"/>
  <c r="R5" i="24"/>
  <c r="R16" i="24" s="1"/>
  <c r="P5" i="24"/>
  <c r="P16" i="24" s="1"/>
  <c r="M5" i="24"/>
  <c r="J5" i="24"/>
  <c r="G5" i="24"/>
  <c r="G16" i="24" s="1"/>
  <c r="S4" i="24"/>
  <c r="R4" i="24"/>
  <c r="P4" i="24"/>
  <c r="M4" i="24"/>
  <c r="M15" i="24" s="1"/>
  <c r="J4" i="24"/>
  <c r="J15" i="24" s="1"/>
  <c r="G4" i="24"/>
  <c r="S3" i="24"/>
  <c r="R3" i="24"/>
  <c r="P3" i="24"/>
  <c r="M3" i="24"/>
  <c r="J3" i="24"/>
  <c r="G3" i="24"/>
  <c r="J26" i="24" l="1"/>
  <c r="S25" i="24"/>
  <c r="M21" i="24"/>
  <c r="G22" i="24"/>
  <c r="R22" i="24"/>
  <c r="M25" i="24"/>
  <c r="P15" i="24"/>
  <c r="J16" i="24"/>
  <c r="P17" i="24"/>
  <c r="J18" i="24"/>
  <c r="P19" i="24"/>
  <c r="J20" i="24"/>
  <c r="P21" i="24"/>
  <c r="J22" i="24"/>
  <c r="P26" i="24"/>
  <c r="G15" i="24"/>
  <c r="R15" i="24"/>
  <c r="M16" i="24"/>
  <c r="G17" i="24"/>
  <c r="R17" i="24"/>
  <c r="M18" i="24"/>
  <c r="G19" i="24"/>
  <c r="R19" i="24"/>
  <c r="M20" i="24"/>
  <c r="G21" i="24"/>
  <c r="R21" i="24"/>
  <c r="M22" i="24"/>
  <c r="G25" i="24"/>
  <c r="R26" i="24"/>
  <c r="B24" i="36"/>
  <c r="C25" i="35"/>
  <c r="J23" i="24"/>
  <c r="P23" i="24"/>
  <c r="R23" i="24"/>
  <c r="J25" i="24"/>
  <c r="P25" i="24"/>
  <c r="R25" i="24"/>
  <c r="G26" i="24"/>
  <c r="M26" i="24"/>
  <c r="S26" i="24"/>
  <c r="G23" i="24"/>
  <c r="M23" i="24"/>
  <c r="C27" i="35" l="1"/>
  <c r="M18" i="35" s="1"/>
  <c r="D26" i="35"/>
  <c r="R15" i="35" s="1"/>
  <c r="D27" i="35"/>
  <c r="R18" i="35" s="1"/>
  <c r="M12" i="35"/>
  <c r="D25" i="35"/>
  <c r="R12" i="35" s="1"/>
  <c r="C26" i="35"/>
  <c r="M15" i="35" s="1"/>
  <c r="B25" i="36"/>
  <c r="S6" i="36"/>
  <c r="V6" i="36"/>
  <c r="P7" i="36"/>
  <c r="Q7" i="36" s="1"/>
  <c r="V7" i="36"/>
  <c r="W7" i="36" s="1"/>
  <c r="P6" i="36"/>
  <c r="S7" i="36"/>
  <c r="T7" i="36" s="1"/>
  <c r="V20" i="36"/>
  <c r="W20" i="36" s="1"/>
  <c r="K127" i="10"/>
  <c r="K23" i="7"/>
  <c r="N104" i="7"/>
  <c r="M104" i="7"/>
  <c r="V8" i="36" l="1"/>
  <c r="W6" i="36"/>
  <c r="Q6" i="36"/>
  <c r="P8" i="36"/>
  <c r="S8" i="36"/>
  <c r="T6" i="36"/>
  <c r="N12" i="35"/>
  <c r="P12" i="35"/>
  <c r="N10" i="35"/>
  <c r="N6" i="35"/>
  <c r="P8" i="35"/>
  <c r="N9" i="35"/>
  <c r="P11" i="35"/>
  <c r="P7" i="35"/>
  <c r="M19" i="35"/>
  <c r="N8" i="35"/>
  <c r="P10" i="35"/>
  <c r="P6" i="35"/>
  <c r="N11" i="35"/>
  <c r="N7" i="35"/>
  <c r="P9" i="35"/>
  <c r="U18" i="35"/>
  <c r="S18" i="35"/>
  <c r="U17" i="35"/>
  <c r="S17" i="35"/>
  <c r="U16" i="35"/>
  <c r="S16" i="35"/>
  <c r="N14" i="35"/>
  <c r="P13" i="35"/>
  <c r="N13" i="35"/>
  <c r="N15" i="35"/>
  <c r="P15" i="35"/>
  <c r="P14" i="35"/>
  <c r="S14" i="35"/>
  <c r="U13" i="35"/>
  <c r="S13" i="35"/>
  <c r="S15" i="35"/>
  <c r="U14" i="35"/>
  <c r="U15" i="35"/>
  <c r="S11" i="35"/>
  <c r="S7" i="35"/>
  <c r="U11" i="35"/>
  <c r="U7" i="35"/>
  <c r="U9" i="35"/>
  <c r="S10" i="35"/>
  <c r="S6" i="35"/>
  <c r="U10" i="35"/>
  <c r="U6" i="35"/>
  <c r="S9" i="35"/>
  <c r="R19" i="35"/>
  <c r="S12" i="35"/>
  <c r="S19" i="35" s="1"/>
  <c r="S8" i="35"/>
  <c r="U12" i="35"/>
  <c r="U19" i="35" s="1"/>
  <c r="U8" i="35"/>
  <c r="P18" i="35"/>
  <c r="P17" i="35"/>
  <c r="N17" i="35"/>
  <c r="P16" i="35"/>
  <c r="N16" i="35"/>
  <c r="N18" i="35"/>
  <c r="H45" i="22"/>
  <c r="I45" i="22"/>
  <c r="G45" i="22"/>
  <c r="Q4" i="22"/>
  <c r="R4" i="22" s="1"/>
  <c r="Q5" i="22"/>
  <c r="R5" i="22" s="1"/>
  <c r="L37" i="22"/>
  <c r="L36" i="22"/>
  <c r="M29" i="22"/>
  <c r="M28" i="22"/>
  <c r="P24" i="22"/>
  <c r="P23" i="22"/>
  <c r="P22" i="22"/>
  <c r="E32" i="22"/>
  <c r="T14" i="22"/>
  <c r="S14" i="22"/>
  <c r="R14" i="22"/>
  <c r="T13" i="22"/>
  <c r="S13" i="22"/>
  <c r="R13" i="22"/>
  <c r="F17" i="22"/>
  <c r="E17" i="22"/>
  <c r="T7" i="22"/>
  <c r="S7" i="22"/>
  <c r="R7" i="22"/>
  <c r="Q6" i="22"/>
  <c r="G169" i="13"/>
  <c r="I121" i="7" s="1"/>
  <c r="H169" i="13"/>
  <c r="J121" i="7" s="1"/>
  <c r="F169" i="13"/>
  <c r="H121" i="7" s="1"/>
  <c r="L121" i="7" s="1"/>
  <c r="M121" i="7" s="1"/>
  <c r="G163" i="13"/>
  <c r="H163" i="13"/>
  <c r="F163" i="13"/>
  <c r="I119" i="7"/>
  <c r="N119" i="7" s="1"/>
  <c r="J119" i="7"/>
  <c r="O119" i="7" s="1"/>
  <c r="H119" i="7"/>
  <c r="L119" i="7" s="1"/>
  <c r="M119" i="7" s="1"/>
  <c r="S21" i="36" l="1"/>
  <c r="T21" i="36" s="1"/>
  <c r="T8" i="36"/>
  <c r="V21" i="36"/>
  <c r="W21" i="36" s="1"/>
  <c r="W8" i="36"/>
  <c r="P19" i="35"/>
  <c r="P21" i="36"/>
  <c r="Q8" i="36"/>
  <c r="N19" i="35"/>
  <c r="S5" i="22"/>
  <c r="S4" i="22"/>
  <c r="F23" i="22"/>
  <c r="E23" i="22"/>
  <c r="T5" i="22"/>
  <c r="T4" i="22"/>
  <c r="O121" i="7"/>
  <c r="D23" i="22"/>
  <c r="N121" i="7"/>
  <c r="Q23" i="22"/>
  <c r="M30" i="22"/>
  <c r="T6" i="22"/>
  <c r="L38" i="22"/>
  <c r="R6" i="22"/>
  <c r="Q24" i="22"/>
  <c r="D32" i="22"/>
  <c r="F32" i="22"/>
  <c r="S6" i="22"/>
  <c r="J120" i="7"/>
  <c r="O120" i="7" s="1"/>
  <c r="H120" i="7"/>
  <c r="L120" i="7" s="1"/>
  <c r="M120" i="7" s="1"/>
  <c r="I120" i="7"/>
  <c r="N120" i="7" s="1"/>
  <c r="P156" i="2"/>
  <c r="P154" i="2"/>
  <c r="P152" i="2"/>
  <c r="P150" i="2"/>
  <c r="P148" i="2"/>
  <c r="P146" i="2"/>
  <c r="P144" i="2"/>
  <c r="P142" i="2"/>
  <c r="P141" i="2"/>
  <c r="P140" i="2"/>
  <c r="P139" i="2"/>
  <c r="P137" i="2"/>
  <c r="P135" i="2"/>
  <c r="P132" i="2"/>
  <c r="P131" i="2"/>
  <c r="P40" i="2"/>
  <c r="P36" i="2"/>
  <c r="P17" i="2"/>
  <c r="Q25" i="22" l="1"/>
  <c r="N16" i="13"/>
  <c r="L16" i="13"/>
  <c r="N22" i="13"/>
  <c r="L22" i="13"/>
  <c r="L17" i="13" l="1"/>
  <c r="L23" i="13"/>
  <c r="N10" i="13"/>
  <c r="L10" i="13"/>
  <c r="L11" i="13" l="1"/>
  <c r="L12" i="11"/>
  <c r="L11" i="11"/>
  <c r="L9" i="11"/>
  <c r="L10" i="11"/>
  <c r="L8" i="11"/>
  <c r="L6" i="11"/>
  <c r="L7" i="11"/>
  <c r="L5" i="11"/>
  <c r="L41" i="6" l="1"/>
  <c r="O41" i="6" s="1"/>
  <c r="L40" i="6"/>
  <c r="L43" i="6" s="1"/>
  <c r="O43" i="6" s="1"/>
  <c r="N41" i="6"/>
  <c r="Q41" i="6" s="1"/>
  <c r="M41" i="6"/>
  <c r="P41" i="6" s="1"/>
  <c r="N40" i="6"/>
  <c r="Q40" i="6" s="1"/>
  <c r="M40" i="6"/>
  <c r="P40" i="6" s="1"/>
  <c r="N43" i="6"/>
  <c r="Q43" i="6" s="1"/>
  <c r="L44" i="6" l="1"/>
  <c r="O44" i="6" s="1"/>
  <c r="N42" i="6"/>
  <c r="N44" i="6" s="1"/>
  <c r="Q44" i="6" s="1"/>
  <c r="M43" i="6"/>
  <c r="P43" i="6" s="1"/>
  <c r="M42" i="6"/>
  <c r="O40" i="6"/>
  <c r="L42" i="6"/>
  <c r="O42" i="6" s="1"/>
  <c r="Q42" i="6" l="1"/>
  <c r="M44" i="6"/>
  <c r="P44" i="6" s="1"/>
  <c r="P42" i="6"/>
  <c r="E162" i="13" l="1"/>
  <c r="E168" i="13"/>
  <c r="D162" i="13"/>
  <c r="D168" i="13"/>
  <c r="C168" i="13"/>
  <c r="E156" i="13" l="1"/>
  <c r="D156" i="13"/>
  <c r="N117" i="7" l="1"/>
  <c r="O117" i="7"/>
  <c r="N118" i="7"/>
  <c r="O118" i="7"/>
  <c r="E128" i="13"/>
  <c r="D128" i="13"/>
  <c r="G129" i="13" s="1"/>
  <c r="C128" i="13"/>
  <c r="F129" i="13" s="1"/>
  <c r="H117" i="7" s="1"/>
  <c r="L117" i="7" s="1"/>
  <c r="M117" i="7" s="1"/>
  <c r="N103" i="13"/>
  <c r="E103" i="13"/>
  <c r="D103" i="13"/>
  <c r="C103" i="13"/>
  <c r="N102" i="13"/>
  <c r="N101" i="13"/>
  <c r="N100" i="13"/>
  <c r="O102" i="13" s="1"/>
  <c r="K91" i="13"/>
  <c r="E90" i="13"/>
  <c r="D90" i="13"/>
  <c r="C90" i="13"/>
  <c r="E82" i="13"/>
  <c r="D82" i="13"/>
  <c r="C82" i="13"/>
  <c r="K81" i="13"/>
  <c r="E73" i="13"/>
  <c r="H74" i="13" s="1"/>
  <c r="D73" i="13"/>
  <c r="G74" i="13" s="1"/>
  <c r="C73" i="13"/>
  <c r="F74" i="13" s="1"/>
  <c r="J165" i="2"/>
  <c r="O165" i="2" s="1"/>
  <c r="P165" i="2" s="1"/>
  <c r="G91" i="13" l="1"/>
  <c r="I115" i="7" s="1"/>
  <c r="N115" i="7" s="1"/>
  <c r="H91" i="13"/>
  <c r="J115" i="7" s="1"/>
  <c r="O115" i="7" s="1"/>
  <c r="F91" i="13"/>
  <c r="O103" i="13"/>
  <c r="H129" i="13"/>
  <c r="E130" i="13" s="1"/>
  <c r="H131" i="13" s="1"/>
  <c r="K83" i="13"/>
  <c r="G83" i="13" s="1"/>
  <c r="C130" i="13"/>
  <c r="O104" i="13"/>
  <c r="G104" i="13" s="1"/>
  <c r="I116" i="7" s="1"/>
  <c r="N116" i="7" s="1"/>
  <c r="D130" i="13"/>
  <c r="G131" i="13" s="1"/>
  <c r="O101" i="13"/>
  <c r="F83" i="13" l="1"/>
  <c r="N112" i="7"/>
  <c r="H113" i="7"/>
  <c r="F131" i="13"/>
  <c r="H118" i="7" s="1"/>
  <c r="L118" i="7" s="1"/>
  <c r="M118" i="7" s="1"/>
  <c r="H115" i="7"/>
  <c r="L115" i="7" s="1"/>
  <c r="M115" i="7" s="1"/>
  <c r="H83" i="13"/>
  <c r="H112" i="7"/>
  <c r="F104" i="13"/>
  <c r="J113" i="7"/>
  <c r="O113" i="7" s="1"/>
  <c r="I113" i="7"/>
  <c r="N113" i="7" s="1"/>
  <c r="H104" i="13"/>
  <c r="J116" i="7" s="1"/>
  <c r="O116" i="7" s="1"/>
  <c r="M71" i="12"/>
  <c r="L113" i="7" l="1"/>
  <c r="M113" i="7" s="1"/>
  <c r="O112" i="7"/>
  <c r="L112" i="7"/>
  <c r="M112" i="7" s="1"/>
  <c r="H116" i="7"/>
  <c r="L116" i="7" s="1"/>
  <c r="M116" i="7" s="1"/>
  <c r="G71" i="12"/>
  <c r="M80" i="12" l="1"/>
  <c r="J81" i="12" s="1"/>
  <c r="M72" i="12"/>
  <c r="J73" i="12" s="1"/>
  <c r="M97" i="12"/>
  <c r="J98" i="12" s="1"/>
  <c r="D95" i="12"/>
  <c r="H96" i="12"/>
  <c r="I96" i="12"/>
  <c r="G96" i="12"/>
  <c r="G79" i="12"/>
  <c r="E95" i="12"/>
  <c r="E97" i="12" s="1"/>
  <c r="F95" i="12"/>
  <c r="F97" i="12" s="1"/>
  <c r="I98" i="12" s="1"/>
  <c r="F23" i="11"/>
  <c r="F22" i="11"/>
  <c r="M25" i="12"/>
  <c r="M24" i="12"/>
  <c r="I79" i="12"/>
  <c r="H79" i="12"/>
  <c r="E78" i="12"/>
  <c r="F78" i="12"/>
  <c r="D78" i="12"/>
  <c r="H71" i="12"/>
  <c r="I71" i="12"/>
  <c r="F70" i="12"/>
  <c r="E70" i="12"/>
  <c r="D70" i="12"/>
  <c r="D72" i="12" s="1"/>
  <c r="D97" i="12" l="1"/>
  <c r="G98" i="12" s="1"/>
  <c r="M42" i="12"/>
  <c r="M32" i="12"/>
  <c r="M21" i="12"/>
  <c r="D80" i="12"/>
  <c r="G81" i="12" s="1"/>
  <c r="J159" i="2" s="1"/>
  <c r="M26" i="12"/>
  <c r="H98" i="12"/>
  <c r="E72" i="12"/>
  <c r="H73" i="12" s="1"/>
  <c r="F72" i="12"/>
  <c r="G73" i="12"/>
  <c r="J160" i="2" s="1"/>
  <c r="K160" i="2" l="1"/>
  <c r="Q160" i="2" s="1"/>
  <c r="I73" i="12"/>
  <c r="L160" i="2" s="1"/>
  <c r="R160" i="2" s="1"/>
  <c r="F80" i="12"/>
  <c r="E80" i="12"/>
  <c r="H81" i="12" s="1"/>
  <c r="K159" i="2" l="1"/>
  <c r="Q159" i="2" s="1"/>
  <c r="I81" i="12"/>
  <c r="L159" i="2" s="1"/>
  <c r="R159" i="2" s="1"/>
  <c r="L165" i="2"/>
  <c r="K165" i="2"/>
  <c r="J42" i="12"/>
  <c r="F41" i="12"/>
  <c r="E41" i="12"/>
  <c r="J33" i="12"/>
  <c r="F32" i="12"/>
  <c r="E32" i="12"/>
  <c r="J22" i="12"/>
  <c r="G22" i="12" s="1"/>
  <c r="M22" i="12" s="1"/>
  <c r="G24" i="12" s="1"/>
  <c r="J162" i="2" s="1"/>
  <c r="I33" i="12" l="1"/>
  <c r="G33" i="12"/>
  <c r="M33" i="12" s="1"/>
  <c r="G35" i="12" s="1"/>
  <c r="J163" i="2" s="1"/>
  <c r="I42" i="12"/>
  <c r="F43" i="12" s="1"/>
  <c r="G42" i="12"/>
  <c r="M43" i="12" s="1"/>
  <c r="G44" i="12" s="1"/>
  <c r="J164" i="2" s="1"/>
  <c r="D43" i="12"/>
  <c r="D45" i="12" s="1"/>
  <c r="I22" i="12"/>
  <c r="F23" i="12" s="1"/>
  <c r="I24" i="12" s="1"/>
  <c r="H22" i="12"/>
  <c r="E23" i="12" s="1"/>
  <c r="H24" i="12" s="1"/>
  <c r="Q162" i="2" s="1"/>
  <c r="D23" i="12"/>
  <c r="D25" i="12" s="1"/>
  <c r="D34" i="12"/>
  <c r="D36" i="12" s="1"/>
  <c r="H33" i="12"/>
  <c r="H42" i="12"/>
  <c r="E43" i="12" s="1"/>
  <c r="J44" i="12"/>
  <c r="F34" i="12"/>
  <c r="E34" i="12"/>
  <c r="J35" i="12"/>
  <c r="H35" i="12" l="1"/>
  <c r="Q163" i="2" s="1"/>
  <c r="I44" i="12"/>
  <c r="I35" i="12"/>
  <c r="H44" i="12"/>
  <c r="Q164" i="2" s="1"/>
  <c r="O163" i="2"/>
  <c r="P163" i="2" s="1"/>
  <c r="O164" i="2"/>
  <c r="P164" i="2" s="1"/>
  <c r="O162" i="2"/>
  <c r="P162" i="2" s="1"/>
  <c r="O160" i="2" l="1"/>
  <c r="O161" i="2"/>
  <c r="P161" i="2" s="1"/>
  <c r="O159" i="2"/>
  <c r="P159" i="2" s="1"/>
  <c r="O54" i="7"/>
  <c r="M54" i="7"/>
  <c r="I54" i="7"/>
  <c r="N54" i="7" s="1"/>
  <c r="H54" i="7"/>
  <c r="O41" i="7"/>
  <c r="M41" i="7"/>
  <c r="I41" i="7"/>
  <c r="N41" i="7" s="1"/>
  <c r="H41" i="7"/>
  <c r="M121" i="2"/>
  <c r="P121" i="2" s="1"/>
  <c r="P9" i="2"/>
  <c r="Q156" i="2"/>
  <c r="R156" i="2"/>
  <c r="R154" i="2"/>
  <c r="R152" i="2"/>
  <c r="R150" i="2"/>
  <c r="R148" i="2"/>
  <c r="R146" i="2"/>
  <c r="R144" i="2"/>
  <c r="R142" i="2"/>
  <c r="R141" i="2"/>
  <c r="R140" i="2"/>
  <c r="R139" i="2"/>
  <c r="R137" i="2"/>
  <c r="R135" i="2"/>
  <c r="R132" i="2"/>
  <c r="R131" i="2"/>
  <c r="R40" i="2"/>
  <c r="R36" i="2"/>
  <c r="R17" i="2"/>
  <c r="R9" i="2"/>
  <c r="Q154" i="2"/>
  <c r="Q152" i="2"/>
  <c r="Q150" i="2"/>
  <c r="Q148" i="2"/>
  <c r="Q146" i="2"/>
  <c r="Q144" i="2"/>
  <c r="Q142" i="2"/>
  <c r="Q141" i="2"/>
  <c r="Q140" i="2"/>
  <c r="Q139" i="2"/>
  <c r="Q137" i="2"/>
  <c r="Q135" i="2"/>
  <c r="Q132" i="2"/>
  <c r="Q131" i="2"/>
  <c r="Q40" i="2"/>
  <c r="Q36" i="2"/>
  <c r="Q17" i="2"/>
  <c r="Q9" i="2"/>
  <c r="O144" i="10"/>
  <c r="O143" i="10"/>
  <c r="O141" i="10"/>
  <c r="O140" i="10"/>
  <c r="I13" i="22" s="1"/>
  <c r="W15" i="22" s="1"/>
  <c r="O139" i="10"/>
  <c r="I12" i="22" s="1"/>
  <c r="O138" i="10"/>
  <c r="O137" i="10"/>
  <c r="I10" i="22" s="1"/>
  <c r="O135" i="10"/>
  <c r="I55" i="22" s="1"/>
  <c r="O134" i="10"/>
  <c r="I54" i="22" s="1"/>
  <c r="O133" i="10"/>
  <c r="I53" i="22" s="1"/>
  <c r="O132" i="10"/>
  <c r="I52" i="22" s="1"/>
  <c r="O131" i="10"/>
  <c r="I51" i="22" s="1"/>
  <c r="O130" i="10"/>
  <c r="I50" i="22" s="1"/>
  <c r="O129" i="10"/>
  <c r="I49" i="22" s="1"/>
  <c r="O128" i="10"/>
  <c r="I48" i="22" s="1"/>
  <c r="O127" i="10"/>
  <c r="I47" i="22" s="1"/>
  <c r="O126" i="10"/>
  <c r="I46" i="22" s="1"/>
  <c r="O123" i="10"/>
  <c r="O122" i="10"/>
  <c r="O121" i="10"/>
  <c r="O120" i="10"/>
  <c r="O119" i="10"/>
  <c r="O118" i="10"/>
  <c r="O117" i="10"/>
  <c r="O116" i="10"/>
  <c r="O115" i="10"/>
  <c r="O114" i="10"/>
  <c r="O113" i="10"/>
  <c r="O111" i="10"/>
  <c r="O110" i="10"/>
  <c r="O109" i="10"/>
  <c r="O108" i="10"/>
  <c r="O107" i="10"/>
  <c r="O106" i="10"/>
  <c r="O105" i="10"/>
  <c r="O103" i="10"/>
  <c r="O102" i="10"/>
  <c r="O100" i="10"/>
  <c r="O99" i="10"/>
  <c r="O98" i="10"/>
  <c r="O97" i="10"/>
  <c r="O96" i="10"/>
  <c r="O95" i="10"/>
  <c r="O94" i="10"/>
  <c r="O93" i="10"/>
  <c r="O92" i="10"/>
  <c r="O91" i="10"/>
  <c r="O90" i="10"/>
  <c r="O88" i="10"/>
  <c r="O87" i="10"/>
  <c r="O86" i="10"/>
  <c r="O85" i="10"/>
  <c r="O84" i="10"/>
  <c r="O83" i="10"/>
  <c r="O82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M144" i="10"/>
  <c r="M143" i="10"/>
  <c r="M141" i="10"/>
  <c r="M140" i="10"/>
  <c r="G13" i="22" s="1"/>
  <c r="U15" i="22" s="1"/>
  <c r="M139" i="10"/>
  <c r="G12" i="22" s="1"/>
  <c r="M138" i="10"/>
  <c r="M137" i="10"/>
  <c r="G10" i="22" s="1"/>
  <c r="M135" i="10"/>
  <c r="G55" i="22" s="1"/>
  <c r="M134" i="10"/>
  <c r="G54" i="22" s="1"/>
  <c r="M133" i="10"/>
  <c r="G53" i="22" s="1"/>
  <c r="M132" i="10"/>
  <c r="G52" i="22" s="1"/>
  <c r="M131" i="10"/>
  <c r="G51" i="22" s="1"/>
  <c r="M130" i="10"/>
  <c r="G50" i="22" s="1"/>
  <c r="M129" i="10"/>
  <c r="G49" i="22" s="1"/>
  <c r="M128" i="10"/>
  <c r="G48" i="22" s="1"/>
  <c r="M127" i="10"/>
  <c r="G47" i="22" s="1"/>
  <c r="M126" i="10"/>
  <c r="G46" i="22" s="1"/>
  <c r="M123" i="10"/>
  <c r="M122" i="10"/>
  <c r="M121" i="10"/>
  <c r="M120" i="10"/>
  <c r="M119" i="10"/>
  <c r="M118" i="10"/>
  <c r="M117" i="10"/>
  <c r="M116" i="10"/>
  <c r="M115" i="10"/>
  <c r="M114" i="10"/>
  <c r="M113" i="10"/>
  <c r="M111" i="10"/>
  <c r="M110" i="10"/>
  <c r="M109" i="10"/>
  <c r="M108" i="10"/>
  <c r="M107" i="10"/>
  <c r="M106" i="10"/>
  <c r="M105" i="10"/>
  <c r="M103" i="10"/>
  <c r="M102" i="10"/>
  <c r="M100" i="10"/>
  <c r="M99" i="10"/>
  <c r="M98" i="10"/>
  <c r="M97" i="10"/>
  <c r="M96" i="10"/>
  <c r="M95" i="10"/>
  <c r="M94" i="10"/>
  <c r="M93" i="10"/>
  <c r="M92" i="10"/>
  <c r="M91" i="10"/>
  <c r="M90" i="10"/>
  <c r="M88" i="10"/>
  <c r="M87" i="10"/>
  <c r="M86" i="10"/>
  <c r="M85" i="10"/>
  <c r="M84" i="10"/>
  <c r="M83" i="10"/>
  <c r="M82" i="10"/>
  <c r="M81" i="10"/>
  <c r="M80" i="10"/>
  <c r="M79" i="10"/>
  <c r="M78" i="10"/>
  <c r="M77" i="10"/>
  <c r="M76" i="10"/>
  <c r="M75" i="10"/>
  <c r="M74" i="10"/>
  <c r="M73" i="10"/>
  <c r="M72" i="10"/>
  <c r="M71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M28" i="10"/>
  <c r="M27" i="10"/>
  <c r="M26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10" i="10"/>
  <c r="I144" i="10"/>
  <c r="N144" i="10" s="1"/>
  <c r="H144" i="10"/>
  <c r="I143" i="10"/>
  <c r="N143" i="10" s="1"/>
  <c r="H143" i="10"/>
  <c r="I141" i="10"/>
  <c r="N141" i="10" s="1"/>
  <c r="H141" i="10"/>
  <c r="I140" i="10"/>
  <c r="N140" i="10" s="1"/>
  <c r="H13" i="22" s="1"/>
  <c r="V15" i="22" s="1"/>
  <c r="H140" i="10"/>
  <c r="I139" i="10"/>
  <c r="N139" i="10" s="1"/>
  <c r="H12" i="22" s="1"/>
  <c r="H139" i="10"/>
  <c r="I138" i="10"/>
  <c r="N138" i="10" s="1"/>
  <c r="H138" i="10"/>
  <c r="I137" i="10"/>
  <c r="N137" i="10" s="1"/>
  <c r="H10" i="22" s="1"/>
  <c r="H137" i="10"/>
  <c r="I135" i="10"/>
  <c r="N135" i="10" s="1"/>
  <c r="H55" i="22" s="1"/>
  <c r="H135" i="10"/>
  <c r="I134" i="10"/>
  <c r="N134" i="10" s="1"/>
  <c r="H54" i="22" s="1"/>
  <c r="H134" i="10"/>
  <c r="I133" i="10"/>
  <c r="N133" i="10" s="1"/>
  <c r="H53" i="22" s="1"/>
  <c r="H133" i="10"/>
  <c r="I132" i="10"/>
  <c r="N132" i="10" s="1"/>
  <c r="H52" i="22" s="1"/>
  <c r="H132" i="10"/>
  <c r="I131" i="10"/>
  <c r="N131" i="10" s="1"/>
  <c r="H51" i="22" s="1"/>
  <c r="H131" i="10"/>
  <c r="I130" i="10"/>
  <c r="N130" i="10" s="1"/>
  <c r="H50" i="22" s="1"/>
  <c r="H130" i="10"/>
  <c r="I129" i="10"/>
  <c r="N129" i="10" s="1"/>
  <c r="H49" i="22" s="1"/>
  <c r="H129" i="10"/>
  <c r="I128" i="10"/>
  <c r="N128" i="10" s="1"/>
  <c r="H48" i="22" s="1"/>
  <c r="H128" i="10"/>
  <c r="I127" i="10"/>
  <c r="N127" i="10" s="1"/>
  <c r="H127" i="10"/>
  <c r="I126" i="10"/>
  <c r="N126" i="10" s="1"/>
  <c r="H46" i="22" s="1"/>
  <c r="H126" i="10"/>
  <c r="I123" i="10"/>
  <c r="N123" i="10" s="1"/>
  <c r="H123" i="10"/>
  <c r="I122" i="10"/>
  <c r="N122" i="10" s="1"/>
  <c r="H122" i="10"/>
  <c r="I121" i="10"/>
  <c r="N121" i="10" s="1"/>
  <c r="H121" i="10"/>
  <c r="I120" i="10"/>
  <c r="N120" i="10" s="1"/>
  <c r="H120" i="10"/>
  <c r="I119" i="10"/>
  <c r="N119" i="10" s="1"/>
  <c r="H119" i="10"/>
  <c r="I118" i="10"/>
  <c r="N118" i="10" s="1"/>
  <c r="H118" i="10"/>
  <c r="I117" i="10"/>
  <c r="N117" i="10" s="1"/>
  <c r="H117" i="10"/>
  <c r="I116" i="10"/>
  <c r="N116" i="10" s="1"/>
  <c r="H116" i="10"/>
  <c r="I115" i="10"/>
  <c r="N115" i="10" s="1"/>
  <c r="H115" i="10"/>
  <c r="I114" i="10"/>
  <c r="N114" i="10" s="1"/>
  <c r="H114" i="10"/>
  <c r="I113" i="10"/>
  <c r="N113" i="10" s="1"/>
  <c r="H113" i="10"/>
  <c r="I111" i="10"/>
  <c r="N111" i="10" s="1"/>
  <c r="H111" i="10"/>
  <c r="I110" i="10"/>
  <c r="N110" i="10" s="1"/>
  <c r="H110" i="10"/>
  <c r="I109" i="10"/>
  <c r="N109" i="10" s="1"/>
  <c r="H109" i="10"/>
  <c r="I108" i="10"/>
  <c r="N108" i="10" s="1"/>
  <c r="H108" i="10"/>
  <c r="I107" i="10"/>
  <c r="N107" i="10" s="1"/>
  <c r="H107" i="10"/>
  <c r="I106" i="10"/>
  <c r="N106" i="10" s="1"/>
  <c r="H106" i="10"/>
  <c r="I105" i="10"/>
  <c r="N105" i="10" s="1"/>
  <c r="H105" i="10"/>
  <c r="I103" i="10"/>
  <c r="N103" i="10" s="1"/>
  <c r="H103" i="10"/>
  <c r="I102" i="10"/>
  <c r="N102" i="10" s="1"/>
  <c r="H102" i="10"/>
  <c r="I100" i="10"/>
  <c r="N100" i="10" s="1"/>
  <c r="H100" i="10"/>
  <c r="I99" i="10"/>
  <c r="N99" i="10" s="1"/>
  <c r="H99" i="10"/>
  <c r="I98" i="10"/>
  <c r="N98" i="10" s="1"/>
  <c r="H98" i="10"/>
  <c r="I97" i="10"/>
  <c r="N97" i="10" s="1"/>
  <c r="H97" i="10"/>
  <c r="I96" i="10"/>
  <c r="N96" i="10" s="1"/>
  <c r="H96" i="10"/>
  <c r="I95" i="10"/>
  <c r="N95" i="10" s="1"/>
  <c r="H95" i="10"/>
  <c r="I94" i="10"/>
  <c r="N94" i="10" s="1"/>
  <c r="H94" i="10"/>
  <c r="I93" i="10"/>
  <c r="N93" i="10" s="1"/>
  <c r="H93" i="10"/>
  <c r="I92" i="10"/>
  <c r="N92" i="10" s="1"/>
  <c r="H92" i="10"/>
  <c r="I91" i="10"/>
  <c r="N91" i="10" s="1"/>
  <c r="H91" i="10"/>
  <c r="I90" i="10"/>
  <c r="N90" i="10" s="1"/>
  <c r="H90" i="10"/>
  <c r="I88" i="10"/>
  <c r="N88" i="10" s="1"/>
  <c r="H88" i="10"/>
  <c r="I87" i="10"/>
  <c r="N87" i="10" s="1"/>
  <c r="H87" i="10"/>
  <c r="I86" i="10"/>
  <c r="N86" i="10" s="1"/>
  <c r="H86" i="10"/>
  <c r="I85" i="10"/>
  <c r="N85" i="10" s="1"/>
  <c r="H85" i="10"/>
  <c r="I84" i="10"/>
  <c r="N84" i="10" s="1"/>
  <c r="H84" i="10"/>
  <c r="I83" i="10"/>
  <c r="N83" i="10" s="1"/>
  <c r="H83" i="10"/>
  <c r="I82" i="10"/>
  <c r="N82" i="10" s="1"/>
  <c r="H82" i="10"/>
  <c r="I81" i="10"/>
  <c r="N81" i="10" s="1"/>
  <c r="H81" i="10"/>
  <c r="I80" i="10"/>
  <c r="N80" i="10" s="1"/>
  <c r="H80" i="10"/>
  <c r="I79" i="10"/>
  <c r="N79" i="10" s="1"/>
  <c r="H79" i="10"/>
  <c r="I78" i="10"/>
  <c r="N78" i="10" s="1"/>
  <c r="H78" i="10"/>
  <c r="I77" i="10"/>
  <c r="N77" i="10" s="1"/>
  <c r="H77" i="10"/>
  <c r="I76" i="10"/>
  <c r="N76" i="10" s="1"/>
  <c r="H76" i="10"/>
  <c r="I75" i="10"/>
  <c r="N75" i="10" s="1"/>
  <c r="H75" i="10"/>
  <c r="I74" i="10"/>
  <c r="N74" i="10" s="1"/>
  <c r="H74" i="10"/>
  <c r="I73" i="10"/>
  <c r="N73" i="10" s="1"/>
  <c r="H73" i="10"/>
  <c r="I72" i="10"/>
  <c r="N72" i="10" s="1"/>
  <c r="H72" i="10"/>
  <c r="I71" i="10"/>
  <c r="N71" i="10" s="1"/>
  <c r="H71" i="10"/>
  <c r="I70" i="10"/>
  <c r="N70" i="10" s="1"/>
  <c r="H70" i="10"/>
  <c r="I69" i="10"/>
  <c r="N69" i="10" s="1"/>
  <c r="H69" i="10"/>
  <c r="I68" i="10"/>
  <c r="N68" i="10" s="1"/>
  <c r="H68" i="10"/>
  <c r="I67" i="10"/>
  <c r="N67" i="10" s="1"/>
  <c r="H67" i="10"/>
  <c r="I66" i="10"/>
  <c r="N66" i="10" s="1"/>
  <c r="H66" i="10"/>
  <c r="I65" i="10"/>
  <c r="N65" i="10" s="1"/>
  <c r="H65" i="10"/>
  <c r="I64" i="10"/>
  <c r="N64" i="10" s="1"/>
  <c r="H64" i="10"/>
  <c r="I63" i="10"/>
  <c r="N63" i="10" s="1"/>
  <c r="H63" i="10"/>
  <c r="I62" i="10"/>
  <c r="N62" i="10" s="1"/>
  <c r="H62" i="10"/>
  <c r="I61" i="10"/>
  <c r="N61" i="10" s="1"/>
  <c r="H61" i="10"/>
  <c r="I60" i="10"/>
  <c r="N60" i="10" s="1"/>
  <c r="H60" i="10"/>
  <c r="I59" i="10"/>
  <c r="N59" i="10" s="1"/>
  <c r="H59" i="10"/>
  <c r="I57" i="10"/>
  <c r="N57" i="10" s="1"/>
  <c r="H57" i="10"/>
  <c r="I56" i="10"/>
  <c r="N56" i="10" s="1"/>
  <c r="H56" i="10"/>
  <c r="I55" i="10"/>
  <c r="N55" i="10" s="1"/>
  <c r="H55" i="10"/>
  <c r="I54" i="10"/>
  <c r="N54" i="10" s="1"/>
  <c r="H54" i="10"/>
  <c r="I53" i="10"/>
  <c r="N53" i="10" s="1"/>
  <c r="H53" i="10"/>
  <c r="I52" i="10"/>
  <c r="N52" i="10" s="1"/>
  <c r="H52" i="10"/>
  <c r="I51" i="10"/>
  <c r="N51" i="10" s="1"/>
  <c r="H51" i="10"/>
  <c r="I50" i="10"/>
  <c r="N50" i="10" s="1"/>
  <c r="H50" i="10"/>
  <c r="I49" i="10"/>
  <c r="N49" i="10" s="1"/>
  <c r="H49" i="10"/>
  <c r="I48" i="10"/>
  <c r="N48" i="10" s="1"/>
  <c r="H48" i="10"/>
  <c r="I47" i="10"/>
  <c r="N47" i="10" s="1"/>
  <c r="H47" i="10"/>
  <c r="I46" i="10"/>
  <c r="N46" i="10" s="1"/>
  <c r="H46" i="10"/>
  <c r="I45" i="10"/>
  <c r="N45" i="10" s="1"/>
  <c r="H45" i="10"/>
  <c r="I44" i="10"/>
  <c r="N44" i="10" s="1"/>
  <c r="H44" i="10"/>
  <c r="I43" i="10"/>
  <c r="N43" i="10" s="1"/>
  <c r="H43" i="10"/>
  <c r="I41" i="10"/>
  <c r="N41" i="10" s="1"/>
  <c r="H41" i="10"/>
  <c r="I40" i="10"/>
  <c r="N40" i="10" s="1"/>
  <c r="H40" i="10"/>
  <c r="I39" i="10"/>
  <c r="N39" i="10" s="1"/>
  <c r="H39" i="10"/>
  <c r="I38" i="10"/>
  <c r="N38" i="10" s="1"/>
  <c r="H38" i="10"/>
  <c r="I37" i="10"/>
  <c r="N37" i="10" s="1"/>
  <c r="H37" i="10"/>
  <c r="I36" i="10"/>
  <c r="N36" i="10" s="1"/>
  <c r="H36" i="10"/>
  <c r="I35" i="10"/>
  <c r="N35" i="10" s="1"/>
  <c r="H35" i="10"/>
  <c r="I34" i="10"/>
  <c r="N34" i="10" s="1"/>
  <c r="H34" i="10"/>
  <c r="I33" i="10"/>
  <c r="N33" i="10" s="1"/>
  <c r="H33" i="10"/>
  <c r="I32" i="10"/>
  <c r="N32" i="10" s="1"/>
  <c r="H32" i="10"/>
  <c r="I31" i="10"/>
  <c r="N31" i="10" s="1"/>
  <c r="H31" i="10"/>
  <c r="I30" i="10"/>
  <c r="N30" i="10" s="1"/>
  <c r="H30" i="10"/>
  <c r="I29" i="10"/>
  <c r="N29" i="10" s="1"/>
  <c r="H29" i="10"/>
  <c r="I28" i="10"/>
  <c r="N28" i="10" s="1"/>
  <c r="H28" i="10"/>
  <c r="I27" i="10"/>
  <c r="N27" i="10" s="1"/>
  <c r="H27" i="10"/>
  <c r="I26" i="10"/>
  <c r="N26" i="10" s="1"/>
  <c r="H26" i="10"/>
  <c r="I24" i="10"/>
  <c r="N24" i="10" s="1"/>
  <c r="H24" i="10"/>
  <c r="I23" i="10"/>
  <c r="N23" i="10" s="1"/>
  <c r="H23" i="10"/>
  <c r="I22" i="10"/>
  <c r="N22" i="10" s="1"/>
  <c r="H22" i="10"/>
  <c r="I21" i="10"/>
  <c r="N21" i="10" s="1"/>
  <c r="H21" i="10"/>
  <c r="I20" i="10"/>
  <c r="N20" i="10" s="1"/>
  <c r="H20" i="10"/>
  <c r="I19" i="10"/>
  <c r="N19" i="10" s="1"/>
  <c r="H19" i="10"/>
  <c r="I18" i="10"/>
  <c r="N18" i="10" s="1"/>
  <c r="H18" i="10"/>
  <c r="I17" i="10"/>
  <c r="N17" i="10" s="1"/>
  <c r="H17" i="10"/>
  <c r="I16" i="10"/>
  <c r="N16" i="10" s="1"/>
  <c r="H16" i="10"/>
  <c r="I15" i="10"/>
  <c r="N15" i="10" s="1"/>
  <c r="H15" i="10"/>
  <c r="I14" i="10"/>
  <c r="N14" i="10" s="1"/>
  <c r="H14" i="10"/>
  <c r="I13" i="10"/>
  <c r="N13" i="10" s="1"/>
  <c r="H13" i="10"/>
  <c r="I12" i="10"/>
  <c r="N12" i="10" s="1"/>
  <c r="H12" i="10"/>
  <c r="I11" i="10"/>
  <c r="N11" i="10" s="1"/>
  <c r="H11" i="10"/>
  <c r="I10" i="10"/>
  <c r="N10" i="10" s="1"/>
  <c r="H10" i="10"/>
  <c r="J3" i="10"/>
  <c r="J5" i="10" s="1"/>
  <c r="M122" i="2"/>
  <c r="P122" i="2" s="1"/>
  <c r="M123" i="2"/>
  <c r="P123" i="2" s="1"/>
  <c r="M124" i="2"/>
  <c r="P124" i="2" s="1"/>
  <c r="M125" i="2"/>
  <c r="P125" i="2" s="1"/>
  <c r="M126" i="2"/>
  <c r="P126" i="2" s="1"/>
  <c r="M127" i="2"/>
  <c r="P127" i="2" s="1"/>
  <c r="M128" i="2"/>
  <c r="P128" i="2" s="1"/>
  <c r="M118" i="2"/>
  <c r="M112" i="2"/>
  <c r="P112" i="2" s="1"/>
  <c r="M115" i="2"/>
  <c r="P115" i="2" s="1"/>
  <c r="M105" i="2"/>
  <c r="P105" i="2" s="1"/>
  <c r="M106" i="2"/>
  <c r="P106" i="2" s="1"/>
  <c r="M102" i="2"/>
  <c r="P102" i="2" s="1"/>
  <c r="M99" i="2"/>
  <c r="P99" i="2" s="1"/>
  <c r="M96" i="2"/>
  <c r="P96" i="2" s="1"/>
  <c r="M86" i="2"/>
  <c r="P86" i="2" s="1"/>
  <c r="M87" i="2"/>
  <c r="P87" i="2" s="1"/>
  <c r="M88" i="2"/>
  <c r="P88" i="2" s="1"/>
  <c r="M89" i="2"/>
  <c r="P89" i="2" s="1"/>
  <c r="M90" i="2"/>
  <c r="P90" i="2" s="1"/>
  <c r="M91" i="2"/>
  <c r="P91" i="2" s="1"/>
  <c r="M92" i="2"/>
  <c r="P92" i="2" s="1"/>
  <c r="M93" i="2"/>
  <c r="P93" i="2" s="1"/>
  <c r="M85" i="2"/>
  <c r="P85" i="2" s="1"/>
  <c r="M84" i="2"/>
  <c r="P84" i="2" s="1"/>
  <c r="M83" i="2"/>
  <c r="P83" i="2" s="1"/>
  <c r="M43" i="2"/>
  <c r="P43" i="2" s="1"/>
  <c r="M44" i="2"/>
  <c r="P44" i="2" s="1"/>
  <c r="M45" i="2"/>
  <c r="P45" i="2" s="1"/>
  <c r="M46" i="2"/>
  <c r="P46" i="2" s="1"/>
  <c r="M47" i="2"/>
  <c r="P47" i="2" s="1"/>
  <c r="M48" i="2"/>
  <c r="P48" i="2" s="1"/>
  <c r="M49" i="2"/>
  <c r="P49" i="2" s="1"/>
  <c r="M50" i="2"/>
  <c r="P50" i="2" s="1"/>
  <c r="M51" i="2"/>
  <c r="P51" i="2" s="1"/>
  <c r="M52" i="2"/>
  <c r="P52" i="2" s="1"/>
  <c r="M53" i="2"/>
  <c r="P53" i="2" s="1"/>
  <c r="M54" i="2"/>
  <c r="P54" i="2" s="1"/>
  <c r="M55" i="2"/>
  <c r="P55" i="2" s="1"/>
  <c r="M56" i="2"/>
  <c r="P56" i="2" s="1"/>
  <c r="M57" i="2"/>
  <c r="P57" i="2" s="1"/>
  <c r="M42" i="2"/>
  <c r="P42" i="2" s="1"/>
  <c r="M20" i="2"/>
  <c r="M21" i="2"/>
  <c r="P21" i="2" s="1"/>
  <c r="M22" i="2"/>
  <c r="M23" i="2"/>
  <c r="P23" i="2" s="1"/>
  <c r="M24" i="2"/>
  <c r="M25" i="2"/>
  <c r="P25" i="2" s="1"/>
  <c r="M26" i="2"/>
  <c r="M27" i="2"/>
  <c r="P27" i="2" s="1"/>
  <c r="M28" i="2"/>
  <c r="M29" i="2"/>
  <c r="M30" i="2"/>
  <c r="P30" i="2" s="1"/>
  <c r="M31" i="2"/>
  <c r="M32" i="2"/>
  <c r="P32" i="2" s="1"/>
  <c r="M33" i="2"/>
  <c r="M34" i="2"/>
  <c r="P34" i="2" s="1"/>
  <c r="M19" i="2"/>
  <c r="P19" i="2" s="1"/>
  <c r="G15" i="9"/>
  <c r="G14" i="9"/>
  <c r="H14" i="9" s="1"/>
  <c r="M14" i="2" s="1"/>
  <c r="G13" i="9"/>
  <c r="H13" i="9" s="1"/>
  <c r="M13" i="2" s="1"/>
  <c r="P13" i="2" s="1"/>
  <c r="G12" i="9"/>
  <c r="H12" i="9" s="1"/>
  <c r="M12" i="2" s="1"/>
  <c r="G11" i="9"/>
  <c r="H11" i="9" s="1"/>
  <c r="M11" i="2" s="1"/>
  <c r="G10" i="9"/>
  <c r="G9" i="9"/>
  <c r="H3" i="10" l="1"/>
  <c r="H5" i="10" s="1"/>
  <c r="N17" i="29"/>
  <c r="O17" i="29" s="1"/>
  <c r="N28" i="29"/>
  <c r="M38" i="2"/>
  <c r="P38" i="2" s="1"/>
  <c r="H10" i="9"/>
  <c r="M37" i="2" s="1"/>
  <c r="P37" i="2" s="1"/>
  <c r="N6" i="29"/>
  <c r="P28" i="29"/>
  <c r="O28" i="29"/>
  <c r="M15" i="2"/>
  <c r="Q15" i="2" s="1"/>
  <c r="H15" i="9"/>
  <c r="P160" i="2"/>
  <c r="P3" i="2" s="1"/>
  <c r="P4" i="2" s="1"/>
  <c r="P5" i="2" s="1"/>
  <c r="D56" i="22"/>
  <c r="G57" i="22" s="1"/>
  <c r="M152" i="10" s="1"/>
  <c r="G33" i="22"/>
  <c r="D34" i="22" s="1"/>
  <c r="G35" i="22" s="1"/>
  <c r="M151" i="10" s="1"/>
  <c r="I33" i="22"/>
  <c r="F34" i="22" s="1"/>
  <c r="I35" i="22" s="1"/>
  <c r="O151" i="10" s="1"/>
  <c r="I3" i="10"/>
  <c r="I5" i="10" s="1"/>
  <c r="F56" i="22"/>
  <c r="I57" i="22" s="1"/>
  <c r="O152" i="10" s="1"/>
  <c r="H18" i="22"/>
  <c r="E19" i="22" s="1"/>
  <c r="H20" i="22" s="1"/>
  <c r="N149" i="10" s="1"/>
  <c r="V12" i="22"/>
  <c r="H33" i="22"/>
  <c r="E34" i="22" s="1"/>
  <c r="H35" i="22" s="1"/>
  <c r="N151" i="10" s="1"/>
  <c r="G18" i="22"/>
  <c r="D19" i="22" s="1"/>
  <c r="G20" i="22" s="1"/>
  <c r="M149" i="10" s="1"/>
  <c r="U12" i="22"/>
  <c r="I18" i="22"/>
  <c r="F19" i="22" s="1"/>
  <c r="I20" i="22" s="1"/>
  <c r="O149" i="10" s="1"/>
  <c r="W12" i="22"/>
  <c r="P118" i="2"/>
  <c r="M120" i="2"/>
  <c r="K89" i="7" s="1"/>
  <c r="Q121" i="2"/>
  <c r="R121" i="2"/>
  <c r="P11" i="2"/>
  <c r="N11" i="2"/>
  <c r="P12" i="2"/>
  <c r="N12" i="2"/>
  <c r="R28" i="2"/>
  <c r="P28" i="2"/>
  <c r="R26" i="2"/>
  <c r="P26" i="2"/>
  <c r="R24" i="2"/>
  <c r="P24" i="2"/>
  <c r="R22" i="2"/>
  <c r="P22" i="2"/>
  <c r="R20" i="2"/>
  <c r="P20" i="2"/>
  <c r="Q83" i="2"/>
  <c r="Q85" i="2"/>
  <c r="Q87" i="2"/>
  <c r="Q89" i="2"/>
  <c r="Q91" i="2"/>
  <c r="Q93" i="2"/>
  <c r="Q99" i="2"/>
  <c r="Q105" i="2"/>
  <c r="Q112" i="2"/>
  <c r="Q118" i="2"/>
  <c r="Q123" i="2"/>
  <c r="Q125" i="2"/>
  <c r="Q127" i="2"/>
  <c r="R83" i="2"/>
  <c r="R85" i="2"/>
  <c r="R87" i="2"/>
  <c r="R89" i="2"/>
  <c r="R91" i="2"/>
  <c r="R93" i="2"/>
  <c r="R99" i="2"/>
  <c r="R105" i="2"/>
  <c r="R112" i="2"/>
  <c r="R118" i="2"/>
  <c r="R123" i="2"/>
  <c r="R125" i="2"/>
  <c r="R127" i="2"/>
  <c r="K92" i="7"/>
  <c r="Q14" i="2"/>
  <c r="P14" i="2"/>
  <c r="Q33" i="2"/>
  <c r="P33" i="2"/>
  <c r="Q31" i="2"/>
  <c r="P31" i="2"/>
  <c r="Q29" i="2"/>
  <c r="P29" i="2"/>
  <c r="Q84" i="2"/>
  <c r="Q86" i="2"/>
  <c r="Q88" i="2"/>
  <c r="Q90" i="2"/>
  <c r="Q92" i="2"/>
  <c r="Q96" i="2"/>
  <c r="Q102" i="2"/>
  <c r="Q106" i="2"/>
  <c r="Q115" i="2"/>
  <c r="Q122" i="2"/>
  <c r="Q124" i="2"/>
  <c r="Q126" i="2"/>
  <c r="Q128" i="2"/>
  <c r="R84" i="2"/>
  <c r="R86" i="2"/>
  <c r="R88" i="2"/>
  <c r="R90" i="2"/>
  <c r="R92" i="2"/>
  <c r="R96" i="2"/>
  <c r="R102" i="2"/>
  <c r="R106" i="2"/>
  <c r="R115" i="2"/>
  <c r="R122" i="2"/>
  <c r="R124" i="2"/>
  <c r="R126" i="2"/>
  <c r="R128" i="2"/>
  <c r="K88" i="7"/>
  <c r="K91" i="7"/>
  <c r="K93" i="7"/>
  <c r="H47" i="22"/>
  <c r="E56" i="22" s="1"/>
  <c r="H25" i="22"/>
  <c r="V14" i="22"/>
  <c r="I25" i="22"/>
  <c r="W14" i="22"/>
  <c r="I11" i="22"/>
  <c r="H11" i="22"/>
  <c r="G25" i="22"/>
  <c r="U14" i="22"/>
  <c r="G11" i="22"/>
  <c r="Q30" i="2"/>
  <c r="Q28" i="2"/>
  <c r="Q32" i="2"/>
  <c r="Q38" i="2"/>
  <c r="Q12" i="2"/>
  <c r="Q19" i="2"/>
  <c r="Q21" i="2"/>
  <c r="Q23" i="2"/>
  <c r="Q25" i="2"/>
  <c r="Q42" i="2"/>
  <c r="Q44" i="2"/>
  <c r="Q46" i="2"/>
  <c r="Q48" i="2"/>
  <c r="Q50" i="2"/>
  <c r="Q52" i="2"/>
  <c r="Q54" i="2"/>
  <c r="Q56" i="2"/>
  <c r="Q26" i="2"/>
  <c r="R12" i="2"/>
  <c r="R14" i="2"/>
  <c r="R19" i="2"/>
  <c r="R21" i="2"/>
  <c r="R23" i="2"/>
  <c r="R25" i="2"/>
  <c r="R27" i="2"/>
  <c r="R29" i="2"/>
  <c r="R31" i="2"/>
  <c r="R33" i="2"/>
  <c r="R42" i="2"/>
  <c r="R44" i="2"/>
  <c r="R46" i="2"/>
  <c r="R48" i="2"/>
  <c r="R50" i="2"/>
  <c r="R52" i="2"/>
  <c r="R54" i="2"/>
  <c r="R56" i="2"/>
  <c r="Q13" i="2"/>
  <c r="Q11" i="2"/>
  <c r="Q20" i="2"/>
  <c r="Q22" i="2"/>
  <c r="Q24" i="2"/>
  <c r="Q27" i="2"/>
  <c r="Q34" i="2"/>
  <c r="Q43" i="2"/>
  <c r="Q45" i="2"/>
  <c r="Q47" i="2"/>
  <c r="Q49" i="2"/>
  <c r="Q51" i="2"/>
  <c r="Q53" i="2"/>
  <c r="Q55" i="2"/>
  <c r="Q57" i="2"/>
  <c r="R11" i="2"/>
  <c r="R13" i="2"/>
  <c r="R30" i="2"/>
  <c r="R32" i="2"/>
  <c r="R34" i="2"/>
  <c r="R43" i="2"/>
  <c r="R45" i="2"/>
  <c r="R47" i="2"/>
  <c r="R49" i="2"/>
  <c r="R51" i="2"/>
  <c r="R53" i="2"/>
  <c r="R55" i="2"/>
  <c r="R57" i="2"/>
  <c r="P17" i="29" l="1"/>
  <c r="R37" i="2"/>
  <c r="Q37" i="2"/>
  <c r="R38" i="2"/>
  <c r="P15" i="2"/>
  <c r="R15" i="2"/>
  <c r="M10" i="2"/>
  <c r="N6" i="34"/>
  <c r="P6" i="29"/>
  <c r="P6" i="34" s="1"/>
  <c r="O6" i="29"/>
  <c r="O6" i="34" s="1"/>
  <c r="Q120" i="2"/>
  <c r="P120" i="2"/>
  <c r="R120" i="2"/>
  <c r="F58" i="22"/>
  <c r="O153" i="10" s="1"/>
  <c r="D58" i="22"/>
  <c r="G60" i="22" s="1"/>
  <c r="M153" i="10" s="1"/>
  <c r="D6" i="13"/>
  <c r="F6" i="13" s="1"/>
  <c r="H57" i="22"/>
  <c r="N152" i="10" s="1"/>
  <c r="H24" i="22"/>
  <c r="E26" i="22" s="1"/>
  <c r="H27" i="22" s="1"/>
  <c r="N150" i="10" s="1"/>
  <c r="V13" i="22"/>
  <c r="I24" i="22"/>
  <c r="F26" i="22" s="1"/>
  <c r="I27" i="22" s="1"/>
  <c r="O150" i="10" s="1"/>
  <c r="O3" i="10" s="1"/>
  <c r="W13" i="22"/>
  <c r="U13" i="22"/>
  <c r="G24" i="22"/>
  <c r="D26" i="22" s="1"/>
  <c r="G27" i="22" s="1"/>
  <c r="M150" i="10" s="1"/>
  <c r="M3" i="10" s="1"/>
  <c r="H10" i="7"/>
  <c r="I10" i="7"/>
  <c r="K10" i="7"/>
  <c r="M10" i="7" s="1"/>
  <c r="H11" i="7"/>
  <c r="I11" i="7"/>
  <c r="K11" i="7"/>
  <c r="M11" i="7" s="1"/>
  <c r="H12" i="7"/>
  <c r="I12" i="7"/>
  <c r="K12" i="7"/>
  <c r="M12" i="7" s="1"/>
  <c r="I13" i="7"/>
  <c r="K13" i="7"/>
  <c r="M13" i="7" s="1"/>
  <c r="H14" i="7"/>
  <c r="I14" i="7"/>
  <c r="K14" i="7"/>
  <c r="M14" i="7" s="1"/>
  <c r="H15" i="7"/>
  <c r="I15" i="7"/>
  <c r="N15" i="7" s="1"/>
  <c r="M15" i="7"/>
  <c r="O15" i="7"/>
  <c r="H16" i="7"/>
  <c r="I16" i="7"/>
  <c r="N16" i="7" s="1"/>
  <c r="M16" i="7"/>
  <c r="O16" i="7"/>
  <c r="H17" i="7"/>
  <c r="I17" i="7"/>
  <c r="N17" i="7" s="1"/>
  <c r="M17" i="7"/>
  <c r="O17" i="7"/>
  <c r="H18" i="7"/>
  <c r="I18" i="7"/>
  <c r="N18" i="7" s="1"/>
  <c r="M18" i="7"/>
  <c r="O18" i="7"/>
  <c r="H19" i="7"/>
  <c r="I19" i="7"/>
  <c r="K19" i="7"/>
  <c r="M19" i="7" s="1"/>
  <c r="H20" i="7"/>
  <c r="I20" i="7"/>
  <c r="K20" i="7"/>
  <c r="M20" i="7" s="1"/>
  <c r="H21" i="7"/>
  <c r="I21" i="7"/>
  <c r="N21" i="7" s="1"/>
  <c r="G62" i="13" s="1"/>
  <c r="M21" i="7"/>
  <c r="F62" i="13" s="1"/>
  <c r="O21" i="7"/>
  <c r="H62" i="13" s="1"/>
  <c r="H22" i="7"/>
  <c r="I22" i="7"/>
  <c r="N22" i="7" s="1"/>
  <c r="G63" i="13" s="1"/>
  <c r="M22" i="7"/>
  <c r="F63" i="13" s="1"/>
  <c r="O22" i="7"/>
  <c r="H63" i="13" s="1"/>
  <c r="H23" i="7"/>
  <c r="I23" i="7"/>
  <c r="N23" i="7" s="1"/>
  <c r="M23" i="7"/>
  <c r="O23" i="7"/>
  <c r="H24" i="7"/>
  <c r="I24" i="7"/>
  <c r="N24" i="7" s="1"/>
  <c r="M24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62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H175" i="13" s="1"/>
  <c r="J122" i="7" s="1"/>
  <c r="O122" i="7" s="1"/>
  <c r="O79" i="7"/>
  <c r="O80" i="7"/>
  <c r="O81" i="7"/>
  <c r="O82" i="7"/>
  <c r="O83" i="7"/>
  <c r="O84" i="7"/>
  <c r="O85" i="7"/>
  <c r="O86" i="7"/>
  <c r="O87" i="7"/>
  <c r="O94" i="7"/>
  <c r="O95" i="7"/>
  <c r="I28" i="13" s="1"/>
  <c r="O96" i="7"/>
  <c r="O97" i="7"/>
  <c r="O98" i="7"/>
  <c r="O99" i="7"/>
  <c r="O100" i="7"/>
  <c r="O101" i="7"/>
  <c r="O102" i="7"/>
  <c r="O103" i="7"/>
  <c r="O104" i="7"/>
  <c r="O105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62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F175" i="13" s="1"/>
  <c r="H122" i="7" s="1"/>
  <c r="L122" i="7" s="1"/>
  <c r="M122" i="7" s="1"/>
  <c r="M79" i="7"/>
  <c r="M80" i="7"/>
  <c r="M81" i="7"/>
  <c r="M82" i="7"/>
  <c r="M83" i="7"/>
  <c r="M84" i="7"/>
  <c r="M85" i="7"/>
  <c r="M86" i="7"/>
  <c r="M87" i="7"/>
  <c r="M94" i="7"/>
  <c r="M95" i="7"/>
  <c r="G28" i="13" s="1"/>
  <c r="D27" i="13" s="1"/>
  <c r="M96" i="7"/>
  <c r="M97" i="7"/>
  <c r="M98" i="7"/>
  <c r="M99" i="7"/>
  <c r="M100" i="7"/>
  <c r="M101" i="7"/>
  <c r="M102" i="7"/>
  <c r="M105" i="7"/>
  <c r="H87" i="7"/>
  <c r="I87" i="7"/>
  <c r="N87" i="7" s="1"/>
  <c r="H88" i="7"/>
  <c r="I88" i="7"/>
  <c r="N88" i="7" s="1"/>
  <c r="O88" i="7"/>
  <c r="H89" i="7"/>
  <c r="I89" i="7"/>
  <c r="O89" i="7"/>
  <c r="I8" i="13" s="1"/>
  <c r="H90" i="7"/>
  <c r="I90" i="7"/>
  <c r="O90" i="7"/>
  <c r="I9" i="13" s="1"/>
  <c r="H91" i="7"/>
  <c r="I91" i="7"/>
  <c r="N91" i="7" s="1"/>
  <c r="H10" i="13" s="1"/>
  <c r="O91" i="7"/>
  <c r="I10" i="13" s="1"/>
  <c r="H92" i="7"/>
  <c r="I92" i="7"/>
  <c r="O92" i="7"/>
  <c r="I11" i="13" s="1"/>
  <c r="H93" i="7"/>
  <c r="I93" i="7"/>
  <c r="O93" i="7"/>
  <c r="I12" i="13" s="1"/>
  <c r="I105" i="7"/>
  <c r="N105" i="7" s="1"/>
  <c r="H105" i="7"/>
  <c r="N103" i="7"/>
  <c r="I102" i="7"/>
  <c r="N102" i="7" s="1"/>
  <c r="H102" i="7"/>
  <c r="I101" i="7"/>
  <c r="N101" i="7" s="1"/>
  <c r="H101" i="7"/>
  <c r="I100" i="7"/>
  <c r="N100" i="7" s="1"/>
  <c r="H100" i="7"/>
  <c r="I99" i="7"/>
  <c r="N99" i="7" s="1"/>
  <c r="H99" i="7"/>
  <c r="I98" i="7"/>
  <c r="N98" i="7" s="1"/>
  <c r="H98" i="7"/>
  <c r="I97" i="7"/>
  <c r="N97" i="7" s="1"/>
  <c r="H97" i="7"/>
  <c r="I96" i="7"/>
  <c r="N96" i="7" s="1"/>
  <c r="H96" i="7"/>
  <c r="I95" i="7"/>
  <c r="N95" i="7" s="1"/>
  <c r="H28" i="13" s="1"/>
  <c r="H95" i="7"/>
  <c r="I94" i="7"/>
  <c r="N94" i="7" s="1"/>
  <c r="H94" i="7"/>
  <c r="I86" i="7"/>
  <c r="N86" i="7" s="1"/>
  <c r="H86" i="7"/>
  <c r="I85" i="7"/>
  <c r="N85" i="7" s="1"/>
  <c r="H85" i="7"/>
  <c r="I84" i="7"/>
  <c r="N84" i="7" s="1"/>
  <c r="H84" i="7"/>
  <c r="I83" i="7"/>
  <c r="N83" i="7" s="1"/>
  <c r="H83" i="7"/>
  <c r="I82" i="7"/>
  <c r="N82" i="7" s="1"/>
  <c r="H82" i="7"/>
  <c r="I81" i="7"/>
  <c r="N81" i="7" s="1"/>
  <c r="H81" i="7"/>
  <c r="I80" i="7"/>
  <c r="N80" i="7" s="1"/>
  <c r="H80" i="7"/>
  <c r="I79" i="7"/>
  <c r="N79" i="7" s="1"/>
  <c r="H79" i="7"/>
  <c r="I78" i="7"/>
  <c r="N78" i="7" s="1"/>
  <c r="G175" i="13" s="1"/>
  <c r="I122" i="7" s="1"/>
  <c r="N122" i="7" s="1"/>
  <c r="H78" i="7"/>
  <c r="I77" i="7"/>
  <c r="N77" i="7" s="1"/>
  <c r="H77" i="7"/>
  <c r="I76" i="7"/>
  <c r="N76" i="7" s="1"/>
  <c r="H76" i="7"/>
  <c r="I75" i="7"/>
  <c r="N75" i="7" s="1"/>
  <c r="H75" i="7"/>
  <c r="I74" i="7"/>
  <c r="N74" i="7" s="1"/>
  <c r="H74" i="7"/>
  <c r="I73" i="7"/>
  <c r="N73" i="7" s="1"/>
  <c r="H73" i="7"/>
  <c r="I72" i="7"/>
  <c r="N72" i="7" s="1"/>
  <c r="H72" i="7"/>
  <c r="I71" i="7"/>
  <c r="N71" i="7" s="1"/>
  <c r="H71" i="7"/>
  <c r="I70" i="7"/>
  <c r="N70" i="7" s="1"/>
  <c r="H70" i="7"/>
  <c r="I69" i="7"/>
  <c r="N69" i="7" s="1"/>
  <c r="H69" i="7"/>
  <c r="I68" i="7"/>
  <c r="N68" i="7" s="1"/>
  <c r="H68" i="7"/>
  <c r="I67" i="7"/>
  <c r="N67" i="7" s="1"/>
  <c r="H67" i="7"/>
  <c r="I66" i="7"/>
  <c r="N66" i="7" s="1"/>
  <c r="H66" i="7"/>
  <c r="I65" i="7"/>
  <c r="N65" i="7" s="1"/>
  <c r="H65" i="7"/>
  <c r="I64" i="7"/>
  <c r="N64" i="7" s="1"/>
  <c r="H64" i="7"/>
  <c r="I63" i="7"/>
  <c r="H63" i="7"/>
  <c r="I62" i="7"/>
  <c r="N62" i="7" s="1"/>
  <c r="H62" i="7"/>
  <c r="I61" i="7"/>
  <c r="H61" i="7"/>
  <c r="I60" i="7"/>
  <c r="H60" i="7"/>
  <c r="I59" i="7"/>
  <c r="H59" i="7"/>
  <c r="I58" i="7"/>
  <c r="H58" i="7"/>
  <c r="I57" i="7"/>
  <c r="H57" i="7"/>
  <c r="I56" i="7"/>
  <c r="H56" i="7"/>
  <c r="I55" i="7"/>
  <c r="H55" i="7"/>
  <c r="I53" i="7"/>
  <c r="H53" i="7"/>
  <c r="I52" i="7"/>
  <c r="H52" i="7"/>
  <c r="I51" i="7"/>
  <c r="H51" i="7"/>
  <c r="I50" i="7"/>
  <c r="H50" i="7"/>
  <c r="I49" i="7"/>
  <c r="H49" i="7"/>
  <c r="I48" i="7"/>
  <c r="H48" i="7"/>
  <c r="I47" i="7"/>
  <c r="H47" i="7"/>
  <c r="I46" i="7"/>
  <c r="H46" i="7"/>
  <c r="I45" i="7"/>
  <c r="H45" i="7"/>
  <c r="I44" i="7"/>
  <c r="H44" i="7"/>
  <c r="I43" i="7"/>
  <c r="H43" i="7"/>
  <c r="I42" i="7"/>
  <c r="H42" i="7"/>
  <c r="I40" i="7"/>
  <c r="H40" i="7"/>
  <c r="I39" i="7"/>
  <c r="N39" i="7" s="1"/>
  <c r="H39" i="7"/>
  <c r="I38" i="7"/>
  <c r="N38" i="7" s="1"/>
  <c r="H38" i="7"/>
  <c r="I37" i="7"/>
  <c r="N37" i="7" s="1"/>
  <c r="H37" i="7"/>
  <c r="I36" i="7"/>
  <c r="N36" i="7" s="1"/>
  <c r="H36" i="7"/>
  <c r="I35" i="7"/>
  <c r="N35" i="7" s="1"/>
  <c r="H35" i="7"/>
  <c r="I34" i="7"/>
  <c r="N34" i="7" s="1"/>
  <c r="H34" i="7"/>
  <c r="I33" i="7"/>
  <c r="N33" i="7" s="1"/>
  <c r="H33" i="7"/>
  <c r="I32" i="7"/>
  <c r="N32" i="7" s="1"/>
  <c r="H32" i="7"/>
  <c r="I31" i="7"/>
  <c r="N31" i="7" s="1"/>
  <c r="H31" i="7"/>
  <c r="I30" i="7"/>
  <c r="N30" i="7" s="1"/>
  <c r="H30" i="7"/>
  <c r="I29" i="7"/>
  <c r="N29" i="7" s="1"/>
  <c r="H29" i="7"/>
  <c r="I28" i="7"/>
  <c r="N28" i="7" s="1"/>
  <c r="H28" i="7"/>
  <c r="I27" i="7"/>
  <c r="N27" i="7" s="1"/>
  <c r="H27" i="7"/>
  <c r="I26" i="7"/>
  <c r="N26" i="7" s="1"/>
  <c r="H26" i="7"/>
  <c r="I25" i="7"/>
  <c r="N25" i="7" s="1"/>
  <c r="H25" i="7"/>
  <c r="J3" i="7"/>
  <c r="J5" i="7" s="1"/>
  <c r="N10" i="2" l="1"/>
  <c r="R10" i="2"/>
  <c r="Q10" i="2"/>
  <c r="P10" i="2"/>
  <c r="I7" i="13"/>
  <c r="F16" i="13" s="1"/>
  <c r="I17" i="13" s="1"/>
  <c r="J108" i="7" s="1"/>
  <c r="H7" i="13"/>
  <c r="N29" i="29"/>
  <c r="E58" i="22"/>
  <c r="H60" i="22" s="1"/>
  <c r="N153" i="10" s="1"/>
  <c r="N3" i="10" s="1"/>
  <c r="D64" i="13"/>
  <c r="E64" i="13"/>
  <c r="C64" i="13"/>
  <c r="F65" i="13" s="1"/>
  <c r="E6" i="13"/>
  <c r="O14" i="7"/>
  <c r="H3" i="7"/>
  <c r="H5" i="7" s="1"/>
  <c r="D29" i="13"/>
  <c r="E27" i="13"/>
  <c r="F27" i="13"/>
  <c r="N92" i="7"/>
  <c r="H11" i="13" s="1"/>
  <c r="N90" i="7"/>
  <c r="H9" i="13" s="1"/>
  <c r="N14" i="7"/>
  <c r="O12" i="7"/>
  <c r="N93" i="7"/>
  <c r="H12" i="13" s="1"/>
  <c r="N89" i="7"/>
  <c r="H8" i="13" s="1"/>
  <c r="O20" i="7"/>
  <c r="N11" i="7"/>
  <c r="O10" i="7"/>
  <c r="I3" i="7"/>
  <c r="I5" i="7" s="1"/>
  <c r="M93" i="7"/>
  <c r="G12" i="13" s="1"/>
  <c r="M91" i="7"/>
  <c r="G10" i="13" s="1"/>
  <c r="M89" i="7"/>
  <c r="G8" i="13" s="1"/>
  <c r="N12" i="7"/>
  <c r="N10" i="7"/>
  <c r="M92" i="7"/>
  <c r="G11" i="13" s="1"/>
  <c r="M90" i="7"/>
  <c r="G9" i="13" s="1"/>
  <c r="M88" i="7"/>
  <c r="N20" i="7"/>
  <c r="N19" i="7"/>
  <c r="N13" i="7"/>
  <c r="O19" i="7"/>
  <c r="O13" i="7"/>
  <c r="O11" i="7"/>
  <c r="N43" i="7"/>
  <c r="N47" i="7"/>
  <c r="N55" i="7"/>
  <c r="N59" i="7"/>
  <c r="R3" i="2" l="1"/>
  <c r="H28" i="29"/>
  <c r="H65" i="13"/>
  <c r="J114" i="7" s="1"/>
  <c r="O114" i="7" s="1"/>
  <c r="G65" i="13"/>
  <c r="I114" i="7" s="1"/>
  <c r="N114" i="7" s="1"/>
  <c r="H6" i="29"/>
  <c r="H7" i="29"/>
  <c r="H8" i="29" s="1"/>
  <c r="Q3" i="2"/>
  <c r="H18" i="29" s="1"/>
  <c r="H17" i="29"/>
  <c r="N18" i="29"/>
  <c r="N30" i="29"/>
  <c r="P29" i="29"/>
  <c r="O29" i="29"/>
  <c r="M5" i="10"/>
  <c r="N7" i="29"/>
  <c r="C66" i="13"/>
  <c r="H114" i="7"/>
  <c r="L114" i="7" s="1"/>
  <c r="M114" i="7" s="1"/>
  <c r="G30" i="13"/>
  <c r="H111" i="7" s="1"/>
  <c r="L111" i="7" s="1"/>
  <c r="M111" i="7" s="1"/>
  <c r="E29" i="13"/>
  <c r="H30" i="13" s="1"/>
  <c r="I111" i="7" s="1"/>
  <c r="N111" i="7" s="1"/>
  <c r="F29" i="13"/>
  <c r="I30" i="13" s="1"/>
  <c r="J111" i="7" s="1"/>
  <c r="O111" i="7" s="1"/>
  <c r="F18" i="13"/>
  <c r="O108" i="7"/>
  <c r="E16" i="13"/>
  <c r="H17" i="13" s="1"/>
  <c r="I108" i="7" s="1"/>
  <c r="G7" i="13"/>
  <c r="D16" i="13" s="1"/>
  <c r="I19" i="13"/>
  <c r="O63" i="7"/>
  <c r="M63" i="7"/>
  <c r="O60" i="7"/>
  <c r="M60" i="7"/>
  <c r="O58" i="7"/>
  <c r="M58" i="7"/>
  <c r="O56" i="7"/>
  <c r="M56" i="7"/>
  <c r="O52" i="7"/>
  <c r="M52" i="7"/>
  <c r="O50" i="7"/>
  <c r="M50" i="7"/>
  <c r="O48" i="7"/>
  <c r="M48" i="7"/>
  <c r="O46" i="7"/>
  <c r="M46" i="7"/>
  <c r="O44" i="7"/>
  <c r="M44" i="7"/>
  <c r="O42" i="7"/>
  <c r="M42" i="7"/>
  <c r="N63" i="7"/>
  <c r="N56" i="7"/>
  <c r="N48" i="7"/>
  <c r="N44" i="7"/>
  <c r="N60" i="7"/>
  <c r="N50" i="7"/>
  <c r="O61" i="7"/>
  <c r="M61" i="7"/>
  <c r="O59" i="7"/>
  <c r="M59" i="7"/>
  <c r="O57" i="7"/>
  <c r="M57" i="7"/>
  <c r="O55" i="7"/>
  <c r="M55" i="7"/>
  <c r="O51" i="7"/>
  <c r="M51" i="7"/>
  <c r="O49" i="7"/>
  <c r="M49" i="7"/>
  <c r="O47" i="7"/>
  <c r="M47" i="7"/>
  <c r="O45" i="7"/>
  <c r="M45" i="7"/>
  <c r="O43" i="7"/>
  <c r="M43" i="7"/>
  <c r="N61" i="7"/>
  <c r="N58" i="7"/>
  <c r="N51" i="7"/>
  <c r="N46" i="7"/>
  <c r="N42" i="7"/>
  <c r="N57" i="7"/>
  <c r="N52" i="7"/>
  <c r="N49" i="7"/>
  <c r="N45" i="7"/>
  <c r="K6" i="29" l="1"/>
  <c r="M6" i="29" s="1"/>
  <c r="M6" i="34" s="1"/>
  <c r="H6" i="34"/>
  <c r="I6" i="29"/>
  <c r="I6" i="34" s="1"/>
  <c r="J6" i="29"/>
  <c r="J6" i="34" s="1"/>
  <c r="K17" i="29"/>
  <c r="K28" i="29"/>
  <c r="I28" i="29"/>
  <c r="J28" i="29"/>
  <c r="I17" i="29"/>
  <c r="J17" i="29"/>
  <c r="I7" i="29"/>
  <c r="I7" i="34" s="1"/>
  <c r="J7" i="29"/>
  <c r="J7" i="34" s="1"/>
  <c r="H7" i="34"/>
  <c r="P30" i="29"/>
  <c r="O30" i="29"/>
  <c r="N19" i="29"/>
  <c r="P18" i="29"/>
  <c r="O18" i="29"/>
  <c r="N8" i="29"/>
  <c r="N7" i="34"/>
  <c r="O7" i="29"/>
  <c r="O7" i="34" s="1"/>
  <c r="P7" i="29"/>
  <c r="P7" i="34" s="1"/>
  <c r="G17" i="13"/>
  <c r="H108" i="7" s="1"/>
  <c r="L108" i="7" s="1"/>
  <c r="M108" i="7" s="1"/>
  <c r="F20" i="13"/>
  <c r="I21" i="13" s="1"/>
  <c r="J110" i="7" s="1"/>
  <c r="O110" i="7" s="1"/>
  <c r="J109" i="7"/>
  <c r="O109" i="7" s="1"/>
  <c r="E18" i="13"/>
  <c r="H19" i="13" s="1"/>
  <c r="I109" i="7" s="1"/>
  <c r="N109" i="7" s="1"/>
  <c r="N108" i="7"/>
  <c r="L6" i="29" l="1"/>
  <c r="L6" i="34" s="1"/>
  <c r="C6" i="29"/>
  <c r="E6" i="29" s="1"/>
  <c r="E6" i="34" s="1"/>
  <c r="K6" i="34"/>
  <c r="C17" i="29"/>
  <c r="D17" i="29" s="1"/>
  <c r="M17" i="29"/>
  <c r="O3" i="7"/>
  <c r="L17" i="29"/>
  <c r="H9" i="29"/>
  <c r="H8" i="34"/>
  <c r="I8" i="29"/>
  <c r="I8" i="34" s="1"/>
  <c r="J8" i="29"/>
  <c r="J8" i="34" s="1"/>
  <c r="C28" i="29"/>
  <c r="L28" i="29"/>
  <c r="M28" i="29"/>
  <c r="O19" i="29"/>
  <c r="P19" i="29"/>
  <c r="N8" i="34"/>
  <c r="O8" i="29"/>
  <c r="O8" i="34" s="1"/>
  <c r="P8" i="29"/>
  <c r="P8" i="34" s="1"/>
  <c r="D18" i="13"/>
  <c r="G19" i="13" s="1"/>
  <c r="H109" i="7" s="1"/>
  <c r="E20" i="13"/>
  <c r="H21" i="13" s="1"/>
  <c r="I110" i="7" s="1"/>
  <c r="N110" i="7" s="1"/>
  <c r="N3" i="7" s="1"/>
  <c r="G6" i="29" l="1"/>
  <c r="G6" i="34" s="1"/>
  <c r="D6" i="29"/>
  <c r="D6" i="34" s="1"/>
  <c r="C6" i="34"/>
  <c r="E17" i="29"/>
  <c r="E28" i="29"/>
  <c r="D28" i="29"/>
  <c r="I9" i="29"/>
  <c r="I9" i="34" s="1"/>
  <c r="H9" i="34"/>
  <c r="J9" i="29"/>
  <c r="J9" i="34" s="1"/>
  <c r="K29" i="29"/>
  <c r="L109" i="7"/>
  <c r="M109" i="7" s="1"/>
  <c r="D20" i="13"/>
  <c r="G21" i="13" s="1"/>
  <c r="L3" i="2"/>
  <c r="L5" i="2" s="1"/>
  <c r="K3" i="2"/>
  <c r="J3" i="2"/>
  <c r="S10" i="2" l="1"/>
  <c r="S18" i="2"/>
  <c r="S26" i="2"/>
  <c r="S34" i="2"/>
  <c r="S42" i="2"/>
  <c r="S50" i="2"/>
  <c r="S58" i="2"/>
  <c r="S66" i="2"/>
  <c r="S74" i="2"/>
  <c r="S82" i="2"/>
  <c r="S90" i="2"/>
  <c r="S98" i="2"/>
  <c r="S106" i="2"/>
  <c r="S122" i="2"/>
  <c r="S130" i="2"/>
  <c r="S138" i="2"/>
  <c r="S164" i="2"/>
  <c r="S21" i="2"/>
  <c r="S37" i="2"/>
  <c r="S53" i="2"/>
  <c r="S69" i="2"/>
  <c r="S93" i="2"/>
  <c r="S109" i="2"/>
  <c r="S125" i="2"/>
  <c r="S149" i="2"/>
  <c r="S165" i="2"/>
  <c r="S41" i="2"/>
  <c r="S97" i="2"/>
  <c r="S129" i="2"/>
  <c r="S153" i="2"/>
  <c r="S12" i="2"/>
  <c r="S20" i="2"/>
  <c r="S28" i="2"/>
  <c r="S36" i="2"/>
  <c r="S44" i="2"/>
  <c r="S52" i="2"/>
  <c r="S60" i="2"/>
  <c r="S68" i="2"/>
  <c r="S76" i="2"/>
  <c r="S84" i="2"/>
  <c r="S92" i="2"/>
  <c r="S100" i="2"/>
  <c r="S108" i="2"/>
  <c r="S116" i="2"/>
  <c r="S124" i="2"/>
  <c r="S132" i="2"/>
  <c r="S140" i="2"/>
  <c r="S148" i="2"/>
  <c r="S156" i="2"/>
  <c r="S9" i="2"/>
  <c r="S15" i="2"/>
  <c r="S23" i="2"/>
  <c r="S31" i="2"/>
  <c r="S39" i="2"/>
  <c r="S47" i="2"/>
  <c r="S55" i="2"/>
  <c r="S63" i="2"/>
  <c r="S71" i="2"/>
  <c r="S79" i="2"/>
  <c r="S87" i="2"/>
  <c r="S95" i="2"/>
  <c r="S103" i="2"/>
  <c r="S111" i="2"/>
  <c r="S119" i="2"/>
  <c r="S127" i="2"/>
  <c r="S135" i="2"/>
  <c r="S143" i="2"/>
  <c r="S151" i="2"/>
  <c r="S159" i="2"/>
  <c r="S160" i="2"/>
  <c r="D7" i="38"/>
  <c r="E7" i="38" s="1"/>
  <c r="S14" i="2"/>
  <c r="S22" i="2"/>
  <c r="S30" i="2"/>
  <c r="S38" i="2"/>
  <c r="S46" i="2"/>
  <c r="S54" i="2"/>
  <c r="S62" i="2"/>
  <c r="S70" i="2"/>
  <c r="S78" i="2"/>
  <c r="S86" i="2"/>
  <c r="S94" i="2"/>
  <c r="S102" i="2"/>
  <c r="S110" i="2"/>
  <c r="S118" i="2"/>
  <c r="S126" i="2"/>
  <c r="S134" i="2"/>
  <c r="S142" i="2"/>
  <c r="S150" i="2"/>
  <c r="T9" i="2"/>
  <c r="S17" i="2"/>
  <c r="S33" i="2"/>
  <c r="S57" i="2"/>
  <c r="S73" i="2"/>
  <c r="S89" i="2"/>
  <c r="S113" i="2"/>
  <c r="S137" i="2"/>
  <c r="S161" i="2"/>
  <c r="U9" i="2"/>
  <c r="S16" i="2"/>
  <c r="S24" i="2"/>
  <c r="S32" i="2"/>
  <c r="S40" i="2"/>
  <c r="S48" i="2"/>
  <c r="S56" i="2"/>
  <c r="S64" i="2"/>
  <c r="S72" i="2"/>
  <c r="S80" i="2"/>
  <c r="S88" i="2"/>
  <c r="S96" i="2"/>
  <c r="S104" i="2"/>
  <c r="S112" i="2"/>
  <c r="S120" i="2"/>
  <c r="S128" i="2"/>
  <c r="S136" i="2"/>
  <c r="S144" i="2"/>
  <c r="S152" i="2"/>
  <c r="S162" i="2"/>
  <c r="S11" i="2"/>
  <c r="S19" i="2"/>
  <c r="S27" i="2"/>
  <c r="S35" i="2"/>
  <c r="S43" i="2"/>
  <c r="S51" i="2"/>
  <c r="S59" i="2"/>
  <c r="S67" i="2"/>
  <c r="S75" i="2"/>
  <c r="S83" i="2"/>
  <c r="S91" i="2"/>
  <c r="S99" i="2"/>
  <c r="S107" i="2"/>
  <c r="S115" i="2"/>
  <c r="S123" i="2"/>
  <c r="S131" i="2"/>
  <c r="S139" i="2"/>
  <c r="S147" i="2"/>
  <c r="S155" i="2"/>
  <c r="S163" i="2"/>
  <c r="S114" i="2"/>
  <c r="S146" i="2"/>
  <c r="S154" i="2"/>
  <c r="S13" i="2"/>
  <c r="S29" i="2"/>
  <c r="S45" i="2"/>
  <c r="S61" i="2"/>
  <c r="S77" i="2"/>
  <c r="S85" i="2"/>
  <c r="S101" i="2"/>
  <c r="S117" i="2"/>
  <c r="S133" i="2"/>
  <c r="S141" i="2"/>
  <c r="S157" i="2"/>
  <c r="S158" i="2"/>
  <c r="S25" i="2"/>
  <c r="S49" i="2"/>
  <c r="S65" i="2"/>
  <c r="S81" i="2"/>
  <c r="S105" i="2"/>
  <c r="S121" i="2"/>
  <c r="S145" i="2"/>
  <c r="H19" i="29"/>
  <c r="I18" i="29"/>
  <c r="J18" i="29"/>
  <c r="M29" i="29"/>
  <c r="K30" i="29"/>
  <c r="L29" i="29"/>
  <c r="H110" i="7"/>
  <c r="L110" i="7" s="1"/>
  <c r="M110" i="7" s="1"/>
  <c r="J5" i="2"/>
  <c r="M3" i="7" l="1"/>
  <c r="K7" i="29" s="1"/>
  <c r="S3" i="2"/>
  <c r="J9" i="38"/>
  <c r="K31" i="29"/>
  <c r="J8" i="38"/>
  <c r="H29" i="29"/>
  <c r="K18" i="29"/>
  <c r="H20" i="29"/>
  <c r="I19" i="29"/>
  <c r="J19" i="29"/>
  <c r="M30" i="29"/>
  <c r="L30" i="29"/>
  <c r="Q29" i="24" l="1"/>
  <c r="N32" i="24" s="1"/>
  <c r="K19" i="29"/>
  <c r="M5" i="7"/>
  <c r="K8" i="29"/>
  <c r="K7" i="34"/>
  <c r="M7" i="29"/>
  <c r="M7" i="34" s="1"/>
  <c r="L7" i="29"/>
  <c r="L7" i="34" s="1"/>
  <c r="C7" i="29"/>
  <c r="K8" i="38"/>
  <c r="R11" i="7"/>
  <c r="R13" i="7"/>
  <c r="R15" i="7"/>
  <c r="R17" i="7"/>
  <c r="R19" i="7"/>
  <c r="R21" i="7"/>
  <c r="R23" i="7"/>
  <c r="R25" i="7"/>
  <c r="R27" i="7"/>
  <c r="R29" i="7"/>
  <c r="R31" i="7"/>
  <c r="R33" i="7"/>
  <c r="R35" i="7"/>
  <c r="R37" i="7"/>
  <c r="R39" i="7"/>
  <c r="R41" i="7"/>
  <c r="R43" i="7"/>
  <c r="R45" i="7"/>
  <c r="R47" i="7"/>
  <c r="R49" i="7"/>
  <c r="R51" i="7"/>
  <c r="R53" i="7"/>
  <c r="R55" i="7"/>
  <c r="R57" i="7"/>
  <c r="R59" i="7"/>
  <c r="R61" i="7"/>
  <c r="R63" i="7"/>
  <c r="R65" i="7"/>
  <c r="R67" i="7"/>
  <c r="R69" i="7"/>
  <c r="R71" i="7"/>
  <c r="R73" i="7"/>
  <c r="R75" i="7"/>
  <c r="R77" i="7"/>
  <c r="R79" i="7"/>
  <c r="R81" i="7"/>
  <c r="R83" i="7"/>
  <c r="R85" i="7"/>
  <c r="R87" i="7"/>
  <c r="R89" i="7"/>
  <c r="R91" i="7"/>
  <c r="R93" i="7"/>
  <c r="R95" i="7"/>
  <c r="R97" i="7"/>
  <c r="R99" i="7"/>
  <c r="R101" i="7"/>
  <c r="R103" i="7"/>
  <c r="R105" i="7"/>
  <c r="R107" i="7"/>
  <c r="R109" i="7"/>
  <c r="R111" i="7"/>
  <c r="R113" i="7"/>
  <c r="R115" i="7"/>
  <c r="R117" i="7"/>
  <c r="R119" i="7"/>
  <c r="R121" i="7"/>
  <c r="R10" i="7"/>
  <c r="R12" i="7"/>
  <c r="R14" i="7"/>
  <c r="R16" i="7"/>
  <c r="R18" i="7"/>
  <c r="R20" i="7"/>
  <c r="R22" i="7"/>
  <c r="R24" i="7"/>
  <c r="R26" i="7"/>
  <c r="R28" i="7"/>
  <c r="R30" i="7"/>
  <c r="R32" i="7"/>
  <c r="R34" i="7"/>
  <c r="R36" i="7"/>
  <c r="R38" i="7"/>
  <c r="R40" i="7"/>
  <c r="R42" i="7"/>
  <c r="R44" i="7"/>
  <c r="R46" i="7"/>
  <c r="R48" i="7"/>
  <c r="R50" i="7"/>
  <c r="R52" i="7"/>
  <c r="R54" i="7"/>
  <c r="R56" i="7"/>
  <c r="R58" i="7"/>
  <c r="R60" i="7"/>
  <c r="R62" i="7"/>
  <c r="R64" i="7"/>
  <c r="R66" i="7"/>
  <c r="R68" i="7"/>
  <c r="R70" i="7"/>
  <c r="R72" i="7"/>
  <c r="R74" i="7"/>
  <c r="R76" i="7"/>
  <c r="R78" i="7"/>
  <c r="R80" i="7"/>
  <c r="R82" i="7"/>
  <c r="R84" i="7"/>
  <c r="R86" i="7"/>
  <c r="R88" i="7"/>
  <c r="R90" i="7"/>
  <c r="R92" i="7"/>
  <c r="R94" i="7"/>
  <c r="R96" i="7"/>
  <c r="R98" i="7"/>
  <c r="R100" i="7"/>
  <c r="R102" i="7"/>
  <c r="R104" i="7"/>
  <c r="R106" i="7"/>
  <c r="R108" i="7"/>
  <c r="R110" i="7"/>
  <c r="R112" i="7"/>
  <c r="R114" i="7"/>
  <c r="R116" i="7"/>
  <c r="R118" i="7"/>
  <c r="R120" i="7"/>
  <c r="R122" i="7"/>
  <c r="K9" i="38"/>
  <c r="R12" i="10"/>
  <c r="R14" i="10"/>
  <c r="R16" i="10"/>
  <c r="R18" i="10"/>
  <c r="R20" i="10"/>
  <c r="R22" i="10"/>
  <c r="R24" i="10"/>
  <c r="R26" i="10"/>
  <c r="R28" i="10"/>
  <c r="R30" i="10"/>
  <c r="R32" i="10"/>
  <c r="R34" i="10"/>
  <c r="R36" i="10"/>
  <c r="R38" i="10"/>
  <c r="R40" i="10"/>
  <c r="R42" i="10"/>
  <c r="R44" i="10"/>
  <c r="R46" i="10"/>
  <c r="R48" i="10"/>
  <c r="R50" i="10"/>
  <c r="R52" i="10"/>
  <c r="R54" i="10"/>
  <c r="R56" i="10"/>
  <c r="R58" i="10"/>
  <c r="R60" i="10"/>
  <c r="R62" i="10"/>
  <c r="R64" i="10"/>
  <c r="R66" i="10"/>
  <c r="R68" i="10"/>
  <c r="R70" i="10"/>
  <c r="R72" i="10"/>
  <c r="R74" i="10"/>
  <c r="R76" i="10"/>
  <c r="R78" i="10"/>
  <c r="R80" i="10"/>
  <c r="R82" i="10"/>
  <c r="R84" i="10"/>
  <c r="R86" i="10"/>
  <c r="R88" i="10"/>
  <c r="R90" i="10"/>
  <c r="R92" i="10"/>
  <c r="R94" i="10"/>
  <c r="R96" i="10"/>
  <c r="R98" i="10"/>
  <c r="R100" i="10"/>
  <c r="R102" i="10"/>
  <c r="R104" i="10"/>
  <c r="R106" i="10"/>
  <c r="R108" i="10"/>
  <c r="R110" i="10"/>
  <c r="R112" i="10"/>
  <c r="R114" i="10"/>
  <c r="R116" i="10"/>
  <c r="R118" i="10"/>
  <c r="R120" i="10"/>
  <c r="R122" i="10"/>
  <c r="R124" i="10"/>
  <c r="R126" i="10"/>
  <c r="R128" i="10"/>
  <c r="R130" i="10"/>
  <c r="R132" i="10"/>
  <c r="R134" i="10"/>
  <c r="R136" i="10"/>
  <c r="R138" i="10"/>
  <c r="R140" i="10"/>
  <c r="R142" i="10"/>
  <c r="R144" i="10"/>
  <c r="R146" i="10"/>
  <c r="R148" i="10"/>
  <c r="R150" i="10"/>
  <c r="R152" i="10"/>
  <c r="R10" i="10"/>
  <c r="R11" i="10"/>
  <c r="R13" i="10"/>
  <c r="R15" i="10"/>
  <c r="R17" i="10"/>
  <c r="R19" i="10"/>
  <c r="R21" i="10"/>
  <c r="R23" i="10"/>
  <c r="R25" i="10"/>
  <c r="R27" i="10"/>
  <c r="R29" i="10"/>
  <c r="R31" i="10"/>
  <c r="R33" i="10"/>
  <c r="R35" i="10"/>
  <c r="R37" i="10"/>
  <c r="R39" i="10"/>
  <c r="R41" i="10"/>
  <c r="R43" i="10"/>
  <c r="R45" i="10"/>
  <c r="R47" i="10"/>
  <c r="R49" i="10"/>
  <c r="R51" i="10"/>
  <c r="R53" i="10"/>
  <c r="R55" i="10"/>
  <c r="R57" i="10"/>
  <c r="R59" i="10"/>
  <c r="R61" i="10"/>
  <c r="R63" i="10"/>
  <c r="R65" i="10"/>
  <c r="R67" i="10"/>
  <c r="R69" i="10"/>
  <c r="R71" i="10"/>
  <c r="R73" i="10"/>
  <c r="R75" i="10"/>
  <c r="R77" i="10"/>
  <c r="R79" i="10"/>
  <c r="R81" i="10"/>
  <c r="R83" i="10"/>
  <c r="R85" i="10"/>
  <c r="R87" i="10"/>
  <c r="R89" i="10"/>
  <c r="R91" i="10"/>
  <c r="R93" i="10"/>
  <c r="R95" i="10"/>
  <c r="R97" i="10"/>
  <c r="R99" i="10"/>
  <c r="R101" i="10"/>
  <c r="R103" i="10"/>
  <c r="R105" i="10"/>
  <c r="R107" i="10"/>
  <c r="R109" i="10"/>
  <c r="R111" i="10"/>
  <c r="R113" i="10"/>
  <c r="R115" i="10"/>
  <c r="R117" i="10"/>
  <c r="R119" i="10"/>
  <c r="R121" i="10"/>
  <c r="R123" i="10"/>
  <c r="R125" i="10"/>
  <c r="R127" i="10"/>
  <c r="R129" i="10"/>
  <c r="R131" i="10"/>
  <c r="R133" i="10"/>
  <c r="R135" i="10"/>
  <c r="R137" i="10"/>
  <c r="R139" i="10"/>
  <c r="R141" i="10"/>
  <c r="R143" i="10"/>
  <c r="R145" i="10"/>
  <c r="R147" i="10"/>
  <c r="R149" i="10"/>
  <c r="R151" i="10"/>
  <c r="R153" i="10"/>
  <c r="G7" i="38"/>
  <c r="T11" i="2"/>
  <c r="T13" i="2"/>
  <c r="T15" i="2"/>
  <c r="T17" i="2"/>
  <c r="T19" i="2"/>
  <c r="T21" i="2"/>
  <c r="T23" i="2"/>
  <c r="T25" i="2"/>
  <c r="T27" i="2"/>
  <c r="T29" i="2"/>
  <c r="T31" i="2"/>
  <c r="T33" i="2"/>
  <c r="T35" i="2"/>
  <c r="T37" i="2"/>
  <c r="T39" i="2"/>
  <c r="T41" i="2"/>
  <c r="T43" i="2"/>
  <c r="T45" i="2"/>
  <c r="T47" i="2"/>
  <c r="T49" i="2"/>
  <c r="T51" i="2"/>
  <c r="T53" i="2"/>
  <c r="T55" i="2"/>
  <c r="T57" i="2"/>
  <c r="T59" i="2"/>
  <c r="T61" i="2"/>
  <c r="T63" i="2"/>
  <c r="T65" i="2"/>
  <c r="T67" i="2"/>
  <c r="T69" i="2"/>
  <c r="T71" i="2"/>
  <c r="T73" i="2"/>
  <c r="T75" i="2"/>
  <c r="T77" i="2"/>
  <c r="T79" i="2"/>
  <c r="T81" i="2"/>
  <c r="T83" i="2"/>
  <c r="T85" i="2"/>
  <c r="T87" i="2"/>
  <c r="T89" i="2"/>
  <c r="T91" i="2"/>
  <c r="T93" i="2"/>
  <c r="T95" i="2"/>
  <c r="T97" i="2"/>
  <c r="T99" i="2"/>
  <c r="T101" i="2"/>
  <c r="T103" i="2"/>
  <c r="T105" i="2"/>
  <c r="T107" i="2"/>
  <c r="T109" i="2"/>
  <c r="T111" i="2"/>
  <c r="T113" i="2"/>
  <c r="T115" i="2"/>
  <c r="T117" i="2"/>
  <c r="T119" i="2"/>
  <c r="T121" i="2"/>
  <c r="T123" i="2"/>
  <c r="T125" i="2"/>
  <c r="T127" i="2"/>
  <c r="T129" i="2"/>
  <c r="T131" i="2"/>
  <c r="T133" i="2"/>
  <c r="T135" i="2"/>
  <c r="T137" i="2"/>
  <c r="T139" i="2"/>
  <c r="T141" i="2"/>
  <c r="T143" i="2"/>
  <c r="T145" i="2"/>
  <c r="T147" i="2"/>
  <c r="T149" i="2"/>
  <c r="T151" i="2"/>
  <c r="T153" i="2"/>
  <c r="T155" i="2"/>
  <c r="T157" i="2"/>
  <c r="T163" i="2"/>
  <c r="T164" i="2"/>
  <c r="T12" i="2"/>
  <c r="T14" i="2"/>
  <c r="T16" i="2"/>
  <c r="T18" i="2"/>
  <c r="T20" i="2"/>
  <c r="T22" i="2"/>
  <c r="T24" i="2"/>
  <c r="T26" i="2"/>
  <c r="T28" i="2"/>
  <c r="T30" i="2"/>
  <c r="T32" i="2"/>
  <c r="T34" i="2"/>
  <c r="T36" i="2"/>
  <c r="T38" i="2"/>
  <c r="T40" i="2"/>
  <c r="T42" i="2"/>
  <c r="T44" i="2"/>
  <c r="T46" i="2"/>
  <c r="T48" i="2"/>
  <c r="T50" i="2"/>
  <c r="T52" i="2"/>
  <c r="T54" i="2"/>
  <c r="T56" i="2"/>
  <c r="T58" i="2"/>
  <c r="T60" i="2"/>
  <c r="T62" i="2"/>
  <c r="T64" i="2"/>
  <c r="T66" i="2"/>
  <c r="T68" i="2"/>
  <c r="T70" i="2"/>
  <c r="T72" i="2"/>
  <c r="T74" i="2"/>
  <c r="T76" i="2"/>
  <c r="T78" i="2"/>
  <c r="T80" i="2"/>
  <c r="T82" i="2"/>
  <c r="T84" i="2"/>
  <c r="T86" i="2"/>
  <c r="T88" i="2"/>
  <c r="T90" i="2"/>
  <c r="T92" i="2"/>
  <c r="T94" i="2"/>
  <c r="T96" i="2"/>
  <c r="T98" i="2"/>
  <c r="T100" i="2"/>
  <c r="T102" i="2"/>
  <c r="T104" i="2"/>
  <c r="T106" i="2"/>
  <c r="T108" i="2"/>
  <c r="T110" i="2"/>
  <c r="T112" i="2"/>
  <c r="T114" i="2"/>
  <c r="T116" i="2"/>
  <c r="T118" i="2"/>
  <c r="T120" i="2"/>
  <c r="T122" i="2"/>
  <c r="T124" i="2"/>
  <c r="T126" i="2"/>
  <c r="T128" i="2"/>
  <c r="T130" i="2"/>
  <c r="T132" i="2"/>
  <c r="T134" i="2"/>
  <c r="T136" i="2"/>
  <c r="T138" i="2"/>
  <c r="T140" i="2"/>
  <c r="T142" i="2"/>
  <c r="T144" i="2"/>
  <c r="T146" i="2"/>
  <c r="T148" i="2"/>
  <c r="T150" i="2"/>
  <c r="T152" i="2"/>
  <c r="T154" i="2"/>
  <c r="T156" i="2"/>
  <c r="T158" i="2"/>
  <c r="T162" i="2"/>
  <c r="T10" i="2"/>
  <c r="T161" i="2"/>
  <c r="T160" i="2"/>
  <c r="T159" i="2"/>
  <c r="H7" i="38"/>
  <c r="J20" i="29"/>
  <c r="I20" i="29"/>
  <c r="M18" i="29"/>
  <c r="L18" i="29"/>
  <c r="C18" i="29"/>
  <c r="H30" i="29"/>
  <c r="C29" i="29"/>
  <c r="I29" i="29"/>
  <c r="J29" i="29"/>
  <c r="M32" i="24" l="1"/>
  <c r="D7" i="29"/>
  <c r="D7" i="34" s="1"/>
  <c r="G7" i="29"/>
  <c r="G7" i="34" s="1"/>
  <c r="E7" i="29"/>
  <c r="E7" i="34" s="1"/>
  <c r="C7" i="34"/>
  <c r="K8" i="34"/>
  <c r="L8" i="29"/>
  <c r="L8" i="34" s="1"/>
  <c r="M8" i="29"/>
  <c r="M8" i="34" s="1"/>
  <c r="C8" i="29"/>
  <c r="K9" i="29"/>
  <c r="R3" i="10"/>
  <c r="R3" i="7"/>
  <c r="T3" i="2"/>
  <c r="G9" i="38"/>
  <c r="K20" i="29"/>
  <c r="G8" i="38"/>
  <c r="G8" i="35"/>
  <c r="E29" i="29"/>
  <c r="D29" i="29"/>
  <c r="E18" i="29"/>
  <c r="D18" i="29"/>
  <c r="M19" i="29"/>
  <c r="C20" i="29"/>
  <c r="L19" i="29"/>
  <c r="C19" i="29"/>
  <c r="H31" i="29"/>
  <c r="I30" i="29"/>
  <c r="C30" i="29"/>
  <c r="J30" i="29"/>
  <c r="C9" i="29" l="1"/>
  <c r="K9" i="34"/>
  <c r="D9" i="38"/>
  <c r="D8" i="38"/>
  <c r="E8" i="29"/>
  <c r="E8" i="34" s="1"/>
  <c r="C8" i="34"/>
  <c r="G8" i="29"/>
  <c r="G8" i="34" s="1"/>
  <c r="D8" i="29"/>
  <c r="D8" i="34" s="1"/>
  <c r="Q11" i="7"/>
  <c r="Q13" i="7"/>
  <c r="Q15" i="7"/>
  <c r="Q17" i="7"/>
  <c r="Q19" i="7"/>
  <c r="Q21" i="7"/>
  <c r="Q23" i="7"/>
  <c r="Q25" i="7"/>
  <c r="Q27" i="7"/>
  <c r="Q29" i="7"/>
  <c r="Q31" i="7"/>
  <c r="Q33" i="7"/>
  <c r="Q35" i="7"/>
  <c r="Q37" i="7"/>
  <c r="Q39" i="7"/>
  <c r="Q41" i="7"/>
  <c r="Q43" i="7"/>
  <c r="Q45" i="7"/>
  <c r="Q47" i="7"/>
  <c r="Q49" i="7"/>
  <c r="Q51" i="7"/>
  <c r="Q53" i="7"/>
  <c r="Q55" i="7"/>
  <c r="Q57" i="7"/>
  <c r="Q59" i="7"/>
  <c r="Q61" i="7"/>
  <c r="Q63" i="7"/>
  <c r="Q65" i="7"/>
  <c r="Q67" i="7"/>
  <c r="Q69" i="7"/>
  <c r="Q71" i="7"/>
  <c r="Q73" i="7"/>
  <c r="Q75" i="7"/>
  <c r="Q77" i="7"/>
  <c r="Q79" i="7"/>
  <c r="Q81" i="7"/>
  <c r="Q83" i="7"/>
  <c r="Q85" i="7"/>
  <c r="Q87" i="7"/>
  <c r="Q89" i="7"/>
  <c r="Q91" i="7"/>
  <c r="Q93" i="7"/>
  <c r="Q95" i="7"/>
  <c r="Q97" i="7"/>
  <c r="Q99" i="7"/>
  <c r="Q101" i="7"/>
  <c r="Q103" i="7"/>
  <c r="Q105" i="7"/>
  <c r="Q107" i="7"/>
  <c r="Q109" i="7"/>
  <c r="Q111" i="7"/>
  <c r="Q113" i="7"/>
  <c r="Q115" i="7"/>
  <c r="Q117" i="7"/>
  <c r="Q119" i="7"/>
  <c r="Q121" i="7"/>
  <c r="Q10" i="7"/>
  <c r="Q12" i="7"/>
  <c r="Q14" i="7"/>
  <c r="Q16" i="7"/>
  <c r="Q18" i="7"/>
  <c r="Q20" i="7"/>
  <c r="Q22" i="7"/>
  <c r="Q24" i="7"/>
  <c r="Q26" i="7"/>
  <c r="Q28" i="7"/>
  <c r="Q30" i="7"/>
  <c r="Q32" i="7"/>
  <c r="Q34" i="7"/>
  <c r="Q36" i="7"/>
  <c r="Q38" i="7"/>
  <c r="Q40" i="7"/>
  <c r="Q42" i="7"/>
  <c r="Q44" i="7"/>
  <c r="Q46" i="7"/>
  <c r="Q48" i="7"/>
  <c r="Q50" i="7"/>
  <c r="Q52" i="7"/>
  <c r="Q54" i="7"/>
  <c r="Q56" i="7"/>
  <c r="Q58" i="7"/>
  <c r="Q60" i="7"/>
  <c r="Q62" i="7"/>
  <c r="Q64" i="7"/>
  <c r="Q66" i="7"/>
  <c r="Q68" i="7"/>
  <c r="Q70" i="7"/>
  <c r="Q72" i="7"/>
  <c r="Q74" i="7"/>
  <c r="Q76" i="7"/>
  <c r="Q78" i="7"/>
  <c r="Q80" i="7"/>
  <c r="Q82" i="7"/>
  <c r="Q84" i="7"/>
  <c r="Q86" i="7"/>
  <c r="Q88" i="7"/>
  <c r="Q90" i="7"/>
  <c r="Q92" i="7"/>
  <c r="Q94" i="7"/>
  <c r="Q96" i="7"/>
  <c r="Q98" i="7"/>
  <c r="Q100" i="7"/>
  <c r="Q102" i="7"/>
  <c r="Q104" i="7"/>
  <c r="Q106" i="7"/>
  <c r="Q108" i="7"/>
  <c r="Q110" i="7"/>
  <c r="Q114" i="7"/>
  <c r="Q116" i="7"/>
  <c r="Q118" i="7"/>
  <c r="Q122" i="7"/>
  <c r="Q120" i="7"/>
  <c r="Q112" i="7"/>
  <c r="H9" i="38"/>
  <c r="Q11" i="10"/>
  <c r="Q13" i="10"/>
  <c r="Q15" i="10"/>
  <c r="Q17" i="10"/>
  <c r="Q19" i="10"/>
  <c r="Q21" i="10"/>
  <c r="Q23" i="10"/>
  <c r="Q25" i="10"/>
  <c r="Q27" i="10"/>
  <c r="Q29" i="10"/>
  <c r="Q31" i="10"/>
  <c r="Q33" i="10"/>
  <c r="Q35" i="10"/>
  <c r="Q37" i="10"/>
  <c r="Q39" i="10"/>
  <c r="Q41" i="10"/>
  <c r="Q43" i="10"/>
  <c r="Q45" i="10"/>
  <c r="Q47" i="10"/>
  <c r="Q49" i="10"/>
  <c r="Q51" i="10"/>
  <c r="Q53" i="10"/>
  <c r="Q55" i="10"/>
  <c r="Q57" i="10"/>
  <c r="Q59" i="10"/>
  <c r="Q61" i="10"/>
  <c r="Q63" i="10"/>
  <c r="Q65" i="10"/>
  <c r="Q67" i="10"/>
  <c r="Q69" i="10"/>
  <c r="Q71" i="10"/>
  <c r="Q73" i="10"/>
  <c r="Q75" i="10"/>
  <c r="Q77" i="10"/>
  <c r="Q79" i="10"/>
  <c r="Q81" i="10"/>
  <c r="Q83" i="10"/>
  <c r="Q85" i="10"/>
  <c r="Q87" i="10"/>
  <c r="Q89" i="10"/>
  <c r="Q91" i="10"/>
  <c r="Q93" i="10"/>
  <c r="Q95" i="10"/>
  <c r="Q97" i="10"/>
  <c r="Q99" i="10"/>
  <c r="Q101" i="10"/>
  <c r="Q103" i="10"/>
  <c r="Q105" i="10"/>
  <c r="Q107" i="10"/>
  <c r="Q109" i="10"/>
  <c r="Q111" i="10"/>
  <c r="Q113" i="10"/>
  <c r="Q115" i="10"/>
  <c r="Q117" i="10"/>
  <c r="Q119" i="10"/>
  <c r="Q121" i="10"/>
  <c r="Q123" i="10"/>
  <c r="Q125" i="10"/>
  <c r="Q127" i="10"/>
  <c r="Q129" i="10"/>
  <c r="Q131" i="10"/>
  <c r="Q133" i="10"/>
  <c r="Q135" i="10"/>
  <c r="Q137" i="10"/>
  <c r="Q139" i="10"/>
  <c r="Q141" i="10"/>
  <c r="Q143" i="10"/>
  <c r="Q145" i="10"/>
  <c r="Q147" i="10"/>
  <c r="Q149" i="10"/>
  <c r="Q151" i="10"/>
  <c r="Q153" i="10"/>
  <c r="Q12" i="10"/>
  <c r="Q14" i="10"/>
  <c r="Q16" i="10"/>
  <c r="Q18" i="10"/>
  <c r="Q20" i="10"/>
  <c r="Q22" i="10"/>
  <c r="Q24" i="10"/>
  <c r="Q26" i="10"/>
  <c r="Q28" i="10"/>
  <c r="Q30" i="10"/>
  <c r="Q32" i="10"/>
  <c r="Q34" i="10"/>
  <c r="Q36" i="10"/>
  <c r="Q38" i="10"/>
  <c r="Q40" i="10"/>
  <c r="Q42" i="10"/>
  <c r="Q44" i="10"/>
  <c r="Q46" i="10"/>
  <c r="Q48" i="10"/>
  <c r="Q50" i="10"/>
  <c r="Q52" i="10"/>
  <c r="Q54" i="10"/>
  <c r="Q56" i="10"/>
  <c r="Q58" i="10"/>
  <c r="Q60" i="10"/>
  <c r="Q62" i="10"/>
  <c r="Q64" i="10"/>
  <c r="Q66" i="10"/>
  <c r="Q68" i="10"/>
  <c r="Q70" i="10"/>
  <c r="Q72" i="10"/>
  <c r="Q74" i="10"/>
  <c r="Q76" i="10"/>
  <c r="Q78" i="10"/>
  <c r="Q80" i="10"/>
  <c r="Q82" i="10"/>
  <c r="Q84" i="10"/>
  <c r="Q86" i="10"/>
  <c r="Q88" i="10"/>
  <c r="Q90" i="10"/>
  <c r="Q92" i="10"/>
  <c r="Q94" i="10"/>
  <c r="Q96" i="10"/>
  <c r="Q98" i="10"/>
  <c r="Q100" i="10"/>
  <c r="Q102" i="10"/>
  <c r="Q104" i="10"/>
  <c r="Q106" i="10"/>
  <c r="Q108" i="10"/>
  <c r="Q110" i="10"/>
  <c r="Q112" i="10"/>
  <c r="Q114" i="10"/>
  <c r="Q116" i="10"/>
  <c r="Q118" i="10"/>
  <c r="Q120" i="10"/>
  <c r="Q122" i="10"/>
  <c r="Q124" i="10"/>
  <c r="Q126" i="10"/>
  <c r="Q128" i="10"/>
  <c r="Q130" i="10"/>
  <c r="Q132" i="10"/>
  <c r="Q134" i="10"/>
  <c r="Q136" i="10"/>
  <c r="Q138" i="10"/>
  <c r="Q140" i="10"/>
  <c r="Q142" i="10"/>
  <c r="Q144" i="10"/>
  <c r="Q146" i="10"/>
  <c r="Q148" i="10"/>
  <c r="Q150" i="10"/>
  <c r="Q152" i="10"/>
  <c r="Q10" i="10"/>
  <c r="J7" i="38"/>
  <c r="U11" i="2"/>
  <c r="U13" i="2"/>
  <c r="U15" i="2"/>
  <c r="U17" i="2"/>
  <c r="U19" i="2"/>
  <c r="U21" i="2"/>
  <c r="U23" i="2"/>
  <c r="U25" i="2"/>
  <c r="U27" i="2"/>
  <c r="U29" i="2"/>
  <c r="U31" i="2"/>
  <c r="U33" i="2"/>
  <c r="U35" i="2"/>
  <c r="U37" i="2"/>
  <c r="U39" i="2"/>
  <c r="U41" i="2"/>
  <c r="U43" i="2"/>
  <c r="U45" i="2"/>
  <c r="U47" i="2"/>
  <c r="U49" i="2"/>
  <c r="U51" i="2"/>
  <c r="U53" i="2"/>
  <c r="U55" i="2"/>
  <c r="U57" i="2"/>
  <c r="U59" i="2"/>
  <c r="U61" i="2"/>
  <c r="U63" i="2"/>
  <c r="U65" i="2"/>
  <c r="U67" i="2"/>
  <c r="U69" i="2"/>
  <c r="U71" i="2"/>
  <c r="U73" i="2"/>
  <c r="U75" i="2"/>
  <c r="U77" i="2"/>
  <c r="U79" i="2"/>
  <c r="U81" i="2"/>
  <c r="U83" i="2"/>
  <c r="U85" i="2"/>
  <c r="U87" i="2"/>
  <c r="U89" i="2"/>
  <c r="U91" i="2"/>
  <c r="U93" i="2"/>
  <c r="U95" i="2"/>
  <c r="U97" i="2"/>
  <c r="U99" i="2"/>
  <c r="U101" i="2"/>
  <c r="U103" i="2"/>
  <c r="U105" i="2"/>
  <c r="U107" i="2"/>
  <c r="U109" i="2"/>
  <c r="U111" i="2"/>
  <c r="U113" i="2"/>
  <c r="U115" i="2"/>
  <c r="U117" i="2"/>
  <c r="U119" i="2"/>
  <c r="U121" i="2"/>
  <c r="U123" i="2"/>
  <c r="U125" i="2"/>
  <c r="U127" i="2"/>
  <c r="U129" i="2"/>
  <c r="U131" i="2"/>
  <c r="U133" i="2"/>
  <c r="U135" i="2"/>
  <c r="U137" i="2"/>
  <c r="U139" i="2"/>
  <c r="U141" i="2"/>
  <c r="U143" i="2"/>
  <c r="U145" i="2"/>
  <c r="U147" i="2"/>
  <c r="U149" i="2"/>
  <c r="U151" i="2"/>
  <c r="U153" i="2"/>
  <c r="U155" i="2"/>
  <c r="U157" i="2"/>
  <c r="U163" i="2"/>
  <c r="U165" i="2"/>
  <c r="U12" i="2"/>
  <c r="U14" i="2"/>
  <c r="U16" i="2"/>
  <c r="U18" i="2"/>
  <c r="U20" i="2"/>
  <c r="U22" i="2"/>
  <c r="U24" i="2"/>
  <c r="U26" i="2"/>
  <c r="U28" i="2"/>
  <c r="U30" i="2"/>
  <c r="U32" i="2"/>
  <c r="U34" i="2"/>
  <c r="U36" i="2"/>
  <c r="U38" i="2"/>
  <c r="U40" i="2"/>
  <c r="U42" i="2"/>
  <c r="U44" i="2"/>
  <c r="U46" i="2"/>
  <c r="U48" i="2"/>
  <c r="U50" i="2"/>
  <c r="U52" i="2"/>
  <c r="U54" i="2"/>
  <c r="U56" i="2"/>
  <c r="U58" i="2"/>
  <c r="U60" i="2"/>
  <c r="U62" i="2"/>
  <c r="U64" i="2"/>
  <c r="U66" i="2"/>
  <c r="U68" i="2"/>
  <c r="U70" i="2"/>
  <c r="U72" i="2"/>
  <c r="U74" i="2"/>
  <c r="U76" i="2"/>
  <c r="U78" i="2"/>
  <c r="U80" i="2"/>
  <c r="U82" i="2"/>
  <c r="U84" i="2"/>
  <c r="U86" i="2"/>
  <c r="U88" i="2"/>
  <c r="U90" i="2"/>
  <c r="U92" i="2"/>
  <c r="U94" i="2"/>
  <c r="U96" i="2"/>
  <c r="U98" i="2"/>
  <c r="U100" i="2"/>
  <c r="U102" i="2"/>
  <c r="U104" i="2"/>
  <c r="U106" i="2"/>
  <c r="U108" i="2"/>
  <c r="U110" i="2"/>
  <c r="U112" i="2"/>
  <c r="U114" i="2"/>
  <c r="U116" i="2"/>
  <c r="U118" i="2"/>
  <c r="U120" i="2"/>
  <c r="U122" i="2"/>
  <c r="U124" i="2"/>
  <c r="U126" i="2"/>
  <c r="U128" i="2"/>
  <c r="U130" i="2"/>
  <c r="U132" i="2"/>
  <c r="U134" i="2"/>
  <c r="U136" i="2"/>
  <c r="U138" i="2"/>
  <c r="U140" i="2"/>
  <c r="U142" i="2"/>
  <c r="U144" i="2"/>
  <c r="U146" i="2"/>
  <c r="U148" i="2"/>
  <c r="U150" i="2"/>
  <c r="U152" i="2"/>
  <c r="U154" i="2"/>
  <c r="U156" i="2"/>
  <c r="U158" i="2"/>
  <c r="U162" i="2"/>
  <c r="U164" i="2"/>
  <c r="U10" i="2"/>
  <c r="U159" i="2"/>
  <c r="U161" i="2"/>
  <c r="U160" i="2"/>
  <c r="H8" i="36"/>
  <c r="G21" i="36"/>
  <c r="Q21" i="36" s="1"/>
  <c r="G10" i="38"/>
  <c r="H10" i="38" s="1"/>
  <c r="H8" i="38"/>
  <c r="K7" i="38"/>
  <c r="J10" i="38"/>
  <c r="K10" i="38" s="1"/>
  <c r="E19" i="29"/>
  <c r="D19" i="29"/>
  <c r="E20" i="29"/>
  <c r="D20" i="29"/>
  <c r="E30" i="29"/>
  <c r="D30" i="29"/>
  <c r="I31" i="29"/>
  <c r="J31" i="29"/>
  <c r="C31" i="29"/>
  <c r="P16" i="7" l="1"/>
  <c r="P24" i="7"/>
  <c r="P32" i="7"/>
  <c r="P40" i="7"/>
  <c r="P48" i="7"/>
  <c r="P56" i="7"/>
  <c r="P64" i="7"/>
  <c r="P72" i="7"/>
  <c r="P80" i="7"/>
  <c r="P88" i="7"/>
  <c r="P96" i="7"/>
  <c r="P104" i="7"/>
  <c r="P112" i="7"/>
  <c r="P120" i="7"/>
  <c r="P15" i="7"/>
  <c r="P23" i="7"/>
  <c r="P31" i="7"/>
  <c r="P39" i="7"/>
  <c r="P47" i="7"/>
  <c r="P55" i="7"/>
  <c r="P63" i="7"/>
  <c r="P71" i="7"/>
  <c r="P79" i="7"/>
  <c r="P87" i="7"/>
  <c r="P95" i="7"/>
  <c r="P103" i="7"/>
  <c r="P111" i="7"/>
  <c r="P119" i="7"/>
  <c r="P10" i="7"/>
  <c r="P18" i="7"/>
  <c r="P26" i="7"/>
  <c r="P34" i="7"/>
  <c r="P42" i="7"/>
  <c r="P50" i="7"/>
  <c r="P58" i="7"/>
  <c r="P66" i="7"/>
  <c r="P74" i="7"/>
  <c r="P82" i="7"/>
  <c r="P90" i="7"/>
  <c r="P98" i="7"/>
  <c r="P106" i="7"/>
  <c r="P114" i="7"/>
  <c r="P122" i="7"/>
  <c r="P17" i="7"/>
  <c r="P25" i="7"/>
  <c r="P33" i="7"/>
  <c r="P41" i="7"/>
  <c r="P49" i="7"/>
  <c r="P57" i="7"/>
  <c r="P65" i="7"/>
  <c r="P73" i="7"/>
  <c r="P81" i="7"/>
  <c r="P89" i="7"/>
  <c r="P97" i="7"/>
  <c r="P105" i="7"/>
  <c r="P113" i="7"/>
  <c r="P121" i="7"/>
  <c r="P12" i="7"/>
  <c r="P20" i="7"/>
  <c r="P28" i="7"/>
  <c r="P36" i="7"/>
  <c r="P44" i="7"/>
  <c r="P52" i="7"/>
  <c r="P60" i="7"/>
  <c r="P68" i="7"/>
  <c r="P76" i="7"/>
  <c r="P84" i="7"/>
  <c r="P92" i="7"/>
  <c r="P100" i="7"/>
  <c r="P108" i="7"/>
  <c r="P116" i="7"/>
  <c r="P11" i="7"/>
  <c r="P19" i="7"/>
  <c r="P27" i="7"/>
  <c r="P35" i="7"/>
  <c r="P43" i="7"/>
  <c r="P51" i="7"/>
  <c r="P59" i="7"/>
  <c r="P67" i="7"/>
  <c r="P75" i="7"/>
  <c r="P83" i="7"/>
  <c r="P91" i="7"/>
  <c r="P99" i="7"/>
  <c r="P107" i="7"/>
  <c r="P115" i="7"/>
  <c r="P14" i="7"/>
  <c r="P22" i="7"/>
  <c r="P30" i="7"/>
  <c r="P38" i="7"/>
  <c r="P46" i="7"/>
  <c r="P54" i="7"/>
  <c r="P62" i="7"/>
  <c r="P70" i="7"/>
  <c r="P78" i="7"/>
  <c r="P86" i="7"/>
  <c r="P94" i="7"/>
  <c r="P102" i="7"/>
  <c r="P118" i="7"/>
  <c r="P13" i="7"/>
  <c r="P21" i="7"/>
  <c r="P29" i="7"/>
  <c r="P37" i="7"/>
  <c r="P45" i="7"/>
  <c r="P53" i="7"/>
  <c r="P61" i="7"/>
  <c r="P69" i="7"/>
  <c r="P77" i="7"/>
  <c r="P85" i="7"/>
  <c r="P93" i="7"/>
  <c r="P101" i="7"/>
  <c r="P117" i="7"/>
  <c r="P109" i="7"/>
  <c r="D10" i="38"/>
  <c r="E10" i="38" s="1"/>
  <c r="E8" i="38"/>
  <c r="P110" i="7"/>
  <c r="P18" i="10"/>
  <c r="P26" i="10"/>
  <c r="P34" i="10"/>
  <c r="P42" i="10"/>
  <c r="P50" i="10"/>
  <c r="P58" i="10"/>
  <c r="P66" i="10"/>
  <c r="P74" i="10"/>
  <c r="P82" i="10"/>
  <c r="P90" i="10"/>
  <c r="P98" i="10"/>
  <c r="P106" i="10"/>
  <c r="P114" i="10"/>
  <c r="P122" i="10"/>
  <c r="P130" i="10"/>
  <c r="P138" i="10"/>
  <c r="P146" i="10"/>
  <c r="P10" i="10"/>
  <c r="P17" i="10"/>
  <c r="P25" i="10"/>
  <c r="P33" i="10"/>
  <c r="P41" i="10"/>
  <c r="P49" i="10"/>
  <c r="P57" i="10"/>
  <c r="P65" i="10"/>
  <c r="P73" i="10"/>
  <c r="P81" i="10"/>
  <c r="P89" i="10"/>
  <c r="P97" i="10"/>
  <c r="P113" i="10"/>
  <c r="P121" i="10"/>
  <c r="P137" i="10"/>
  <c r="P153" i="10"/>
  <c r="P12" i="10"/>
  <c r="P20" i="10"/>
  <c r="P28" i="10"/>
  <c r="P36" i="10"/>
  <c r="P44" i="10"/>
  <c r="P52" i="10"/>
  <c r="P60" i="10"/>
  <c r="P68" i="10"/>
  <c r="P76" i="10"/>
  <c r="P84" i="10"/>
  <c r="P92" i="10"/>
  <c r="P100" i="10"/>
  <c r="P108" i="10"/>
  <c r="P116" i="10"/>
  <c r="P124" i="10"/>
  <c r="P132" i="10"/>
  <c r="P140" i="10"/>
  <c r="P148" i="10"/>
  <c r="P11" i="10"/>
  <c r="P19" i="10"/>
  <c r="P27" i="10"/>
  <c r="P35" i="10"/>
  <c r="P43" i="10"/>
  <c r="P51" i="10"/>
  <c r="P59" i="10"/>
  <c r="P67" i="10"/>
  <c r="P75" i="10"/>
  <c r="P83" i="10"/>
  <c r="P91" i="10"/>
  <c r="P99" i="10"/>
  <c r="P107" i="10"/>
  <c r="P115" i="10"/>
  <c r="P123" i="10"/>
  <c r="P131" i="10"/>
  <c r="P139" i="10"/>
  <c r="P147" i="10"/>
  <c r="P117" i="10"/>
  <c r="P133" i="10"/>
  <c r="P149" i="10"/>
  <c r="P14" i="10"/>
  <c r="P22" i="10"/>
  <c r="P30" i="10"/>
  <c r="P38" i="10"/>
  <c r="P46" i="10"/>
  <c r="P54" i="10"/>
  <c r="P62" i="10"/>
  <c r="P70" i="10"/>
  <c r="P78" i="10"/>
  <c r="P86" i="10"/>
  <c r="P94" i="10"/>
  <c r="P102" i="10"/>
  <c r="P110" i="10"/>
  <c r="P118" i="10"/>
  <c r="P126" i="10"/>
  <c r="P134" i="10"/>
  <c r="P142" i="10"/>
  <c r="P150" i="10"/>
  <c r="P13" i="10"/>
  <c r="P21" i="10"/>
  <c r="P29" i="10"/>
  <c r="P37" i="10"/>
  <c r="P45" i="10"/>
  <c r="P53" i="10"/>
  <c r="P61" i="10"/>
  <c r="P69" i="10"/>
  <c r="P77" i="10"/>
  <c r="P85" i="10"/>
  <c r="P93" i="10"/>
  <c r="P101" i="10"/>
  <c r="P109" i="10"/>
  <c r="P125" i="10"/>
  <c r="P141" i="10"/>
  <c r="E9" i="38"/>
  <c r="P16" i="10"/>
  <c r="P24" i="10"/>
  <c r="P32" i="10"/>
  <c r="P40" i="10"/>
  <c r="P48" i="10"/>
  <c r="P56" i="10"/>
  <c r="P64" i="10"/>
  <c r="P72" i="10"/>
  <c r="P80" i="10"/>
  <c r="P88" i="10"/>
  <c r="P96" i="10"/>
  <c r="P104" i="10"/>
  <c r="P112" i="10"/>
  <c r="P120" i="10"/>
  <c r="P128" i="10"/>
  <c r="P136" i="10"/>
  <c r="P144" i="10"/>
  <c r="P152" i="10"/>
  <c r="P15" i="10"/>
  <c r="P23" i="10"/>
  <c r="P31" i="10"/>
  <c r="P39" i="10"/>
  <c r="P47" i="10"/>
  <c r="P55" i="10"/>
  <c r="P63" i="10"/>
  <c r="P71" i="10"/>
  <c r="P79" i="10"/>
  <c r="P87" i="10"/>
  <c r="P95" i="10"/>
  <c r="P103" i="10"/>
  <c r="P111" i="10"/>
  <c r="P119" i="10"/>
  <c r="P127" i="10"/>
  <c r="P135" i="10"/>
  <c r="P143" i="10"/>
  <c r="P151" i="10"/>
  <c r="P105" i="10"/>
  <c r="P129" i="10"/>
  <c r="P145" i="10"/>
  <c r="Q3" i="10"/>
  <c r="D9" i="29"/>
  <c r="D9" i="34" s="1"/>
  <c r="E9" i="29"/>
  <c r="E9" i="34" s="1"/>
  <c r="C9" i="34"/>
  <c r="G9" i="29"/>
  <c r="G9" i="34" s="1"/>
  <c r="Q3" i="7"/>
  <c r="U3" i="2"/>
  <c r="H21" i="36"/>
  <c r="D31" i="29"/>
  <c r="E31" i="29"/>
  <c r="P3" i="10" l="1"/>
  <c r="P3" i="7"/>
</calcChain>
</file>

<file path=xl/comments1.xml><?xml version="1.0" encoding="utf-8"?>
<comments xmlns="http://schemas.openxmlformats.org/spreadsheetml/2006/main">
  <authors>
    <author>E00936</author>
  </authors>
  <commentList>
    <comment ref="K108" authorId="0">
      <text>
        <r>
          <rPr>
            <b/>
            <sz val="8"/>
            <color indexed="81"/>
            <rFont val="Tahoma"/>
            <family val="2"/>
          </rPr>
          <t>Using Ground Temperature</t>
        </r>
        <r>
          <rPr>
            <sz val="8"/>
            <color indexed="81"/>
            <rFont val="Tahoma"/>
            <family val="2"/>
          </rPr>
          <t xml:space="preserve">
So 140-60=80 (NC) and 140-70=70 (FL) and 70/80=.875, therefore we take the NC impacts and multiply by .875 to = FL impacts</t>
        </r>
      </text>
    </comment>
    <comment ref="K109" authorId="0">
      <text>
        <r>
          <rPr>
            <b/>
            <sz val="8"/>
            <color indexed="81"/>
            <rFont val="Tahoma"/>
            <family val="2"/>
          </rPr>
          <t xml:space="preserve">Using Ground Temperature
</t>
        </r>
        <r>
          <rPr>
            <sz val="8"/>
            <color indexed="81"/>
            <rFont val="Tahoma"/>
            <family val="2"/>
          </rPr>
          <t>So 140-60=80 (NC) and 140-70=70 (FL) and 70/80=.875, therefore we take the NC impacts and multiply by .875 to = FL impacts</t>
        </r>
      </text>
    </comment>
    <comment ref="K110" authorId="0">
      <text>
        <r>
          <rPr>
            <b/>
            <sz val="8"/>
            <color indexed="81"/>
            <rFont val="Tahoma"/>
            <family val="2"/>
          </rPr>
          <t>Using Ground Temperature</t>
        </r>
        <r>
          <rPr>
            <sz val="8"/>
            <color indexed="81"/>
            <rFont val="Tahoma"/>
            <family val="2"/>
          </rPr>
          <t xml:space="preserve">
So 140-60=80 (NC) and 140-70=70 (FL) and 70/80=.875, therefore we take the NC impacts and multiply by .875 to = FL impacts</t>
        </r>
      </text>
    </comment>
  </commentList>
</comments>
</file>

<file path=xl/comments2.xml><?xml version="1.0" encoding="utf-8"?>
<comments xmlns="http://schemas.openxmlformats.org/spreadsheetml/2006/main">
  <authors>
    <author>E00936</author>
    <author>OT07578</author>
  </authors>
  <commentList>
    <comment ref="F5" authorId="0">
      <text>
        <r>
          <rPr>
            <b/>
            <sz val="8"/>
            <color indexed="81"/>
            <rFont val="Tahoma"/>
            <family val="2"/>
          </rPr>
          <t>Using Ground Temperature</t>
        </r>
        <r>
          <rPr>
            <sz val="8"/>
            <color indexed="81"/>
            <rFont val="Tahoma"/>
            <family val="2"/>
          </rPr>
          <t xml:space="preserve">
So 140-60=80 (NC) and 140-70=70 (FL) and 70/80=.875, therefore we take the NC impacts and multiply by .875 to = FL impacts</t>
        </r>
      </text>
    </comment>
    <comment ref="F6" authorId="0">
      <text>
        <r>
          <rPr>
            <b/>
            <sz val="8"/>
            <color indexed="81"/>
            <rFont val="Tahoma"/>
            <family val="2"/>
          </rPr>
          <t xml:space="preserve">Using Ground Temperature
</t>
        </r>
        <r>
          <rPr>
            <sz val="8"/>
            <color indexed="81"/>
            <rFont val="Tahoma"/>
            <family val="2"/>
          </rPr>
          <t>So 140-60=80 (NC) and 140-70=70 (FL) and 70/80=.875, therefore we take the NC impacts and multiply by .875 to = FL impacts</t>
        </r>
      </text>
    </comment>
    <comment ref="F7" authorId="0">
      <text>
        <r>
          <rPr>
            <b/>
            <sz val="8"/>
            <color indexed="81"/>
            <rFont val="Tahoma"/>
            <family val="2"/>
          </rPr>
          <t>Using Ground Temperature</t>
        </r>
        <r>
          <rPr>
            <sz val="8"/>
            <color indexed="81"/>
            <rFont val="Tahoma"/>
            <family val="2"/>
          </rPr>
          <t xml:space="preserve">
So 140-60=80 (NC) and 140-70=70 (FL) and 70/80=.875, therefore we take the NC impacts and multiply by .875 to = FL impacts</t>
        </r>
      </text>
    </comment>
    <comment ref="F8" authorId="0">
      <text>
        <r>
          <rPr>
            <b/>
            <sz val="8"/>
            <color indexed="81"/>
            <rFont val="Tahoma"/>
            <family val="2"/>
          </rPr>
          <t>Using Ground Temperature</t>
        </r>
        <r>
          <rPr>
            <sz val="8"/>
            <color indexed="81"/>
            <rFont val="Tahoma"/>
            <family val="2"/>
          </rPr>
          <t xml:space="preserve">
So 140-60=80 (NC) and 140-70=70 (FL) and 70/80=.875, therefore we take the NC impacts and multiply by .875 to = FL impacts</t>
        </r>
      </text>
    </comment>
    <comment ref="F9" authorId="0">
      <text>
        <r>
          <rPr>
            <b/>
            <sz val="8"/>
            <color indexed="81"/>
            <rFont val="Tahoma"/>
            <family val="2"/>
          </rPr>
          <t>Using Ground Temperature</t>
        </r>
        <r>
          <rPr>
            <sz val="8"/>
            <color indexed="81"/>
            <rFont val="Tahoma"/>
            <family val="2"/>
          </rPr>
          <t xml:space="preserve">
So 140-60=80 (NC) and 140-70=70 (FL) and 70/80=.875, therefore we take the NC impacts and multiply by .875 to = FL impacts
</t>
        </r>
      </text>
    </comment>
    <comment ref="F10" authorId="0">
      <text>
        <r>
          <rPr>
            <b/>
            <sz val="8"/>
            <color indexed="81"/>
            <rFont val="Tahoma"/>
            <family val="2"/>
          </rPr>
          <t xml:space="preserve">Using Ground Temperature
</t>
        </r>
        <r>
          <rPr>
            <sz val="8"/>
            <color indexed="81"/>
            <rFont val="Tahoma"/>
            <family val="2"/>
          </rPr>
          <t xml:space="preserve">So 140-60=80 (NC) and 140-70=70 (FL) and 70/80=.875, therefore we take the NC impacts and multiply by .875 to = FL impacts
</t>
        </r>
      </text>
    </comment>
    <comment ref="F11" authorId="0">
      <text>
        <r>
          <rPr>
            <b/>
            <sz val="8"/>
            <color indexed="81"/>
            <rFont val="Tahoma"/>
            <family val="2"/>
          </rPr>
          <t>Using Ground Temperature</t>
        </r>
        <r>
          <rPr>
            <sz val="8"/>
            <color indexed="81"/>
            <rFont val="Tahoma"/>
            <family val="2"/>
          </rPr>
          <t xml:space="preserve">
So 140-60=80 (NC) and 140-70=70 (FL) and 70/80=.875, therefore we take the NC impacts and multiply by .875 to = FL impacts
</t>
        </r>
      </text>
    </comment>
    <comment ref="F12" authorId="0">
      <text>
        <r>
          <rPr>
            <b/>
            <sz val="8"/>
            <color indexed="81"/>
            <rFont val="Tahoma"/>
            <family val="2"/>
          </rPr>
          <t xml:space="preserve">Using Ground Temperature
</t>
        </r>
        <r>
          <rPr>
            <sz val="8"/>
            <color indexed="81"/>
            <rFont val="Tahoma"/>
            <family val="2"/>
          </rPr>
          <t>So 140-60=80 (NC) and 140-70=70 (FL) and 70/80=.875, therefore we take the NC impacts and multiply by .875 to = FL impacts</t>
        </r>
      </text>
    </comment>
    <comment ref="F14" authorId="1">
      <text>
        <r>
          <rPr>
            <b/>
            <sz val="8"/>
            <color indexed="81"/>
            <rFont val="Tahoma"/>
            <family val="2"/>
          </rPr>
          <t>OT07578:</t>
        </r>
        <r>
          <rPr>
            <sz val="8"/>
            <color indexed="81"/>
            <rFont val="Tahoma"/>
            <family val="2"/>
          </rPr>
          <t xml:space="preserve">
Additional HVAC savings</t>
        </r>
      </text>
    </comment>
  </commentList>
</comments>
</file>

<file path=xl/comments3.xml><?xml version="1.0" encoding="utf-8"?>
<comments xmlns="http://schemas.openxmlformats.org/spreadsheetml/2006/main">
  <authors>
    <author>OT07578</author>
  </authors>
  <commentList>
    <comment ref="D6" authorId="0">
      <text>
        <r>
          <rPr>
            <b/>
            <sz val="8"/>
            <color indexed="81"/>
            <rFont val="Tahoma"/>
            <family val="2"/>
          </rPr>
          <t>OT07578:</t>
        </r>
        <r>
          <rPr>
            <sz val="8"/>
            <color indexed="81"/>
            <rFont val="Tahoma"/>
            <family val="2"/>
          </rPr>
          <t xml:space="preserve">
Adjusted Base from ITRON given 60 W to new Base of 43 W
</t>
        </r>
      </text>
    </comment>
  </commentList>
</comments>
</file>

<file path=xl/comments4.xml><?xml version="1.0" encoding="utf-8"?>
<comments xmlns="http://schemas.openxmlformats.org/spreadsheetml/2006/main">
  <authors>
    <author>OT07578</author>
    <author>E00936</author>
  </authors>
  <commentList>
    <comment ref="F5" authorId="0">
      <text>
        <r>
          <rPr>
            <b/>
            <sz val="8"/>
            <color indexed="81"/>
            <rFont val="Tahoma"/>
            <family val="2"/>
          </rPr>
          <t>OT07578:</t>
        </r>
        <r>
          <rPr>
            <sz val="8"/>
            <color indexed="81"/>
            <rFont val="Tahoma"/>
            <family val="2"/>
          </rPr>
          <t xml:space="preserve">
Weather normalized 2008 sales (Ed Lynch)</t>
        </r>
      </text>
    </comment>
    <comment ref="F6" authorId="0">
      <text>
        <r>
          <rPr>
            <b/>
            <sz val="8"/>
            <color indexed="81"/>
            <rFont val="Tahoma"/>
            <family val="2"/>
          </rPr>
          <t>OT07578:</t>
        </r>
        <r>
          <rPr>
            <sz val="8"/>
            <color indexed="81"/>
            <rFont val="Tahoma"/>
            <family val="2"/>
          </rPr>
          <t xml:space="preserve">
Weather normalized 2012 sales (Vtable Ed Lynch)</t>
        </r>
      </text>
    </comment>
    <comment ref="H10" authorId="1">
      <text>
        <r>
          <rPr>
            <b/>
            <sz val="8"/>
            <color indexed="81"/>
            <rFont val="Tahoma"/>
            <family val="2"/>
          </rPr>
          <t>E00936:</t>
        </r>
        <r>
          <rPr>
            <sz val="8"/>
            <color indexed="81"/>
            <rFont val="Tahoma"/>
            <family val="2"/>
          </rPr>
          <t xml:space="preserve">
From 2013 TYSP
</t>
        </r>
      </text>
    </comment>
  </commentList>
</comments>
</file>

<file path=xl/sharedStrings.xml><?xml version="1.0" encoding="utf-8"?>
<sst xmlns="http://schemas.openxmlformats.org/spreadsheetml/2006/main" count="2654" uniqueCount="866">
  <si>
    <t>Base 13 SEER Split-System Air Conditioner &amp; Strip Heater</t>
  </si>
  <si>
    <t>15 SEER Split-System Air Conditioner</t>
  </si>
  <si>
    <t>17 SEER Split-System Air Conditioner</t>
  </si>
  <si>
    <t>19 SEER Split-System Air Conditioner</t>
  </si>
  <si>
    <t>14 SEER Split-System Heat Pump</t>
  </si>
  <si>
    <t>15 SEER Split-System Heat Pump</t>
  </si>
  <si>
    <t>17 SEER Split-System Heat Pump</t>
  </si>
  <si>
    <t>13 EER Geothermal Heat Pump</t>
  </si>
  <si>
    <t>HVAC Proper Sizing</t>
  </si>
  <si>
    <t>Attic Venting</t>
  </si>
  <si>
    <t>Sealed Attic w/Sprayed Foam Insulated Roof Deck</t>
  </si>
  <si>
    <t>AC Maintenance (Outdoor Coil Cleaning)</t>
  </si>
  <si>
    <t>AC Maintenance (Indoor Coil Cleaning)</t>
  </si>
  <si>
    <t>Proper Refrigerant Charging and Air Flow</t>
  </si>
  <si>
    <t>Electronically Commutated Motors (ECM) on an Air Handler Unit</t>
  </si>
  <si>
    <t>Duct Repair</t>
  </si>
  <si>
    <t>Reflective Roof</t>
  </si>
  <si>
    <t>Radient Barrier</t>
  </si>
  <si>
    <t>Window Film</t>
  </si>
  <si>
    <t>Window Tinting</t>
  </si>
  <si>
    <t>Default Window With Sunscreen</t>
  </si>
  <si>
    <t>Single Pane Clear Windows to Double Pane Low-E Windows</t>
  </si>
  <si>
    <t>Ceiling R-0 to R-19 Insulation</t>
  </si>
  <si>
    <t>Ceiling R-19 to R-38 Insulation</t>
  </si>
  <si>
    <t>Wall 2x4 R-0 to Blow-In R-13 Insulation</t>
  </si>
  <si>
    <t xml:space="preserve">Weather Strip/Caulk w/Blower Door </t>
  </si>
  <si>
    <t>Base 13 SEER Split-System Heat Pump</t>
  </si>
  <si>
    <t>Sealed Attics</t>
  </si>
  <si>
    <t>Base 13 SEER Split-System Air Conditioner &amp; Gas Heat</t>
  </si>
  <si>
    <t>Base 9 EER Room Air Conditioner &amp; Strip Heater</t>
  </si>
  <si>
    <t>HE Room Air Conditioner - EER 11</t>
  </si>
  <si>
    <t>HE Room Air Conditioner - EER 12</t>
  </si>
  <si>
    <t xml:space="preserve">Base Lighting (60-Watt incandescent), 0.5 hr/hday </t>
  </si>
  <si>
    <t>CFL (18-Watt integral ballast), 0.5 hr/day</t>
  </si>
  <si>
    <t>Base Lighting (60-Watt incandescent), 2.5 hr/hday</t>
  </si>
  <si>
    <t>CFL (18-Watt integral ballast), 2.5 hr/day</t>
  </si>
  <si>
    <t>Base Lighting (60-Watt incandescent), 6.0 hr/hday</t>
  </si>
  <si>
    <t>CFL (18-Watt integral ballast), 6.0 hr/day</t>
  </si>
  <si>
    <t>Base Fluorescent Fixture, 2L4'T12, 40W, 1EEMAG</t>
  </si>
  <si>
    <t>ROB 2L4'T8, 1EB</t>
  </si>
  <si>
    <t>RET 2L4'T8, 1EB</t>
  </si>
  <si>
    <t>Base Outdoor Lighting</t>
  </si>
  <si>
    <t>CFL - medium screw based &lt;30 Watts</t>
  </si>
  <si>
    <t>Photocell/timeclock</t>
  </si>
  <si>
    <t>Base Refrigerator (18 cf w/top-mount freezer, no through-door ice)</t>
  </si>
  <si>
    <t>HE Refrigerator - Energy Star version of above</t>
  </si>
  <si>
    <t>Base Freezer</t>
  </si>
  <si>
    <t>HE Freezer</t>
  </si>
  <si>
    <t>Base 40 gal. Water Heating (EF=0.92)</t>
  </si>
  <si>
    <t>Heat Pump Water Heater (EF=2.9)</t>
  </si>
  <si>
    <t>HE Water Heater (EF=0.93)</t>
  </si>
  <si>
    <t>Solar Water Heat</t>
  </si>
  <si>
    <t>AC Heat Recovery Units</t>
  </si>
  <si>
    <t>Low Flow Showerhead</t>
  </si>
  <si>
    <t>Pipe Wrap</t>
  </si>
  <si>
    <t>Faucet Aerators</t>
  </si>
  <si>
    <t>Water Heater Blanket</t>
  </si>
  <si>
    <t>Water Heater Temperature Check and Adjustment</t>
  </si>
  <si>
    <t>Water Heater Timeclock</t>
  </si>
  <si>
    <t>Heat Trap</t>
  </si>
  <si>
    <t>Base Clotheswasher (MEF=1.6)</t>
  </si>
  <si>
    <t>Energy Star CW CEE Tier 1 (MEF=1.8)</t>
  </si>
  <si>
    <t>Energy Star CW CEE Tier 2 (MEF=2.0)</t>
  </si>
  <si>
    <t>Energy Star CW CEE Tier 3 (MEF=2.2)</t>
  </si>
  <si>
    <t>Base Clothes Dryer (EF=3.01)</t>
  </si>
  <si>
    <t>High Efficiency CD (EF=3.01 w/moisture sensor)</t>
  </si>
  <si>
    <t>Base Dishwasher (EF=0.46)</t>
  </si>
  <si>
    <t>Energy Star DW (EF=0.68)</t>
  </si>
  <si>
    <t>Base Pool Pump and Motor (1.5 hp)</t>
  </si>
  <si>
    <t>Two Speed Pool Pump  (1.5 hp)</t>
  </si>
  <si>
    <t>High Efficiency One Speed Pool Pump  (1.5 hp)</t>
  </si>
  <si>
    <t>Variable-Speed Pool Pump (&lt;1 hp)</t>
  </si>
  <si>
    <t>PV-Powered Pool Pumps</t>
  </si>
  <si>
    <t>Base CRT TV</t>
  </si>
  <si>
    <t>Energy Star TV</t>
  </si>
  <si>
    <t>Base Large-screen TV</t>
  </si>
  <si>
    <t>Base Set-Top Box</t>
  </si>
  <si>
    <t>Energy Star Set-Top Box</t>
  </si>
  <si>
    <t>Base DVD Player</t>
  </si>
  <si>
    <t>Energy Star DVD Player</t>
  </si>
  <si>
    <t>Base VCR</t>
  </si>
  <si>
    <t>Energy Star VCR</t>
  </si>
  <si>
    <t>Base Desktop PC</t>
  </si>
  <si>
    <t>Energy Star Desktop PC</t>
  </si>
  <si>
    <t>Base Laptop PC</t>
  </si>
  <si>
    <t>Energy Star Laptop PC</t>
  </si>
  <si>
    <t>Measure #</t>
  </si>
  <si>
    <t>Measure</t>
  </si>
  <si>
    <t>LEGEND:</t>
  </si>
  <si>
    <t>Vending Misers (cooled machines only)</t>
  </si>
  <si>
    <t>Base Vending Machines</t>
  </si>
  <si>
    <t>Efficient Fryer</t>
  </si>
  <si>
    <t>Base Commercial Fryers</t>
  </si>
  <si>
    <t>Convection Oven</t>
  </si>
  <si>
    <t>Base Commercial Ovens</t>
  </si>
  <si>
    <t>Printer Power Management Enabling</t>
  </si>
  <si>
    <t>Base Laser Printer</t>
  </si>
  <si>
    <t>Copier Power Management Enabling</t>
  </si>
  <si>
    <t>Energy Star or Better Copier</t>
  </si>
  <si>
    <t>Base Copier</t>
  </si>
  <si>
    <t>Monitor Power Management Enabling</t>
  </si>
  <si>
    <t>Energy Star or Better Monitor</t>
  </si>
  <si>
    <t>Base Monitor, LCD</t>
  </si>
  <si>
    <t>Base Monitor, CRT</t>
  </si>
  <si>
    <t>PC Network Power Management Enabling</t>
  </si>
  <si>
    <t>PC Manual Power Management Enabling</t>
  </si>
  <si>
    <t xml:space="preserve">Base Desktop PC </t>
  </si>
  <si>
    <t>Hot Water Pipe Insulation</t>
  </si>
  <si>
    <t>Heat Recovery Unit</t>
  </si>
  <si>
    <t>Demand controlled circulating systems</t>
  </si>
  <si>
    <t>Solar Water Heater</t>
  </si>
  <si>
    <t>Heat Pump Water Heater (air source)</t>
  </si>
  <si>
    <t>High Efficiency Water Heater (electric)</t>
  </si>
  <si>
    <t>Base Water Heating</t>
  </si>
  <si>
    <t>LED Display Lighting</t>
  </si>
  <si>
    <t>Freezer-Cooler Replacement Gaskets</t>
  </si>
  <si>
    <t>Oversized Air Cooled Condenser</t>
  </si>
  <si>
    <t>Multiplex Compressor System</t>
  </si>
  <si>
    <t>High R-Value Glass Doors</t>
  </si>
  <si>
    <t>Anti-sweat (humidistat) controls</t>
  </si>
  <si>
    <t>Demand Defrost Electric</t>
  </si>
  <si>
    <t xml:space="preserve">Demand Hot Gas Defrost </t>
  </si>
  <si>
    <t>Refrigeration Commissioning</t>
  </si>
  <si>
    <t>Floating head pressure controls</t>
  </si>
  <si>
    <t>Compressor VSD retrofit</t>
  </si>
  <si>
    <t xml:space="preserve">Efficient compressor motor </t>
  </si>
  <si>
    <t>Evaporator fan controller for MT walk-ins</t>
  </si>
  <si>
    <t>Night covers for display cases</t>
  </si>
  <si>
    <t>Strip curtains for walk-ins</t>
  </si>
  <si>
    <t>High-efficiency fan motors</t>
  </si>
  <si>
    <t>Base Refrigeration System</t>
  </si>
  <si>
    <t>Separate Makeup Air / Exhaust Hoods AC</t>
  </si>
  <si>
    <t>Energy Recovery Ventilation (ERV)</t>
  </si>
  <si>
    <t>Demand Control Ventilation (DCV)</t>
  </si>
  <si>
    <t>Air Handler Optimization</t>
  </si>
  <si>
    <t>Variable Speed Drive Control</t>
  </si>
  <si>
    <t>Base Fan Motor, 15hp, 1800rpm, 91.0%</t>
  </si>
  <si>
    <t>Occupancy Sensor (hotels)</t>
  </si>
  <si>
    <t>HE PTAC, EER=9.6, 1 ton</t>
  </si>
  <si>
    <t>Base PTAC, EER=8.3, 1 ton</t>
  </si>
  <si>
    <t>Cool Roof - DX</t>
  </si>
  <si>
    <t>Roof Insulation</t>
  </si>
  <si>
    <t xml:space="preserve">Ceiling Insulation </t>
  </si>
  <si>
    <t>Window Film (Standard)</t>
  </si>
  <si>
    <t>Duct/Pipe Insulation</t>
  </si>
  <si>
    <t>Aerosole Duct Sealing</t>
  </si>
  <si>
    <t>Geothermal Heat Pump, EER=13, 10 tons</t>
  </si>
  <si>
    <t>Packaged HP System, EER=10.9, 10 tons</t>
  </si>
  <si>
    <t>Base Packaged HP System, EER=10.3, 10 tons</t>
  </si>
  <si>
    <t>Optimize Controls</t>
  </si>
  <si>
    <t>DX Coil Cleaning</t>
  </si>
  <si>
    <t>DX Tune Up/ Advanced Diagnostics</t>
  </si>
  <si>
    <t>Hybrid Dessicant-DX System (Trane CDQ)</t>
  </si>
  <si>
    <t>DX Packaged System, EER=10.9, 10 tons</t>
  </si>
  <si>
    <t>Base DX Packaged System, EER=10.3, 10 tons</t>
  </si>
  <si>
    <t>Thermal Energy Storage (TES)</t>
  </si>
  <si>
    <t>Cool Roof - Chiller</t>
  </si>
  <si>
    <t>EMS Optimization</t>
  </si>
  <si>
    <t>VSD for Chiller Pumps and Towers</t>
  </si>
  <si>
    <t>Chiller Tune Up/Diagnostics</t>
  </si>
  <si>
    <t xml:space="preserve">EMS - Chiller </t>
  </si>
  <si>
    <t>High Efficiency Chiller Motors</t>
  </si>
  <si>
    <t>Centrifugal Chiller, 0.51 kW/ton, 500 tons</t>
  </si>
  <si>
    <t>Base Centrifugal Chiller, 0.58 kW/ton, 500 tons</t>
  </si>
  <si>
    <t>Outdoor Lighting Controls (Photocell/Timeclock)</t>
  </si>
  <si>
    <t>Base Outdoor HID Lamp</t>
  </si>
  <si>
    <t>High Pressure Sodium 250W Lamp</t>
  </si>
  <si>
    <t>Base Outdoor Mercury Vapor 400W Lamp</t>
  </si>
  <si>
    <t>LED Exit Sign</t>
  </si>
  <si>
    <t>Base Exit Sign</t>
  </si>
  <si>
    <t>High Bay T5</t>
  </si>
  <si>
    <t>PSMH, 250 W, electronic ballast</t>
  </si>
  <si>
    <t>PSMH, 250W, magnetic ballast</t>
  </si>
  <si>
    <t>Base High Bay Mercury Vapor, 400W</t>
  </si>
  <si>
    <t>Base CFL</t>
  </si>
  <si>
    <t>CFL Hardwired, Modular 18W</t>
  </si>
  <si>
    <t xml:space="preserve">Base Incandescent Flood, 75W to Hardwired CFL </t>
  </si>
  <si>
    <t>CFL Screw-in 18W</t>
  </si>
  <si>
    <t>Base Incandescent Flood, 75W  to Screw-in CFL</t>
  </si>
  <si>
    <t>Lighting Control Tuneup</t>
  </si>
  <si>
    <t>Occupancy Sensor</t>
  </si>
  <si>
    <t>ROB Premium T8, EB, Reflector</t>
  </si>
  <si>
    <t>ROB Premium T8, 1EB</t>
  </si>
  <si>
    <t>Base T8, EB</t>
  </si>
  <si>
    <t>Continuous Dimming</t>
  </si>
  <si>
    <t>Premium T8, EB, Reflector</t>
  </si>
  <si>
    <t>Premium T8, Elecctronic Ballast</t>
  </si>
  <si>
    <t>Base Fluorescent Fixture, T12, 34W, EB</t>
  </si>
  <si>
    <t>Base Compressed Air</t>
  </si>
  <si>
    <t>Compressed Air-O&amp;M</t>
  </si>
  <si>
    <t>Compressed Air - Controls</t>
  </si>
  <si>
    <t>Compressed Air - System Optimization</t>
  </si>
  <si>
    <t>Compressed Air- Sizing</t>
  </si>
  <si>
    <t>Comp Air - Replace 1-5 HP motor</t>
  </si>
  <si>
    <t>Comp Air - ASD (1-5 hp)</t>
  </si>
  <si>
    <t>Comp Air - Motor practices-1 (1-5 HP)</t>
  </si>
  <si>
    <t>Comp Air - Replace 6-100 HP motor</t>
  </si>
  <si>
    <t>Comp Air - ASD (6-100 hp)</t>
  </si>
  <si>
    <t>Comp Air - Motor practices-1 (6-100 HP)</t>
  </si>
  <si>
    <t>Comp Air - Replace 100+ HP motor</t>
  </si>
  <si>
    <t>Comp Air - ASD (100+ hp)</t>
  </si>
  <si>
    <t>Comp Air - Motor practices-1 (100+ HP)</t>
  </si>
  <si>
    <t>Power recovery</t>
  </si>
  <si>
    <t>Refinery Controls</t>
  </si>
  <si>
    <t>Base Fans</t>
  </si>
  <si>
    <t>Fans - O&amp;M</t>
  </si>
  <si>
    <t>Fans - Controls</t>
  </si>
  <si>
    <t>Fans - System Optimization</t>
  </si>
  <si>
    <t>Fans- Improve components</t>
  </si>
  <si>
    <t>Fans - Replace 1-5 HP motor</t>
  </si>
  <si>
    <t>Fans - ASD (1-5 hp)</t>
  </si>
  <si>
    <t>Fans - Motor practices-1 (1-5 HP)</t>
  </si>
  <si>
    <t>Fans - Replace 6-100 HP motor</t>
  </si>
  <si>
    <t>Fans - ASD (6-100 hp)</t>
  </si>
  <si>
    <t>Fans - Motor practices-1 (6-100 HP)</t>
  </si>
  <si>
    <t>Fans - Replace 100+ HP motor</t>
  </si>
  <si>
    <t>Fans - ASD (100+ hp)</t>
  </si>
  <si>
    <t>Fans - Motor practices-1 (100+ HP)</t>
  </si>
  <si>
    <t>Optimize drying process</t>
  </si>
  <si>
    <t>Base Pumps</t>
  </si>
  <si>
    <t>Pumps - O&amp;M</t>
  </si>
  <si>
    <t>Pumps - Controls</t>
  </si>
  <si>
    <t>Pumps - System Optimization</t>
  </si>
  <si>
    <t>Pumps - Sizing</t>
  </si>
  <si>
    <t>Pumps - Replace 1-5 HP motor</t>
  </si>
  <si>
    <t>Pumps - ASD (1-5 hp)</t>
  </si>
  <si>
    <t>Pumps - Motor practices-1 (1-5 HP)</t>
  </si>
  <si>
    <t>Pumps - Replace 6-100 HP motor</t>
  </si>
  <si>
    <t>Pumps - ASD (6-100 hp)</t>
  </si>
  <si>
    <t>Pumps - Motor practices-1 (6-100 HP)</t>
  </si>
  <si>
    <t>Pumps - Replace 100+ HP motor</t>
  </si>
  <si>
    <t>Pumps - ASD (100+ hp)</t>
  </si>
  <si>
    <t>Pumps - Motor practices-1 (100+ HP)</t>
  </si>
  <si>
    <t>Base Drives</t>
  </si>
  <si>
    <t>Bakery - Process (Mixing) - O&amp;M</t>
  </si>
  <si>
    <t>O&amp;M/drives spinning machines</t>
  </si>
  <si>
    <t>Air conveying systems</t>
  </si>
  <si>
    <t>Replace V-Belts</t>
  </si>
  <si>
    <t>Drives - EE motor</t>
  </si>
  <si>
    <t>Gap Forming papermachine</t>
  </si>
  <si>
    <t>High Consistency forming</t>
  </si>
  <si>
    <t>Optimization control PM</t>
  </si>
  <si>
    <t>Efficient practices printing press</t>
  </si>
  <si>
    <t>Efficient Printing press (fewer cylinders)</t>
  </si>
  <si>
    <t>Light cylinders</t>
  </si>
  <si>
    <t>Efficient drives</t>
  </si>
  <si>
    <t>Clean Room - Controls</t>
  </si>
  <si>
    <t>Clean Room - New Designs</t>
  </si>
  <si>
    <t>Drives - Process Controls (batch + site)</t>
  </si>
  <si>
    <t>Process Drives - ASD</t>
  </si>
  <si>
    <t>O&amp;M - Extruders/Injection Moulding</t>
  </si>
  <si>
    <t>Extruders/injection Moulding-multipump</t>
  </si>
  <si>
    <t>Direct drive Extruders</t>
  </si>
  <si>
    <t>Injection Moulding - Impulse Cooling</t>
  </si>
  <si>
    <t>Injection Moulding - Direct drive</t>
  </si>
  <si>
    <t>Efficient grinding</t>
  </si>
  <si>
    <t>Process control</t>
  </si>
  <si>
    <t>Process optimization</t>
  </si>
  <si>
    <t>Drives - Process Control</t>
  </si>
  <si>
    <t>Efficient drives - rolling</t>
  </si>
  <si>
    <t>Drives - Optimization process (M&amp;T)</t>
  </si>
  <si>
    <t>Drives - Scheduling</t>
  </si>
  <si>
    <t>Machinery</t>
  </si>
  <si>
    <t>Efficient Machinery</t>
  </si>
  <si>
    <t>Base Heating</t>
  </si>
  <si>
    <t>Bakery - Process</t>
  </si>
  <si>
    <t>Drying (UV/IR)</t>
  </si>
  <si>
    <t>Heat Pumps - Drying</t>
  </si>
  <si>
    <t>Top-heating (glass)</t>
  </si>
  <si>
    <t>Efficient electric melting</t>
  </si>
  <si>
    <t>Intelligent extruder (DOE)</t>
  </si>
  <si>
    <t>Near Net Shape Casting</t>
  </si>
  <si>
    <t>Heating - Process Control</t>
  </si>
  <si>
    <t>Efficient Curing ovens</t>
  </si>
  <si>
    <t>Heating - Optimization process (M&amp;T)</t>
  </si>
  <si>
    <t>Heating - Scheduling</t>
  </si>
  <si>
    <t>Base Refrigeration</t>
  </si>
  <si>
    <t>Efficient Refrigeration - Operations</t>
  </si>
  <si>
    <t>Optimization Refrigeration</t>
  </si>
  <si>
    <t>Base Other Process</t>
  </si>
  <si>
    <t>Other Process Controls (batch + site)</t>
  </si>
  <si>
    <t>Efficient desalter</t>
  </si>
  <si>
    <t>New transformers welding</t>
  </si>
  <si>
    <t>Efficient processes (welding, etc.)</t>
  </si>
  <si>
    <t>EMS Optimization - Chiller</t>
  </si>
  <si>
    <t>Aerosole Duct Sealing - Chiller</t>
  </si>
  <si>
    <t>Duct/Pipe Insulation - Chiller</t>
  </si>
  <si>
    <t>Window Film (Standard) - Chiller</t>
  </si>
  <si>
    <t>Roof Insulation - Chiller</t>
  </si>
  <si>
    <t>Base Lighting</t>
  </si>
  <si>
    <t>Base Other</t>
  </si>
  <si>
    <t>Replace V-belts</t>
  </si>
  <si>
    <t>Membranes for wastewater</t>
  </si>
  <si>
    <t>new baseline</t>
  </si>
  <si>
    <t>old/remove</t>
  </si>
  <si>
    <t xml:space="preserve">Base Lighting (43-Watt incandescent), 0.5 hr/hday </t>
  </si>
  <si>
    <t>Base Lighting (43-Watt incandescent), 2.5 hr/hday</t>
  </si>
  <si>
    <t>Base Lighting (43-Watt incandescent), 6.0 hr/hday</t>
  </si>
  <si>
    <t>affected measures</t>
  </si>
  <si>
    <t>dependent</t>
  </si>
  <si>
    <t>Base T8</t>
  </si>
  <si>
    <t>Base 40 gal. Water Heating (EF=0.948)</t>
  </si>
  <si>
    <t xml:space="preserve">DOE </t>
  </si>
  <si>
    <t>Larry / Abel</t>
  </si>
  <si>
    <t>FBC 2013</t>
  </si>
  <si>
    <t>New DOE standard</t>
  </si>
  <si>
    <t>http://www1.eere.energy.gov/buildings/appliance_standards/product.aspx/productid/75</t>
  </si>
  <si>
    <t xml:space="preserve">TABLE C403.2.3(1) MINIMUM EFFICIENCY REQUIREMENTS: ELECTRICALLY OPERATED UNITARY AIR CONDITIONERS AND CONDENSING UNITS </t>
  </si>
  <si>
    <t>http://publicecodes.cyberregs.com/icod/iecc/2012/icod_iecc_2012_ce4_sec003.htm?bu=IC-P-2012-000014&amp;bu2=IC-P-2012-000019</t>
  </si>
  <si>
    <t>FPL</t>
  </si>
  <si>
    <t>Base DX Packaged System, EER=11.2, 10 tons</t>
  </si>
  <si>
    <t>Base Packaged HP System, EER=11.0, 10 tons</t>
  </si>
  <si>
    <t>Base HE PTAC, EER=10.2, 1 ton</t>
  </si>
  <si>
    <t xml:space="preserve">TABLE C403.2.3(3) MINIMUM EFFICIENCY REQUIREMENTS: ELECTRICALLY OPERATED UNITARY AIR CONDITIONERS AND CONDENSING UNITS </t>
  </si>
  <si>
    <t xml:space="preserve">TABLE C403.2.3(2) MINIMUM EFFICIENCY REQUIREMENTS: ELECTRICALLY OPERATED UNITARY AIR CONDITIONERS AND CONDENSING UNITS </t>
  </si>
  <si>
    <t>Base 14 SEER Split-System Air Conditioner</t>
  </si>
  <si>
    <t>Base 14 SEER Split-System Heat Pump</t>
  </si>
  <si>
    <t>EISA 2007 NEMA Premium ordinance - New base efficiencies</t>
  </si>
  <si>
    <t>New Base Compressed Air</t>
  </si>
  <si>
    <t>New Base Fans</t>
  </si>
  <si>
    <t>Based on EISA 2007</t>
  </si>
  <si>
    <t>New Base Pumps</t>
  </si>
  <si>
    <t>p477</t>
  </si>
  <si>
    <t>new EF=0.948, DUKE p474</t>
  </si>
  <si>
    <t>p473</t>
  </si>
  <si>
    <t>p472</t>
  </si>
  <si>
    <t>10 CFR Ch.II  1-1-12</t>
  </si>
  <si>
    <t>p484</t>
  </si>
  <si>
    <t>p470-471</t>
  </si>
  <si>
    <t>p471</t>
  </si>
  <si>
    <r>
      <rPr>
        <strike/>
        <sz val="11"/>
        <rFont val="Calibri"/>
        <family val="2"/>
        <scheme val="minor"/>
      </rPr>
      <t>High Efficiency</t>
    </r>
    <r>
      <rPr>
        <sz val="11"/>
        <rFont val="Calibri"/>
        <family val="2"/>
        <scheme val="minor"/>
      </rPr>
      <t xml:space="preserve">  Base Fan Motor, 15hp, 1800rpm, 92.4%</t>
    </r>
  </si>
  <si>
    <t>Comments</t>
  </si>
  <si>
    <t>I/O</t>
  </si>
  <si>
    <t>Residential</t>
  </si>
  <si>
    <t>I</t>
  </si>
  <si>
    <t>i</t>
  </si>
  <si>
    <t>Directional LED (outdoor)</t>
  </si>
  <si>
    <t>O</t>
  </si>
  <si>
    <t>LED Lighting</t>
  </si>
  <si>
    <t>Specialty CFL/LED</t>
  </si>
  <si>
    <t>Recessed, candelabra, etc</t>
  </si>
  <si>
    <t>2-Time Incandescent</t>
  </si>
  <si>
    <t>Refrigerator Recycling</t>
  </si>
  <si>
    <t>Appliance Recycling Programs</t>
  </si>
  <si>
    <t>Freezers also</t>
  </si>
  <si>
    <t>BBEE - Audit Education</t>
  </si>
  <si>
    <t>Not included in 25-170021</t>
  </si>
  <si>
    <t>BBEE - Comparative Reports</t>
  </si>
  <si>
    <t>Spectrally Selective Window Film</t>
  </si>
  <si>
    <t>Energy impact same, but more attractive</t>
  </si>
  <si>
    <t>In-Home displays (subset of behavior)</t>
  </si>
  <si>
    <t>Smart Thermostats (communicating)</t>
  </si>
  <si>
    <t>DR measure</t>
  </si>
  <si>
    <t>Smart Plugs/Power Strips</t>
  </si>
  <si>
    <t>Variable refrigerant flow heat pumps</t>
  </si>
  <si>
    <t>Ductless heat pumps</t>
  </si>
  <si>
    <t>program design, part of our current program</t>
  </si>
  <si>
    <t>Residential Direct Install programs</t>
  </si>
  <si>
    <t>Really more of a program design (include?)</t>
  </si>
  <si>
    <t>Business</t>
  </si>
  <si>
    <t>C/I</t>
  </si>
  <si>
    <t>LED Troffers</t>
  </si>
  <si>
    <t xml:space="preserve">LED High Bay </t>
  </si>
  <si>
    <t>LED Flood</t>
  </si>
  <si>
    <t>LED Outdoor Lighting</t>
  </si>
  <si>
    <t>LED Traffic Lights</t>
  </si>
  <si>
    <t>new code</t>
  </si>
  <si>
    <t>LED A19</t>
  </si>
  <si>
    <t>Hybrid Desiccant Heat Pump</t>
  </si>
  <si>
    <t>HVAC Runtime Optimizer</t>
  </si>
  <si>
    <t>C</t>
  </si>
  <si>
    <t>Combined Heat and Power</t>
  </si>
  <si>
    <t>May be in Cogen measures (existing defense to exclude?)</t>
  </si>
  <si>
    <t>Data Center Power measures</t>
  </si>
  <si>
    <t>Low Flow water fixtures</t>
  </si>
  <si>
    <t>Retro Commissioning</t>
  </si>
  <si>
    <t>Low/no cost measures from audits</t>
  </si>
  <si>
    <t>Energy Mgmt Info Systems</t>
  </si>
  <si>
    <t>Look to exclude? Same issue</t>
  </si>
  <si>
    <t>Base Refrigerator (18 cf w/top-mount freezer, no through-door ice) -10%</t>
  </si>
  <si>
    <t>Base Freezer -25%</t>
  </si>
  <si>
    <t>Base 10 EER Room Air Conditioner &amp; Strip Heater</t>
  </si>
  <si>
    <t>p479</t>
  </si>
  <si>
    <t>Base Fluorescent Fixture, 2L4'T12, 34W, 1EE</t>
  </si>
  <si>
    <t>Base Clothes Dryer (EF=3.73)</t>
  </si>
  <si>
    <t>becomes 3.73 w/sensor?</t>
  </si>
  <si>
    <t>DEF</t>
  </si>
  <si>
    <t>System Growth</t>
  </si>
  <si>
    <t>GWH</t>
  </si>
  <si>
    <t>MW</t>
  </si>
  <si>
    <t>Original GWH</t>
  </si>
  <si>
    <t>ROB-adjusted savings</t>
  </si>
  <si>
    <t>Adj Factor MW</t>
  </si>
  <si>
    <t>New GWH</t>
  </si>
  <si>
    <t>New SMW</t>
  </si>
  <si>
    <t>New WMW</t>
  </si>
  <si>
    <t>Adj Factor</t>
  </si>
  <si>
    <t>ROB GWH</t>
  </si>
  <si>
    <t>SMW</t>
  </si>
  <si>
    <t>WMW</t>
  </si>
  <si>
    <t>Lighing Control Tuneup</t>
  </si>
  <si>
    <t>PSMH, magnetic ballast</t>
  </si>
  <si>
    <t>Optimize Controls - DX</t>
  </si>
  <si>
    <t>High Efficiency Fan Motor, 15hp, 1800rpm, 92.4%</t>
  </si>
  <si>
    <t>Efficient compressor motor retrofit</t>
  </si>
  <si>
    <t>Vending Misers</t>
  </si>
  <si>
    <t>DUKE</t>
  </si>
  <si>
    <t>Sum SMW</t>
  </si>
  <si>
    <t>Sum WMW</t>
  </si>
  <si>
    <t>Sum GWH</t>
  </si>
  <si>
    <t>Total</t>
  </si>
  <si>
    <t>Cumulative</t>
  </si>
  <si>
    <t>(from M_BAERE_PEF.XLS)</t>
  </si>
  <si>
    <t>Cost</t>
  </si>
  <si>
    <t>RET=1</t>
  </si>
  <si>
    <t>ROB Adj</t>
  </si>
  <si>
    <t>2013 Adjusted Values</t>
  </si>
  <si>
    <t>Number</t>
  </si>
  <si>
    <t>Savings</t>
  </si>
  <si>
    <t>Life</t>
  </si>
  <si>
    <t>ROB=2</t>
  </si>
  <si>
    <t>Adj Factor GWH</t>
  </si>
  <si>
    <t>Adj Factor  GWH</t>
  </si>
  <si>
    <t>duke</t>
  </si>
  <si>
    <t>Eff? / Cap?</t>
  </si>
  <si>
    <t>EF=1.944</t>
  </si>
  <si>
    <t>hvac vs heat pump</t>
  </si>
  <si>
    <t>Building Type 1</t>
  </si>
  <si>
    <t>vs 13</t>
  </si>
  <si>
    <t>vs 14</t>
  </si>
  <si>
    <t>"delta savings%"</t>
  </si>
  <si>
    <t>Measure Description</t>
  </si>
  <si>
    <t>14 SEER Split-System Air Conditioner</t>
  </si>
  <si>
    <t>Itron - M File</t>
  </si>
  <si>
    <t>From ITRON M File</t>
  </si>
  <si>
    <t>KB</t>
  </si>
  <si>
    <t>DX Packaged System, EER=11.9, 10 tons</t>
  </si>
  <si>
    <t>321A</t>
  </si>
  <si>
    <t>341A</t>
  </si>
  <si>
    <t>Packaged HP System, EER=11.7, 10 tons</t>
  </si>
  <si>
    <t>Base DX Packaged System, EER=11.9, 10 tons</t>
  </si>
  <si>
    <t>721A</t>
  </si>
  <si>
    <t>New Measures</t>
  </si>
  <si>
    <t>Freezer recycling</t>
  </si>
  <si>
    <t>Refrigerator recycling</t>
  </si>
  <si>
    <t>Smart Plug</t>
  </si>
  <si>
    <t>New Measure</t>
  </si>
  <si>
    <t>0.5 Faucet Aerator (DI) - Commercial, public use</t>
  </si>
  <si>
    <t>0.5 gpm Faucet Aerator (DI) - COMM, pvt use</t>
  </si>
  <si>
    <t>0.5 gpm Faucet Aerator (DI) - School, public use</t>
  </si>
  <si>
    <t>1.0 Faucet Aerator (DI) - Commercial, public use</t>
  </si>
  <si>
    <t>1.0 gpm Faucet Aerator (DI) - COMM, pvt use</t>
  </si>
  <si>
    <t>1.0 gpm Faucet Aerator (DI) - School, public use</t>
  </si>
  <si>
    <t>1.5 gpm Low Flow Showerhead (DI) - COMM, public use</t>
  </si>
  <si>
    <t>1.5 gpm Low Flow Showerhead (DI) - COMM, pvt use</t>
  </si>
  <si>
    <t>Server Virtualization</t>
  </si>
  <si>
    <t xml:space="preserve">Duke Energy Florida Measures for Technical Potential </t>
  </si>
  <si>
    <t>Measure Name</t>
  </si>
  <si>
    <t>Original SKW</t>
  </si>
  <si>
    <t>Original WKW</t>
  </si>
  <si>
    <t>Original KWH</t>
  </si>
  <si>
    <t>FL Adj Factor</t>
  </si>
  <si>
    <t>FL SKW</t>
  </si>
  <si>
    <t>FL WKW</t>
  </si>
  <si>
    <t>FL KWH</t>
  </si>
  <si>
    <t xml:space="preserve"> FL Population</t>
  </si>
  <si>
    <t>FL Applicability</t>
  </si>
  <si>
    <t>Measure Life</t>
  </si>
  <si>
    <t>Baseline measure</t>
  </si>
  <si>
    <t>Low Flow Measures</t>
  </si>
  <si>
    <t>Appliance Recycling Measures</t>
  </si>
  <si>
    <t>Data Center Measures</t>
  </si>
  <si>
    <t>Plugs and Misc Measures</t>
  </si>
  <si>
    <t>Summer</t>
  </si>
  <si>
    <t>Winter</t>
  </si>
  <si>
    <t>Base</t>
  </si>
  <si>
    <t>Source</t>
  </si>
  <si>
    <t xml:space="preserve">Base Lighting (60-Watt incandescent), 0.5 hr/day </t>
  </si>
  <si>
    <t>F_Saere</t>
  </si>
  <si>
    <t>S_Saere, ROB Adjusted Factors</t>
  </si>
  <si>
    <t>CFL Adj. Factor</t>
  </si>
  <si>
    <t>Remaining after previous measure</t>
  </si>
  <si>
    <t>LED (12-Watt), 0.5 hr/day</t>
  </si>
  <si>
    <t>18w vs 43w</t>
  </si>
  <si>
    <t>12w vs 43</t>
  </si>
  <si>
    <t>incremental savings for LED</t>
  </si>
  <si>
    <t>LED (12-Watt), 2.5 hr/day</t>
  </si>
  <si>
    <t>LED (12-Watt), 6.0 hr/day</t>
  </si>
  <si>
    <t>Base Outdoor Lighting (75W)</t>
  </si>
  <si>
    <t>New Base</t>
  </si>
  <si>
    <t>LED 13W</t>
  </si>
  <si>
    <t>13w vs 53w</t>
  </si>
  <si>
    <t>Base Fridge</t>
  </si>
  <si>
    <t>Base Freeze</t>
  </si>
  <si>
    <t>Freeze Appliance Recycling</t>
  </si>
  <si>
    <t>Fridge Appliance Recycling</t>
  </si>
  <si>
    <t>E-Star Fridge</t>
  </si>
  <si>
    <t>E-Star Freezer</t>
  </si>
  <si>
    <t>Adj. Factor</t>
  </si>
  <si>
    <t>Incremental Savings</t>
  </si>
  <si>
    <t>Single</t>
  </si>
  <si>
    <t>Multi</t>
  </si>
  <si>
    <t>Manu</t>
  </si>
  <si>
    <t>Homes</t>
  </si>
  <si>
    <t>Cumulative GWH</t>
  </si>
  <si>
    <t>Fridge</t>
  </si>
  <si>
    <t>Freeze</t>
  </si>
  <si>
    <t>Incremental Fridge</t>
  </si>
  <si>
    <t>Incremental Freeze</t>
  </si>
  <si>
    <t>F_S</t>
  </si>
  <si>
    <t>Gulf Saturation 2007 (2 or more)</t>
  </si>
  <si>
    <t>ITRON</t>
  </si>
  <si>
    <t>New Measure Impact</t>
  </si>
  <si>
    <t>100 servers per</t>
  </si>
  <si>
    <t>PEF  Saturation 2010 (2 or more)</t>
  </si>
  <si>
    <t>Commercial Food Service Measures</t>
  </si>
  <si>
    <t xml:space="preserve">Summer  </t>
  </si>
  <si>
    <t xml:space="preserve">Winter  </t>
  </si>
  <si>
    <t>Energy kWh</t>
  </si>
  <si>
    <t>Peak kW</t>
  </si>
  <si>
    <t>Included in 2008</t>
  </si>
  <si>
    <t>#801</t>
  </si>
  <si>
    <t>Fryer</t>
  </si>
  <si>
    <t>#811</t>
  </si>
  <si>
    <t>Griddle</t>
  </si>
  <si>
    <t>No</t>
  </si>
  <si>
    <t>Steamer</t>
  </si>
  <si>
    <t>Holding Cabinet</t>
  </si>
  <si>
    <t>Ice Machine</t>
  </si>
  <si>
    <t>LED 13W Outdoor</t>
  </si>
  <si>
    <t>FOR NEW MEASURE</t>
  </si>
  <si>
    <t>wmw</t>
  </si>
  <si>
    <t>smw</t>
  </si>
  <si>
    <t>kwh</t>
  </si>
  <si>
    <t>dehumidification hybrid desiccant heat pump (FPL)</t>
  </si>
  <si>
    <t>dehumidification hybrid desiccant heat pump</t>
  </si>
  <si>
    <t>Run Time Optimizer</t>
  </si>
  <si>
    <t>run optimizer reduction (FPL)</t>
  </si>
  <si>
    <t>Commercial Adj File</t>
  </si>
  <si>
    <t>F_Saece</t>
  </si>
  <si>
    <t>LED Incremental</t>
  </si>
  <si>
    <t>LED Linear Tube 22W</t>
  </si>
  <si>
    <t>LED</t>
  </si>
  <si>
    <t>Prem T8 Reflector</t>
  </si>
  <si>
    <t>Prem T8</t>
  </si>
  <si>
    <t>T8</t>
  </si>
  <si>
    <t>savings</t>
  </si>
  <si>
    <t>tot watts</t>
  </si>
  <si>
    <t>lamps</t>
  </si>
  <si>
    <t>watts</t>
  </si>
  <si>
    <t>LED (12-Watt)</t>
  </si>
  <si>
    <t>Base CFL (18W)</t>
  </si>
  <si>
    <t>incremental</t>
  </si>
  <si>
    <t xml:space="preserve">LED High Bay 83W (400W equivalent) </t>
  </si>
  <si>
    <t>Incremental</t>
  </si>
  <si>
    <t>Flood LED 14W</t>
  </si>
  <si>
    <t>53w vs 14w</t>
  </si>
  <si>
    <t>53w vs 18w</t>
  </si>
  <si>
    <t>Commercial Adj File, 18w vs 53w (new base)</t>
  </si>
  <si>
    <t>w</t>
  </si>
  <si>
    <t>F_Saece, Original 75W</t>
  </si>
  <si>
    <t>Outdoor LED 104W</t>
  </si>
  <si>
    <t>High Bay T5 (200W)</t>
  </si>
  <si>
    <t>industrial adj file</t>
  </si>
  <si>
    <t>Fs_aeie</t>
  </si>
  <si>
    <t>Industrial</t>
  </si>
  <si>
    <t>FPL Measures Duke Values</t>
  </si>
  <si>
    <t>Base Oven</t>
  </si>
  <si>
    <t>Base Fryer</t>
  </si>
  <si>
    <t>KWH</t>
  </si>
  <si>
    <t>SKW</t>
  </si>
  <si>
    <t>WKW</t>
  </si>
  <si>
    <t>Save Factor</t>
  </si>
  <si>
    <t>Savings Fraction</t>
  </si>
  <si>
    <t>NC Ground Temp</t>
  </si>
  <si>
    <t>FL Ground Temp</t>
  </si>
  <si>
    <t>Ratio</t>
  </si>
  <si>
    <t>Base GPM</t>
  </si>
  <si>
    <t>New GPM</t>
  </si>
  <si>
    <t>F_Saere* baseline adjustment factor</t>
  </si>
  <si>
    <t>6xx</t>
  </si>
  <si>
    <t>Net Savings after NC/FL adjustment</t>
  </si>
  <si>
    <t>0.5 Faucet Aerator (DI) - Commercial</t>
  </si>
  <si>
    <t>1.0 gpm Faucet Aerator (DI) -Commercial</t>
  </si>
  <si>
    <t>1.5 gpm Faucet Aerator (DI) - Commercial</t>
  </si>
  <si>
    <t>Remaining Base</t>
  </si>
  <si>
    <t>Server Virtulization</t>
  </si>
  <si>
    <t>Dehumidification Hybrid Desiccant Heat Pump PER 5 TON</t>
  </si>
  <si>
    <t>400W vs 83</t>
  </si>
  <si>
    <t>400W vs 200W</t>
  </si>
  <si>
    <t xml:space="preserve">LED High Bay 83W </t>
  </si>
  <si>
    <t>Table 2 (Col. S,T,U)</t>
  </si>
  <si>
    <t>Table 2 (Col. P,Q,R)</t>
  </si>
  <si>
    <t>Base High Bay Mercury Vapor, 400W (calculated)</t>
  </si>
  <si>
    <t>FOR NEW MEASURE vs Inc 75 (53)</t>
  </si>
  <si>
    <t>Base Incandescent Flood, 75W  (calculated)</t>
  </si>
  <si>
    <t>FOR NEW MEASURE vs T12</t>
  </si>
  <si>
    <t>Base Linear Fluorescent (calculated)</t>
  </si>
  <si>
    <t>remaining wmw</t>
  </si>
  <si>
    <t>remaining smw</t>
  </si>
  <si>
    <t>remaining gwh</t>
  </si>
  <si>
    <t>initial baseline wmw</t>
  </si>
  <si>
    <t>initial baseline smw</t>
  </si>
  <si>
    <t>initial baseline gwh</t>
  </si>
  <si>
    <t>Intron Savings (m_s)</t>
  </si>
  <si>
    <t>gwh</t>
  </si>
  <si>
    <t xml:space="preserve">measure </t>
  </si>
  <si>
    <t>Base (Fs_aeie)</t>
  </si>
  <si>
    <t>TABLE 2</t>
  </si>
  <si>
    <t>adj factor (calculation)</t>
  </si>
  <si>
    <t>measure</t>
  </si>
  <si>
    <t>Adjusted Baseline</t>
  </si>
  <si>
    <t>TABLE 1</t>
  </si>
  <si>
    <t>Impact from ITRON Oven</t>
  </si>
  <si>
    <t xml:space="preserve">Holding Cabinet </t>
  </si>
  <si>
    <t>Impact from ITRON Refrigeration Commissioning</t>
  </si>
  <si>
    <t>Base Fryer remaining after previous measure</t>
  </si>
  <si>
    <t>Base Oven remaining after previous measure</t>
  </si>
  <si>
    <t>Year</t>
  </si>
  <si>
    <t>PEF Population</t>
  </si>
  <si>
    <t>Members per Household</t>
  </si>
  <si>
    <t>Residential  GWh</t>
  </si>
  <si>
    <t>Residential Customer</t>
  </si>
  <si>
    <t>Residential Use/Customer (KWH)</t>
  </si>
  <si>
    <t>Commercial GWh</t>
  </si>
  <si>
    <t>Commercial Customer</t>
  </si>
  <si>
    <t>Commercial Use/Customer (KWH)</t>
  </si>
  <si>
    <t>Industrial GWh</t>
  </si>
  <si>
    <t>Industrial Customer</t>
  </si>
  <si>
    <t>Industrial Use/Customer (KWH)</t>
  </si>
  <si>
    <t>Total no. of Customers</t>
  </si>
  <si>
    <t>Summer Peak  (MW)</t>
  </si>
  <si>
    <t>Summer Peak/Customer (KW)</t>
  </si>
  <si>
    <t>Winter Peak (MW)</t>
  </si>
  <si>
    <t>Winter Peak/Customer (KW)</t>
  </si>
  <si>
    <t>Total Sales</t>
  </si>
  <si>
    <t>Annual Percent (%) Change</t>
  </si>
  <si>
    <t>CAAGR (07-12)</t>
  </si>
  <si>
    <t>Total (07-12)</t>
  </si>
  <si>
    <t>Duke TP Comparison of Changes</t>
  </si>
  <si>
    <t>System Total  - Technical Potential</t>
  </si>
  <si>
    <t xml:space="preserve">TP as % Sales </t>
  </si>
  <si>
    <t>Commercial</t>
  </si>
  <si>
    <t>Sales MWH</t>
  </si>
  <si>
    <t>TP % of Sales</t>
  </si>
  <si>
    <t>Number of New Measures</t>
  </si>
  <si>
    <t>comm</t>
  </si>
  <si>
    <t>indu</t>
  </si>
  <si>
    <t>Customer</t>
  </si>
  <si>
    <t>TPS</t>
  </si>
  <si>
    <t>Impact from ITRON Fryer</t>
  </si>
  <si>
    <t>New Gulf Food Service Duke Values</t>
  </si>
  <si>
    <t>Existing Gulf Food Service (ITRON)</t>
  </si>
  <si>
    <t>Itron ES-1</t>
  </si>
  <si>
    <t>0.5 gpm Faucet Aerator (DI) - Commercial</t>
  </si>
  <si>
    <t>Network Base = Itron Network PC/Itron M file savings fraction</t>
  </si>
  <si>
    <t>Savings at 90% per measure design to replace 9 out of 10 servers with software</t>
  </si>
  <si>
    <t>400W vs 83 new potential savings total</t>
  </si>
  <si>
    <t>incremental for new 83W measure</t>
  </si>
  <si>
    <t>already accounted for400W vs 200W represents Itron total savings to 200w</t>
  </si>
  <si>
    <t>72% of Base</t>
  </si>
  <si>
    <t>Base - 18W</t>
  </si>
  <si>
    <t>New measures there no adjustment needed</t>
  </si>
  <si>
    <t>Page 476 also see excel file</t>
  </si>
  <si>
    <t>New Measures Calculation - Residential</t>
  </si>
  <si>
    <t>New Measures Calculation - Commercial</t>
  </si>
  <si>
    <t>Industrial Calculations</t>
  </si>
  <si>
    <r>
      <rPr>
        <b/>
        <i/>
        <sz val="12"/>
        <color theme="1"/>
        <rFont val="Calibri"/>
        <family val="2"/>
        <scheme val="minor"/>
      </rPr>
      <t>Calculated</t>
    </r>
    <r>
      <rPr>
        <sz val="12"/>
        <color theme="1"/>
        <rFont val="Calibri"/>
        <family val="2"/>
        <scheme val="minor"/>
      </rPr>
      <t xml:space="preserve">  Base PC Network</t>
    </r>
  </si>
  <si>
    <t>Table 4-7: DR Technical Potential in PEF by Sector, DR Enabling Technology/Tariff, and Scenario</t>
  </si>
  <si>
    <t>Table 4-7:  2013 Forecast Refresh of iTron DR Technical Potential Study</t>
  </si>
  <si>
    <t>Sector</t>
  </si>
  <si>
    <t>DR-Enabling Technology and Tariff</t>
  </si>
  <si>
    <t>Summer System Peak</t>
  </si>
  <si>
    <t>Winter System Peak</t>
  </si>
  <si>
    <t>Baseline</t>
  </si>
  <si>
    <t>High</t>
  </si>
  <si>
    <t>Low</t>
  </si>
  <si>
    <t>(MW)</t>
  </si>
  <si>
    <t>(%)</t>
  </si>
  <si>
    <t xml:space="preserve"> </t>
  </si>
  <si>
    <t>A/C Cycling Switch w/ flat rate</t>
  </si>
  <si>
    <t>A/C Shedding Switch w/ flat rate</t>
  </si>
  <si>
    <t>Smart Thermostats for A/C w/ CPP</t>
  </si>
  <si>
    <t>On-Off Switching via low-power wireless networks for water heating w/ CPP</t>
  </si>
  <si>
    <t>On-Off Switching via low-power wireless networks for pool systems  w/ CPP</t>
  </si>
  <si>
    <t>In-home displays and pre-set control strategies w/ CPP</t>
  </si>
  <si>
    <t>Total Residential</t>
  </si>
  <si>
    <t>Automated control strategies w/ CPP</t>
  </si>
  <si>
    <t>Direct load control system</t>
  </si>
  <si>
    <t>Total Commercial</t>
  </si>
  <si>
    <t>Automated control Strategies w/ CPP</t>
  </si>
  <si>
    <t>Total Industrial</t>
  </si>
  <si>
    <t>TOTAL</t>
  </si>
  <si>
    <t>Sytem Growth from TYSP</t>
  </si>
  <si>
    <t>Class</t>
  </si>
  <si>
    <t>Table 5-16: Summary of PV Technical Potential Results by Sector and Building Type 2009</t>
  </si>
  <si>
    <t>Table 5-16: Summary of PV Technical Potential Results by Sector and Building Type 2013</t>
  </si>
  <si>
    <t>Building Type</t>
  </si>
  <si>
    <t>Annual Energy</t>
  </si>
  <si>
    <t>Technical Potential</t>
  </si>
  <si>
    <t>(GWh)</t>
  </si>
  <si>
    <t>Single-family</t>
  </si>
  <si>
    <t>Multi-family</t>
  </si>
  <si>
    <t>Mobile Homes</t>
  </si>
  <si>
    <t>College</t>
  </si>
  <si>
    <t>School</t>
  </si>
  <si>
    <t>Hospital</t>
  </si>
  <si>
    <t>Other Health</t>
  </si>
  <si>
    <t>Lodging</t>
  </si>
  <si>
    <t>Restaurant</t>
  </si>
  <si>
    <t>Grocery</t>
  </si>
  <si>
    <t>Retail</t>
  </si>
  <si>
    <t>Warehouse</t>
  </si>
  <si>
    <t>Office</t>
  </si>
  <si>
    <t>Other</t>
  </si>
  <si>
    <t>Itron</t>
  </si>
  <si>
    <t>Achievements</t>
  </si>
  <si>
    <t xml:space="preserve">Net adds 2007-2012 </t>
  </si>
  <si>
    <t>ITRON Original (Table ES-1)</t>
  </si>
  <si>
    <t>Plus: Standard Changes</t>
  </si>
  <si>
    <t>Plus: New Measures</t>
  </si>
  <si>
    <t>Plus: System Load Growth</t>
  </si>
  <si>
    <t>Plus: 2007-12 Actual Achievements</t>
  </si>
  <si>
    <t>2007-12 Actual Achievements</t>
  </si>
  <si>
    <t>System Load Growth</t>
  </si>
  <si>
    <t>% Change</t>
  </si>
  <si>
    <t>Cumulative % Change</t>
  </si>
  <si>
    <t>by Sector</t>
  </si>
  <si>
    <t>Sector:</t>
  </si>
  <si>
    <t>Technical</t>
  </si>
  <si>
    <t>Weather Adjusted 2007</t>
  </si>
  <si>
    <t>* Derived from Ed Lynch 2007 - 2014 analysis</t>
  </si>
  <si>
    <t>Table 4-7:  2014 Forecast Refresh of iTron DR Technical Potential Study</t>
  </si>
  <si>
    <t>Table 4-7: 2009 DR Technical Potential in PEF by Sector, DR Enabling Technology/Tariff, and Scenario</t>
  </si>
  <si>
    <t>Table ES-1: 2013 Summary of the Technical Potential Results for Energy Efficiency</t>
  </si>
  <si>
    <t>Table ES-1: 2009 Summary of the Technical Potential Results for Energy Efficiency</t>
  </si>
  <si>
    <t>PROGRESS ENERGY FLORIDA</t>
  </si>
  <si>
    <t>SCHEDULE 3.1</t>
  </si>
  <si>
    <t>HISTORY AND FORECAST OF SUMMER PEAK DEMAND (MW)</t>
  </si>
  <si>
    <t>BASE CASE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</si>
  <si>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</si>
  <si>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</si>
  <si>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</si>
  <si>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</si>
  <si>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</si>
  <si>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</si>
  <si>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</si>
  <si>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</si>
  <si>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</si>
  <si>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(OTH)</t>
  </si>
  <si>
    <t>(10)</t>
  </si>
  <si>
    <t>RESIDENTIAL</t>
  </si>
  <si>
    <t>COMM. / IND.</t>
  </si>
  <si>
    <t>OTHER</t>
  </si>
  <si>
    <t>LOAD</t>
  </si>
  <si>
    <t>DEMAND</t>
  </si>
  <si>
    <t>NET FIRM</t>
  </si>
  <si>
    <t>YEAR</t>
  </si>
  <si>
    <t>WHOLESALE</t>
  </si>
  <si>
    <t>RETAIL</t>
  </si>
  <si>
    <t>INTERRUPTIBLE</t>
  </si>
  <si>
    <t>MANAGEMENT</t>
  </si>
  <si>
    <t>CONSERVATION</t>
  </si>
  <si>
    <t>REDUCTIONS</t>
  </si>
  <si>
    <t>-</t>
  </si>
  <si>
    <t>HISTORY:</t>
  </si>
  <si>
    <t>FORECAST:</t>
  </si>
  <si>
    <t>Historical Values (2003 - 2012):</t>
  </si>
  <si>
    <t xml:space="preserve">Col. (2) = recorded peak + implemented load control + residential and commercial/industrial conservation and customer-owned self-service cogeneration.  </t>
  </si>
  <si>
    <t>Cols. (5) - (9)  = Represent total cumulative capabilities at peak. Col. (8) includes commercial load management and standby generation.</t>
  </si>
  <si>
    <t>Col. (OTH) =Customer-owned self-service cogeneration.</t>
  </si>
  <si>
    <t>Col. (10) = (2) - (5) - (6) - (7) - (8) - (9) - (OTH).</t>
  </si>
  <si>
    <t>Projected Values (2013 - 2022):</t>
  </si>
  <si>
    <t>Cols. (2) - (4) = forecasted peak witiout load control, conservation, and customer-owned self-service cogeneration.</t>
  </si>
  <si>
    <t>Cols. (5) - (9)  = cumulative conservation and load control capabilities at peak. Col. (8) includes commercial load management and standby generation.</t>
  </si>
  <si>
    <t>Col. (OTH) = customer-owned self-service cogeneration.</t>
  </si>
  <si>
    <t>SCHEDULE 3.2</t>
  </si>
  <si>
    <t>HISTORY AND FORECAST OF WINTER PEAK DEMAND (MW)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</si>
  <si>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</si>
  <si>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</si>
  <si>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</si>
  <si>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</si>
  <si>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</si>
  <si>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</si>
  <si>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</si>
  <si>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</si>
  <si>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</si>
  <si>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</si>
  <si>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</si>
  <si>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</si>
  <si>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</si>
  <si>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</si>
  <si>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</si>
  <si>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</si>
  <si>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</si>
  <si>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</si>
  <si>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</si>
  <si>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</si>
  <si>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Col. (OTH) = Voltage reduction and customer-owned self-service cogeneration.</t>
  </si>
  <si>
    <t>Cols. (2) - (4) forecasted peak without load control and conservation.</t>
  </si>
  <si>
    <t>Cols. (5) - (9)  = Represent cumulative conservation and load control capabilities at peak. Col. (8) includes commercial load management and standby generation.</t>
  </si>
  <si>
    <t>SCHEDULE 3.3</t>
  </si>
  <si>
    <t>HISTORY AND FORECAST OF ANNUAL NET ENERGY FOR LOAD (GWh)</t>
  </si>
  <si>
    <t>ENERGY</t>
  </si>
  <si>
    <t>UTILITY USE</t>
  </si>
  <si>
    <t>NET ENERGY</t>
  </si>
  <si>
    <t>FACTOR</t>
  </si>
  <si>
    <t>REDUCTIONS*</t>
  </si>
  <si>
    <t>&amp; LOSSES</t>
  </si>
  <si>
    <t>FOR LOAD</t>
  </si>
  <si>
    <t>(%)  **</t>
  </si>
  <si>
    <t>*</t>
  </si>
  <si>
    <t>Column (OTH) includes Conservation Energy For Lighting and Public Authority Customers, Customer-Owned Self-service Cogeneration.</t>
  </si>
  <si>
    <t>**</t>
  </si>
  <si>
    <t>Load Factors for historical years are calculated using the actual winter peak demand  except the 2004, 2007 &amp; 2012 historical load factors</t>
  </si>
  <si>
    <t>which are based on the actual summer peak demand which became the annual peak for the year.</t>
  </si>
  <si>
    <t>Load Factors for future years are calculated using the net firm winter peak demand (Schedule 3.2)</t>
  </si>
  <si>
    <t>Contribution to final totals</t>
  </si>
  <si>
    <t>Res RE</t>
  </si>
  <si>
    <t>Solar Whr with Load Mgmt</t>
  </si>
  <si>
    <t>Solar Whr for Low Income</t>
  </si>
  <si>
    <t>Solar PV Rebate</t>
  </si>
  <si>
    <t>Com RE</t>
  </si>
  <si>
    <t>Solar PV for Schools</t>
  </si>
  <si>
    <t>Total Reported 2011&amp;2012</t>
  </si>
  <si>
    <t>Res</t>
  </si>
  <si>
    <t>Com</t>
  </si>
  <si>
    <t>From: http://progressnet/moss/sas1/DSMAnalyticalServices/DSMPlanPerformance/DSMAchievementReports/DSMFL%20Achievements%202005-present/For%20Distribution%20DSMFL%202005-2012%20Annual%20by%20Program%20Achievements.xlsx</t>
  </si>
  <si>
    <t>PEC Navigant M&amp;V adjusted to Fl Coincident peak</t>
  </si>
  <si>
    <t>Summer KW Impact</t>
  </si>
  <si>
    <t>Winter KW Impact</t>
  </si>
  <si>
    <t>Annual KWH Impact</t>
  </si>
  <si>
    <t xml:space="preserve"> normalized SKW</t>
  </si>
  <si>
    <t>normalized WKW</t>
  </si>
  <si>
    <t>normalized kwh</t>
  </si>
  <si>
    <t>Full Cost</t>
  </si>
  <si>
    <t>Measure Life (years)</t>
  </si>
  <si>
    <t>Baseline measure number</t>
  </si>
  <si>
    <t>LED 12W, 0.5hr/hday</t>
  </si>
  <si>
    <t>25,000hrs</t>
  </si>
  <si>
    <t>LED 12W, 2.5hr/hday</t>
  </si>
  <si>
    <t>LED 12W, 6.0hr/hday</t>
  </si>
  <si>
    <t>LED Directional 13W (Flood, Outdoor)</t>
  </si>
  <si>
    <t>Base Outdoor Lighting (53W EISA)</t>
  </si>
  <si>
    <t>hr</t>
  </si>
  <si>
    <t>LED 12W Blend</t>
  </si>
  <si>
    <t>COMMERCIAL</t>
  </si>
  <si>
    <t>LED 12W</t>
  </si>
  <si>
    <t xml:space="preserve">Outdoor LED 104W </t>
  </si>
  <si>
    <t>35,000hrs</t>
  </si>
  <si>
    <t>Base Incandescent Flood, 53W  to Screw-in CFL</t>
  </si>
  <si>
    <t>LED High Bay 83W</t>
  </si>
  <si>
    <t>50,000hrs</t>
  </si>
  <si>
    <t>15yrs</t>
  </si>
  <si>
    <t>Base DX Packaged System, EER=10.9, 10 tons</t>
  </si>
  <si>
    <t>1.5 gpm Showerhead (DI) - Commercial</t>
  </si>
  <si>
    <t>1.5 gpm Showhead (DI) - COMM, pvt use</t>
  </si>
  <si>
    <t>RET = 1</t>
  </si>
  <si>
    <t>ROB = 2</t>
  </si>
  <si>
    <t>LED (12-Watt integral ballast), 0.5 hr/day</t>
  </si>
  <si>
    <t>LED (12-Watt integral ballast), 2.5 hr/day</t>
  </si>
  <si>
    <t>LED (12-Watt integral ballast), 6.0 hr/day</t>
  </si>
  <si>
    <t>12 Watt LED (A19)</t>
  </si>
  <si>
    <t>Peak Savings - Freezer</t>
  </si>
  <si>
    <t>Peak Savings - Refrigerator</t>
  </si>
  <si>
    <t>These Measures are based on HVAC system usage, therefore savings are directly dependent on the baseline.  For example, if the baseline HVAC system becomes 10% more efficient then, all other thing equal, measures will follow the 10% change in baseline.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</si>
</sst>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  <numFmt numFmtId="167" formatCode="_(&quot;$&quot;* #,##0_);_(&quot;$&quot;* \(#,##0\);_(&quot;$&quot;* &quot;-&quot;??_);_(@_)"/>
    <numFmt numFmtId="168" formatCode="0.0"/>
    <numFmt numFmtId="169" formatCode="0.000000"/>
    <numFmt numFmtId="170" formatCode="_(* #,##0.000_);_(* \(#,##0.000\);_(* &quot;-&quot;??_);_(@_)"/>
    <numFmt numFmtId="171" formatCode="0.0000"/>
    <numFmt numFmtId="172" formatCode="0.000%"/>
    <numFmt numFmtId="173" formatCode="_(* #,##0.0_);_(* \(#,##0.0\);_(* &quot;-&quot;??_);_(@_)"/>
    <numFmt numFmtId="174" formatCode="#,##0.0_);\(#,##0.0\)"/>
    <numFmt numFmtId="175" formatCode="#,##0;#,##0"/>
    <numFmt numFmtId="176" formatCode="###0;###0"/>
    <numFmt numFmtId="177" formatCode="0_)"/>
    <numFmt numFmtId="178" formatCode="General_)"/>
    <numFmt numFmtId="179" formatCode="0.00_)"/>
    <numFmt numFmtId="180" formatCode="_(&quot;$&quot;* #,##0.00_);_(&quot;$&quot;* \(#,##0.00\);_(&quot;$&quot;* &quot;-&quot;_);_(@_)"/>
  </numFmts>
  <fonts count="5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0"/>
      <name val="Arial"/>
      <family val="2"/>
    </font>
    <font>
      <sz val="10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MS Sans Serif"/>
      <family val="2"/>
    </font>
    <font>
      <sz val="9"/>
      <color indexed="20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trike/>
      <sz val="12"/>
      <name val="Calibri"/>
      <family val="2"/>
      <scheme val="minor"/>
    </font>
    <font>
      <b/>
      <strike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Arial"/>
      <family val="2"/>
    </font>
    <font>
      <b/>
      <sz val="9"/>
      <name val="SWISS"/>
    </font>
    <font>
      <sz val="12"/>
      <color indexed="10"/>
      <name val="Times New Roman"/>
      <family val="1"/>
    </font>
    <font>
      <sz val="12"/>
      <color indexed="8"/>
      <name val="Times New Roman"/>
      <family val="1"/>
    </font>
    <font>
      <b/>
      <sz val="12"/>
      <name val="CG Times"/>
    </font>
    <font>
      <sz val="12"/>
      <name val="Arial"/>
      <family val="2"/>
    </font>
    <font>
      <sz val="10"/>
      <name val="Courier"/>
      <family val="3"/>
    </font>
    <font>
      <sz val="11"/>
      <color rgb="FF7030A0"/>
      <name val="Calibri"/>
      <family val="2"/>
      <scheme val="minor"/>
    </font>
    <font>
      <sz val="8"/>
      <name val="Century Gothic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</patternFill>
    </fill>
    <fill>
      <patternFill patternType="solid">
        <fgColor theme="8" tint="0.399975585192419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8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9" fontId="10" fillId="0" borderId="0" applyFont="0" applyFill="0" applyBorder="0" applyAlignment="0" applyProtection="0"/>
    <xf numFmtId="0" fontId="10" fillId="0" borderId="0"/>
    <xf numFmtId="44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/>
    <xf numFmtId="0" fontId="16" fillId="0" borderId="0"/>
    <xf numFmtId="0" fontId="16" fillId="0" borderId="0"/>
    <xf numFmtId="0" fontId="11" fillId="0" borderId="0"/>
    <xf numFmtId="0" fontId="17" fillId="20" borderId="0"/>
    <xf numFmtId="169" fontId="1" fillId="0" borderId="0">
      <alignment horizontal="left" wrapText="1"/>
    </xf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" fillId="0" borderId="0"/>
    <xf numFmtId="0" fontId="36" fillId="0" borderId="0"/>
    <xf numFmtId="0" fontId="44" fillId="0" borderId="0"/>
    <xf numFmtId="0" fontId="45" fillId="0" borderId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000">
    <xf numFmtId="0" fontId="0" fillId="0" borderId="0" xfId="0"/>
    <xf numFmtId="0" fontId="0" fillId="0" borderId="0" xfId="0" applyFill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quotePrefix="1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/>
    <xf numFmtId="0" fontId="0" fillId="0" borderId="0" xfId="0" applyBorder="1" applyAlignment="1">
      <alignment horizontal="center" wrapText="1"/>
    </xf>
    <xf numFmtId="0" fontId="1" fillId="0" borderId="0" xfId="1" applyFill="1" applyBorder="1" applyAlignment="1"/>
    <xf numFmtId="0" fontId="0" fillId="3" borderId="0" xfId="0" applyFill="1"/>
    <xf numFmtId="0" fontId="0" fillId="2" borderId="0" xfId="0" applyFill="1"/>
    <xf numFmtId="0" fontId="0" fillId="4" borderId="0" xfId="0" applyFill="1" applyBorder="1" applyAlignment="1">
      <alignment horizontal="center" wrapText="1"/>
    </xf>
    <xf numFmtId="0" fontId="0" fillId="5" borderId="0" xfId="0" applyFill="1"/>
    <xf numFmtId="0" fontId="2" fillId="0" borderId="0" xfId="0" applyFont="1" applyAlignment="1">
      <alignment vertical="top" wrapText="1"/>
    </xf>
    <xf numFmtId="0" fontId="5" fillId="0" borderId="0" xfId="3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Font="1"/>
    <xf numFmtId="0" fontId="0" fillId="6" borderId="0" xfId="0" applyFont="1" applyFill="1"/>
    <xf numFmtId="0" fontId="0" fillId="2" borderId="0" xfId="0" applyFont="1" applyFill="1"/>
    <xf numFmtId="0" fontId="0" fillId="0" borderId="0" xfId="0" applyFont="1" applyFill="1"/>
    <xf numFmtId="0" fontId="0" fillId="3" borderId="0" xfId="0" applyFont="1" applyFill="1"/>
    <xf numFmtId="0" fontId="0" fillId="4" borderId="0" xfId="0" applyFont="1" applyFill="1" applyBorder="1" applyAlignment="1">
      <alignment horizontal="center" wrapText="1"/>
    </xf>
    <xf numFmtId="0" fontId="0" fillId="5" borderId="0" xfId="0" applyFont="1" applyFill="1"/>
    <xf numFmtId="0" fontId="5" fillId="0" borderId="0" xfId="3" applyFont="1" applyAlignment="1">
      <alignment wrapText="1"/>
    </xf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/>
    <xf numFmtId="0" fontId="2" fillId="0" borderId="1" xfId="0" applyFont="1" applyBorder="1" applyAlignment="1">
      <alignment horizontal="center" wrapText="1"/>
    </xf>
    <xf numFmtId="0" fontId="7" fillId="2" borderId="1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left"/>
    </xf>
    <xf numFmtId="0" fontId="7" fillId="4" borderId="1" xfId="1" applyFont="1" applyFill="1" applyBorder="1" applyAlignment="1">
      <alignment horizontal="left"/>
    </xf>
    <xf numFmtId="0" fontId="7" fillId="5" borderId="1" xfId="1" applyFont="1" applyFill="1" applyBorder="1" applyAlignment="1">
      <alignment horizontal="left"/>
    </xf>
    <xf numFmtId="0" fontId="7" fillId="3" borderId="1" xfId="1" applyFont="1" applyFill="1" applyBorder="1" applyAlignment="1">
      <alignment horizontal="left"/>
    </xf>
    <xf numFmtId="0" fontId="7" fillId="0" borderId="1" xfId="1" applyFont="1" applyBorder="1" applyAlignment="1">
      <alignment horizontal="left"/>
    </xf>
    <xf numFmtId="0" fontId="7" fillId="0" borderId="1" xfId="1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7" fillId="3" borderId="1" xfId="1" applyFont="1" applyFill="1" applyBorder="1" applyAlignment="1">
      <alignment horizontal="left" vertical="top"/>
    </xf>
    <xf numFmtId="0" fontId="1" fillId="2" borderId="1" xfId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1" fillId="4" borderId="1" xfId="1" applyFill="1" applyBorder="1" applyAlignment="1">
      <alignment horizontal="center" vertical="top"/>
    </xf>
    <xf numFmtId="0" fontId="1" fillId="0" borderId="1" xfId="1" applyBorder="1" applyAlignment="1">
      <alignment horizontal="center"/>
    </xf>
    <xf numFmtId="0" fontId="1" fillId="5" borderId="1" xfId="1" applyFill="1" applyBorder="1" applyAlignment="1">
      <alignment horizontal="center"/>
    </xf>
    <xf numFmtId="0" fontId="1" fillId="4" borderId="1" xfId="1" applyFill="1" applyBorder="1" applyAlignment="1">
      <alignment horizontal="center"/>
    </xf>
    <xf numFmtId="0" fontId="9" fillId="0" borderId="1" xfId="1" applyFont="1" applyBorder="1" applyAlignment="1">
      <alignment horizontal="center" wrapText="1"/>
    </xf>
    <xf numFmtId="0" fontId="1" fillId="2" borderId="1" xfId="1" applyFill="1" applyBorder="1" applyAlignment="1">
      <alignment horizontal="left"/>
    </xf>
    <xf numFmtId="0" fontId="1" fillId="3" borderId="1" xfId="1" applyFill="1" applyBorder="1" applyAlignment="1">
      <alignment horizontal="left"/>
    </xf>
    <xf numFmtId="0" fontId="1" fillId="0" borderId="1" xfId="1" applyFill="1" applyBorder="1" applyAlignment="1">
      <alignment horizontal="left"/>
    </xf>
    <xf numFmtId="0" fontId="1" fillId="4" borderId="1" xfId="1" applyFill="1" applyBorder="1" applyAlignment="1">
      <alignment horizontal="left" vertical="top"/>
    </xf>
    <xf numFmtId="0" fontId="1" fillId="0" borderId="1" xfId="1" applyBorder="1" applyAlignment="1">
      <alignment horizontal="left"/>
    </xf>
    <xf numFmtId="0" fontId="1" fillId="3" borderId="1" xfId="1" applyFill="1" applyBorder="1" applyAlignment="1">
      <alignment horizontal="left" vertical="top"/>
    </xf>
    <xf numFmtId="0" fontId="1" fillId="5" borderId="1" xfId="1" applyFill="1" applyBorder="1" applyAlignment="1">
      <alignment horizontal="left"/>
    </xf>
    <xf numFmtId="0" fontId="1" fillId="4" borderId="1" xfId="1" applyFill="1" applyBorder="1" applyAlignment="1">
      <alignment horizontal="left"/>
    </xf>
    <xf numFmtId="2" fontId="0" fillId="0" borderId="0" xfId="0" applyNumberFormat="1"/>
    <xf numFmtId="0" fontId="4" fillId="0" borderId="0" xfId="0" applyFont="1" applyFill="1" applyAlignment="1">
      <alignment vertical="top"/>
    </xf>
    <xf numFmtId="0" fontId="11" fillId="0" borderId="0" xfId="4" applyFont="1"/>
    <xf numFmtId="0" fontId="11" fillId="0" borderId="0" xfId="4" applyFont="1" applyAlignment="1">
      <alignment horizontal="center"/>
    </xf>
    <xf numFmtId="0" fontId="11" fillId="17" borderId="0" xfId="4" applyFont="1" applyFill="1"/>
    <xf numFmtId="165" fontId="11" fillId="3" borderId="0" xfId="4" applyNumberFormat="1" applyFont="1" applyFill="1"/>
    <xf numFmtId="165" fontId="11" fillId="0" borderId="0" xfId="4" applyNumberFormat="1" applyFont="1"/>
    <xf numFmtId="43" fontId="0" fillId="10" borderId="0" xfId="2" applyFont="1" applyFill="1"/>
    <xf numFmtId="43" fontId="0" fillId="14" borderId="0" xfId="2" applyFont="1" applyFill="1"/>
    <xf numFmtId="0" fontId="13" fillId="18" borderId="0" xfId="0" applyFont="1" applyFill="1" applyAlignment="1">
      <alignment horizontal="center"/>
    </xf>
    <xf numFmtId="0" fontId="13" fillId="18" borderId="0" xfId="0" applyFont="1" applyFill="1"/>
    <xf numFmtId="10" fontId="13" fillId="18" borderId="0" xfId="0" applyNumberFormat="1" applyFont="1" applyFill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2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42" fontId="0" fillId="0" borderId="1" xfId="0" applyNumberFormat="1" applyBorder="1" applyAlignment="1">
      <alignment horizontal="center"/>
    </xf>
    <xf numFmtId="2" fontId="0" fillId="0" borderId="1" xfId="7" applyNumberFormat="1" applyFont="1" applyBorder="1" applyAlignment="1">
      <alignment horizontal="center"/>
    </xf>
    <xf numFmtId="0" fontId="0" fillId="0" borderId="1" xfId="0" applyBorder="1"/>
    <xf numFmtId="42" fontId="0" fillId="0" borderId="0" xfId="0" applyNumberFormat="1"/>
    <xf numFmtId="167" fontId="0" fillId="0" borderId="1" xfId="11" applyNumberFormat="1" applyFont="1" applyBorder="1" applyAlignment="1">
      <alignment horizontal="center"/>
    </xf>
    <xf numFmtId="43" fontId="0" fillId="0" borderId="0" xfId="7" applyFont="1"/>
    <xf numFmtId="0" fontId="0" fillId="0" borderId="0" xfId="0" applyBorder="1" applyAlignment="1">
      <alignment horizontal="center"/>
    </xf>
    <xf numFmtId="9" fontId="0" fillId="0" borderId="1" xfId="6" applyFont="1" applyBorder="1" applyAlignment="1">
      <alignment horizontal="center"/>
    </xf>
    <xf numFmtId="0" fontId="18" fillId="23" borderId="0" xfId="0" applyFont="1" applyFill="1" applyBorder="1" applyAlignment="1">
      <alignment horizontal="center" wrapText="1"/>
    </xf>
    <xf numFmtId="164" fontId="0" fillId="0" borderId="0" xfId="7" applyNumberFormat="1" applyFont="1" applyBorder="1" applyAlignment="1">
      <alignment horizontal="right"/>
    </xf>
    <xf numFmtId="174" fontId="0" fillId="0" borderId="0" xfId="7" applyNumberFormat="1" applyFont="1" applyBorder="1" applyAlignment="1">
      <alignment horizontal="right"/>
    </xf>
    <xf numFmtId="165" fontId="2" fillId="0" borderId="0" xfId="0" applyNumberFormat="1" applyFont="1"/>
    <xf numFmtId="0" fontId="2" fillId="0" borderId="0" xfId="0" applyFont="1"/>
    <xf numFmtId="165" fontId="0" fillId="0" borderId="0" xfId="6" applyNumberFormat="1" applyFont="1"/>
    <xf numFmtId="170" fontId="0" fillId="0" borderId="0" xfId="7" applyNumberFormat="1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0" xfId="0" applyBorder="1"/>
    <xf numFmtId="9" fontId="0" fillId="0" borderId="56" xfId="6" applyFont="1" applyBorder="1" applyAlignment="1">
      <alignment horizontal="center"/>
    </xf>
    <xf numFmtId="9" fontId="0" fillId="0" borderId="57" xfId="6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7" xfId="0" applyFill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9" fontId="0" fillId="24" borderId="1" xfId="6" applyFont="1" applyFill="1" applyBorder="1" applyAlignment="1">
      <alignment horizontal="center"/>
    </xf>
    <xf numFmtId="9" fontId="0" fillId="24" borderId="20" xfId="6" applyFont="1" applyFill="1" applyBorder="1" applyAlignment="1">
      <alignment horizontal="center"/>
    </xf>
    <xf numFmtId="43" fontId="1" fillId="0" borderId="19" xfId="7" applyFon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9" fontId="0" fillId="25" borderId="1" xfId="6" applyFont="1" applyFill="1" applyBorder="1" applyAlignment="1">
      <alignment horizontal="center"/>
    </xf>
    <xf numFmtId="9" fontId="0" fillId="25" borderId="20" xfId="6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9" fontId="0" fillId="14" borderId="1" xfId="6" applyFont="1" applyFill="1" applyBorder="1" applyAlignment="1">
      <alignment horizontal="center"/>
    </xf>
    <xf numFmtId="9" fontId="0" fillId="14" borderId="20" xfId="6" applyFont="1" applyFill="1" applyBorder="1" applyAlignment="1">
      <alignment horizontal="center"/>
    </xf>
    <xf numFmtId="9" fontId="0" fillId="15" borderId="1" xfId="6" applyFont="1" applyFill="1" applyBorder="1" applyAlignment="1">
      <alignment horizontal="center"/>
    </xf>
    <xf numFmtId="9" fontId="0" fillId="15" borderId="20" xfId="6" applyFont="1" applyFill="1" applyBorder="1" applyAlignment="1">
      <alignment horizontal="center"/>
    </xf>
    <xf numFmtId="165" fontId="0" fillId="24" borderId="20" xfId="6" applyNumberFormat="1" applyFont="1" applyFill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20" xfId="0" applyBorder="1"/>
    <xf numFmtId="0" fontId="0" fillId="0" borderId="50" xfId="0" applyFill="1" applyBorder="1" applyAlignment="1">
      <alignment horizontal="left"/>
    </xf>
    <xf numFmtId="9" fontId="0" fillId="0" borderId="1" xfId="6" applyFont="1" applyFill="1" applyBorder="1" applyAlignment="1">
      <alignment horizontal="center"/>
    </xf>
    <xf numFmtId="9" fontId="0" fillId="0" borderId="20" xfId="6" applyFont="1" applyFill="1" applyBorder="1" applyAlignment="1">
      <alignment horizontal="center"/>
    </xf>
    <xf numFmtId="9" fontId="0" fillId="0" borderId="0" xfId="6" applyFont="1" applyAlignment="1">
      <alignment horizontal="center"/>
    </xf>
    <xf numFmtId="0" fontId="0" fillId="24" borderId="3" xfId="0" applyFill="1" applyBorder="1" applyAlignment="1">
      <alignment horizontal="center"/>
    </xf>
    <xf numFmtId="0" fontId="0" fillId="24" borderId="9" xfId="0" applyFill="1" applyBorder="1" applyAlignment="1">
      <alignment horizontal="center"/>
    </xf>
    <xf numFmtId="2" fontId="11" fillId="0" borderId="0" xfId="4" applyNumberFormat="1" applyFont="1"/>
    <xf numFmtId="165" fontId="11" fillId="0" borderId="0" xfId="6" applyNumberFormat="1" applyFont="1"/>
    <xf numFmtId="165" fontId="0" fillId="25" borderId="1" xfId="6" applyNumberFormat="1" applyFont="1" applyFill="1" applyBorder="1" applyAlignment="1">
      <alignment horizontal="center"/>
    </xf>
    <xf numFmtId="165" fontId="0" fillId="25" borderId="20" xfId="6" applyNumberFormat="1" applyFont="1" applyFill="1" applyBorder="1" applyAlignment="1">
      <alignment horizontal="center"/>
    </xf>
    <xf numFmtId="165" fontId="0" fillId="14" borderId="1" xfId="6" applyNumberFormat="1" applyFont="1" applyFill="1" applyBorder="1" applyAlignment="1">
      <alignment horizontal="center"/>
    </xf>
    <xf numFmtId="165" fontId="0" fillId="14" borderId="20" xfId="6" applyNumberFormat="1" applyFont="1" applyFill="1" applyBorder="1" applyAlignment="1">
      <alignment horizontal="center"/>
    </xf>
    <xf numFmtId="165" fontId="0" fillId="15" borderId="1" xfId="6" applyNumberFormat="1" applyFont="1" applyFill="1" applyBorder="1" applyAlignment="1">
      <alignment horizontal="center"/>
    </xf>
    <xf numFmtId="165" fontId="0" fillId="15" borderId="20" xfId="6" applyNumberFormat="1" applyFont="1" applyFill="1" applyBorder="1" applyAlignment="1">
      <alignment horizontal="center"/>
    </xf>
    <xf numFmtId="0" fontId="19" fillId="0" borderId="0" xfId="0" applyFont="1"/>
    <xf numFmtId="0" fontId="7" fillId="11" borderId="0" xfId="8" applyFont="1" applyFill="1" applyBorder="1" applyAlignment="1">
      <alignment horizontal="center"/>
    </xf>
    <xf numFmtId="4" fontId="7" fillId="0" borderId="0" xfId="8" applyNumberFormat="1" applyFont="1" applyAlignment="1">
      <alignment horizontal="center"/>
    </xf>
    <xf numFmtId="0" fontId="7" fillId="0" borderId="0" xfId="8" applyFont="1"/>
    <xf numFmtId="2" fontId="7" fillId="0" borderId="0" xfId="8" applyNumberFormat="1" applyFont="1" applyFill="1" applyAlignment="1">
      <alignment horizontal="center"/>
    </xf>
    <xf numFmtId="0" fontId="20" fillId="11" borderId="0" xfId="8" applyFont="1" applyFill="1" applyBorder="1" applyAlignment="1">
      <alignment horizontal="left"/>
    </xf>
    <xf numFmtId="4" fontId="20" fillId="16" borderId="34" xfId="8" applyNumberFormat="1" applyFont="1" applyFill="1" applyBorder="1" applyAlignment="1">
      <alignment horizontal="left"/>
    </xf>
    <xf numFmtId="2" fontId="7" fillId="15" borderId="0" xfId="8" applyNumberFormat="1" applyFont="1" applyFill="1" applyAlignment="1">
      <alignment horizontal="center"/>
    </xf>
    <xf numFmtId="0" fontId="20" fillId="11" borderId="36" xfId="8" applyFont="1" applyFill="1" applyBorder="1" applyAlignment="1">
      <alignment horizontal="left"/>
    </xf>
    <xf numFmtId="4" fontId="20" fillId="16" borderId="0" xfId="8" applyNumberFormat="1" applyFont="1" applyFill="1" applyBorder="1" applyAlignment="1">
      <alignment horizontal="left"/>
    </xf>
    <xf numFmtId="4" fontId="20" fillId="16" borderId="0" xfId="8" applyNumberFormat="1" applyFont="1" applyFill="1" applyBorder="1" applyAlignment="1">
      <alignment horizontal="center"/>
    </xf>
    <xf numFmtId="1" fontId="7" fillId="0" borderId="0" xfId="8" applyNumberFormat="1" applyFont="1" applyAlignment="1">
      <alignment horizontal="center"/>
    </xf>
    <xf numFmtId="2" fontId="20" fillId="15" borderId="0" xfId="8" applyNumberFormat="1" applyFont="1" applyFill="1" applyAlignment="1">
      <alignment horizontal="center"/>
    </xf>
    <xf numFmtId="2" fontId="7" fillId="15" borderId="0" xfId="1" applyNumberFormat="1" applyFont="1" applyFill="1" applyAlignment="1">
      <alignment horizontal="center"/>
    </xf>
    <xf numFmtId="165" fontId="7" fillId="0" borderId="0" xfId="6" applyNumberFormat="1" applyFont="1" applyAlignment="1">
      <alignment horizontal="center"/>
    </xf>
    <xf numFmtId="165" fontId="20" fillId="15" borderId="0" xfId="6" applyNumberFormat="1" applyFont="1" applyFill="1" applyAlignment="1">
      <alignment horizontal="center"/>
    </xf>
    <xf numFmtId="9" fontId="20" fillId="15" borderId="0" xfId="6" applyFont="1" applyFill="1" applyAlignment="1">
      <alignment horizontal="center"/>
    </xf>
    <xf numFmtId="0" fontId="7" fillId="0" borderId="0" xfId="8" applyFont="1" applyFill="1"/>
    <xf numFmtId="0" fontId="7" fillId="0" borderId="0" xfId="8" applyFont="1" applyFill="1" applyBorder="1" applyAlignment="1"/>
    <xf numFmtId="0" fontId="20" fillId="11" borderId="36" xfId="8" applyFont="1" applyFill="1" applyBorder="1" applyAlignment="1">
      <alignment horizontal="center"/>
    </xf>
    <xf numFmtId="0" fontId="20" fillId="11" borderId="0" xfId="8" applyFont="1" applyFill="1" applyBorder="1" applyAlignment="1">
      <alignment horizontal="center"/>
    </xf>
    <xf numFmtId="4" fontId="20" fillId="0" borderId="0" xfId="8" applyNumberFormat="1" applyFont="1" applyFill="1" applyBorder="1" applyAlignment="1">
      <alignment horizontal="center"/>
    </xf>
    <xf numFmtId="0" fontId="20" fillId="15" borderId="0" xfId="4" applyFont="1" applyFill="1" applyBorder="1" applyAlignment="1"/>
    <xf numFmtId="0" fontId="20" fillId="15" borderId="0" xfId="4" applyFont="1" applyFill="1" applyBorder="1" applyAlignment="1">
      <alignment horizontal="center"/>
    </xf>
    <xf numFmtId="0" fontId="20" fillId="15" borderId="38" xfId="8" applyFont="1" applyFill="1" applyBorder="1" applyAlignment="1">
      <alignment horizontal="center"/>
    </xf>
    <xf numFmtId="0" fontId="20" fillId="15" borderId="13" xfId="8" applyFont="1" applyFill="1" applyBorder="1" applyAlignment="1">
      <alignment horizontal="center"/>
    </xf>
    <xf numFmtId="4" fontId="20" fillId="16" borderId="13" xfId="8" applyNumberFormat="1" applyFont="1" applyFill="1" applyBorder="1" applyAlignment="1">
      <alignment horizontal="center"/>
    </xf>
    <xf numFmtId="0" fontId="7" fillId="0" borderId="0" xfId="8" applyFont="1" applyFill="1" applyAlignment="1">
      <alignment horizontal="left"/>
    </xf>
    <xf numFmtId="4" fontId="20" fillId="0" borderId="0" xfId="4" applyNumberFormat="1" applyFont="1" applyFill="1" applyBorder="1" applyAlignment="1">
      <alignment horizontal="center"/>
    </xf>
    <xf numFmtId="4" fontId="20" fillId="15" borderId="0" xfId="4" applyNumberFormat="1" applyFont="1" applyFill="1" applyBorder="1" applyAlignment="1">
      <alignment horizontal="center" wrapText="1"/>
    </xf>
    <xf numFmtId="4" fontId="20" fillId="15" borderId="0" xfId="4" applyNumberFormat="1" applyFont="1" applyFill="1" applyBorder="1" applyAlignment="1">
      <alignment horizontal="center"/>
    </xf>
    <xf numFmtId="0" fontId="20" fillId="0" borderId="0" xfId="8" applyFont="1" applyFill="1" applyBorder="1" applyAlignment="1">
      <alignment horizontal="center"/>
    </xf>
    <xf numFmtId="0" fontId="7" fillId="0" borderId="0" xfId="10" applyFont="1" applyBorder="1" applyAlignment="1">
      <alignment horizontal="center"/>
    </xf>
    <xf numFmtId="0" fontId="7" fillId="0" borderId="0" xfId="10" applyFont="1" applyFill="1" applyBorder="1"/>
    <xf numFmtId="4" fontId="7" fillId="0" borderId="0" xfId="4" applyNumberFormat="1" applyFont="1" applyAlignment="1">
      <alignment horizontal="center"/>
    </xf>
    <xf numFmtId="1" fontId="7" fillId="0" borderId="0" xfId="4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8" applyFont="1" applyFill="1" applyAlignment="1">
      <alignment horizontal="center"/>
    </xf>
    <xf numFmtId="1" fontId="7" fillId="0" borderId="0" xfId="8" applyNumberFormat="1" applyFont="1" applyFill="1" applyAlignment="1">
      <alignment horizontal="center"/>
    </xf>
    <xf numFmtId="1" fontId="7" fillId="15" borderId="0" xfId="8" applyNumberFormat="1" applyFont="1" applyFill="1" applyAlignment="1">
      <alignment horizontal="center"/>
    </xf>
    <xf numFmtId="0" fontId="7" fillId="0" borderId="0" xfId="10" applyFont="1" applyBorder="1"/>
    <xf numFmtId="0" fontId="7" fillId="0" borderId="0" xfId="10" applyFont="1" applyFill="1" applyBorder="1" applyAlignment="1">
      <alignment horizontal="center"/>
    </xf>
    <xf numFmtId="0" fontId="7" fillId="0" borderId="0" xfId="10" applyFont="1" applyFill="1" applyAlignment="1">
      <alignment horizontal="center"/>
    </xf>
    <xf numFmtId="2" fontId="11" fillId="15" borderId="0" xfId="9" applyNumberFormat="1" applyFont="1" applyFill="1" applyAlignment="1">
      <alignment horizontal="center"/>
    </xf>
    <xf numFmtId="0" fontId="7" fillId="0" borderId="0" xfId="8" applyFont="1" applyAlignment="1">
      <alignment horizontal="center"/>
    </xf>
    <xf numFmtId="4" fontId="7" fillId="14" borderId="0" xfId="4" applyNumberFormat="1" applyFont="1" applyFill="1" applyAlignment="1">
      <alignment horizontal="center"/>
    </xf>
    <xf numFmtId="0" fontId="7" fillId="14" borderId="0" xfId="4" applyFont="1" applyFill="1" applyAlignment="1">
      <alignment horizontal="center"/>
    </xf>
    <xf numFmtId="0" fontId="7" fillId="14" borderId="0" xfId="8" applyFont="1" applyFill="1" applyAlignment="1">
      <alignment horizontal="center"/>
    </xf>
    <xf numFmtId="1" fontId="7" fillId="14" borderId="0" xfId="8" applyNumberFormat="1" applyFont="1" applyFill="1" applyAlignment="1">
      <alignment horizontal="center"/>
    </xf>
    <xf numFmtId="2" fontId="7" fillId="14" borderId="0" xfId="8" applyNumberFormat="1" applyFont="1" applyFill="1" applyAlignment="1">
      <alignment horizontal="center"/>
    </xf>
    <xf numFmtId="0" fontId="20" fillId="0" borderId="0" xfId="8" applyFont="1" applyAlignment="1">
      <alignment horizontal="center"/>
    </xf>
    <xf numFmtId="164" fontId="11" fillId="0" borderId="0" xfId="2" applyNumberFormat="1" applyFont="1" applyFill="1" applyAlignment="1"/>
    <xf numFmtId="4" fontId="7" fillId="0" borderId="0" xfId="8" applyNumberFormat="1" applyFont="1" applyBorder="1" applyAlignment="1">
      <alignment horizontal="center"/>
    </xf>
    <xf numFmtId="0" fontId="7" fillId="0" borderId="0" xfId="8" applyFont="1" applyBorder="1"/>
    <xf numFmtId="43" fontId="7" fillId="0" borderId="0" xfId="8" applyNumberFormat="1" applyFont="1" applyBorder="1"/>
    <xf numFmtId="0" fontId="7" fillId="0" borderId="0" xfId="8" applyFont="1" applyAlignment="1">
      <alignment horizontal="left"/>
    </xf>
    <xf numFmtId="0" fontId="0" fillId="11" borderId="0" xfId="0" applyFont="1" applyFill="1"/>
    <xf numFmtId="0" fontId="0" fillId="15" borderId="0" xfId="0" applyFont="1" applyFill="1"/>
    <xf numFmtId="0" fontId="0" fillId="15" borderId="0" xfId="0" applyFont="1" applyFill="1" applyAlignment="1">
      <alignment horizontal="center"/>
    </xf>
    <xf numFmtId="0" fontId="7" fillId="12" borderId="0" xfId="1" applyFont="1" applyFill="1" applyAlignment="1">
      <alignment horizontal="center"/>
    </xf>
    <xf numFmtId="0" fontId="7" fillId="15" borderId="0" xfId="1" applyFont="1" applyFill="1" applyAlignment="1">
      <alignment horizontal="center"/>
    </xf>
    <xf numFmtId="2" fontId="20" fillId="15" borderId="0" xfId="1" applyNumberFormat="1" applyFont="1" applyFill="1" applyAlignment="1">
      <alignment horizontal="center"/>
    </xf>
    <xf numFmtId="2" fontId="20" fillId="15" borderId="0" xfId="1" applyNumberFormat="1" applyFont="1" applyFill="1" applyAlignment="1">
      <alignment horizontal="right"/>
    </xf>
    <xf numFmtId="10" fontId="7" fillId="0" borderId="0" xfId="6" applyNumberFormat="1" applyFont="1"/>
    <xf numFmtId="9" fontId="20" fillId="15" borderId="0" xfId="6" applyFont="1" applyFill="1" applyAlignment="1"/>
    <xf numFmtId="0" fontId="5" fillId="0" borderId="0" xfId="3" applyFont="1"/>
    <xf numFmtId="4" fontId="20" fillId="0" borderId="0" xfId="1" applyNumberFormat="1" applyFont="1" applyFill="1" applyBorder="1" applyAlignment="1">
      <alignment horizontal="centerContinuous"/>
    </xf>
    <xf numFmtId="0" fontId="7" fillId="0" borderId="0" xfId="1" applyFont="1" applyAlignment="1">
      <alignment horizontal="centerContinuous"/>
    </xf>
    <xf numFmtId="0" fontId="2" fillId="11" borderId="0" xfId="0" applyFont="1" applyFill="1" applyBorder="1" applyAlignment="1">
      <alignment horizontal="center" wrapText="1"/>
    </xf>
    <xf numFmtId="4" fontId="20" fillId="0" borderId="0" xfId="1" applyNumberFormat="1" applyFont="1" applyFill="1" applyBorder="1" applyAlignment="1">
      <alignment horizontal="center"/>
    </xf>
    <xf numFmtId="4" fontId="20" fillId="15" borderId="0" xfId="1" applyNumberFormat="1" applyFont="1" applyFill="1" applyBorder="1" applyAlignment="1">
      <alignment horizontal="center"/>
    </xf>
    <xf numFmtId="0" fontId="0" fillId="25" borderId="1" xfId="0" applyFont="1" applyFill="1" applyBorder="1" applyAlignment="1">
      <alignment horizontal="center"/>
    </xf>
    <xf numFmtId="0" fontId="0" fillId="25" borderId="1" xfId="0" applyFont="1" applyFill="1" applyBorder="1" applyAlignment="1">
      <alignment horizontal="left"/>
    </xf>
    <xf numFmtId="4" fontId="20" fillId="2" borderId="0" xfId="1" applyNumberFormat="1" applyFont="1" applyFill="1" applyBorder="1" applyAlignment="1">
      <alignment horizontal="center"/>
    </xf>
    <xf numFmtId="0" fontId="0" fillId="31" borderId="1" xfId="0" applyFont="1" applyFill="1" applyBorder="1" applyAlignment="1">
      <alignment horizontal="center"/>
    </xf>
    <xf numFmtId="0" fontId="0" fillId="31" borderId="1" xfId="0" applyFont="1" applyFill="1" applyBorder="1" applyAlignment="1">
      <alignment horizontal="left"/>
    </xf>
    <xf numFmtId="0" fontId="7" fillId="3" borderId="0" xfId="1" applyFont="1" applyFill="1" applyAlignment="1">
      <alignment horizontal="center"/>
    </xf>
    <xf numFmtId="1" fontId="7" fillId="3" borderId="0" xfId="1" applyNumberFormat="1" applyFont="1" applyFill="1" applyAlignment="1">
      <alignment horizontal="center"/>
    </xf>
    <xf numFmtId="1" fontId="7" fillId="15" borderId="0" xfId="1" applyNumberFormat="1" applyFont="1" applyFill="1" applyAlignment="1">
      <alignment horizontal="center"/>
    </xf>
    <xf numFmtId="0" fontId="0" fillId="22" borderId="1" xfId="0" applyFont="1" applyFill="1" applyBorder="1" applyAlignment="1">
      <alignment horizontal="center"/>
    </xf>
    <xf numFmtId="0" fontId="0" fillId="22" borderId="1" xfId="0" applyFont="1" applyFill="1" applyBorder="1" applyAlignment="1">
      <alignment horizontal="left"/>
    </xf>
    <xf numFmtId="0" fontId="7" fillId="4" borderId="0" xfId="1" applyFont="1" applyFill="1" applyAlignment="1">
      <alignment horizontal="center"/>
    </xf>
    <xf numFmtId="1" fontId="7" fillId="4" borderId="0" xfId="1" applyNumberFormat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1" fontId="7" fillId="2" borderId="0" xfId="1" applyNumberFormat="1" applyFont="1" applyFill="1" applyAlignment="1">
      <alignment horizontal="center"/>
    </xf>
    <xf numFmtId="0" fontId="0" fillId="23" borderId="1" xfId="0" applyFont="1" applyFill="1" applyBorder="1" applyAlignment="1">
      <alignment horizontal="center"/>
    </xf>
    <xf numFmtId="0" fontId="0" fillId="23" borderId="1" xfId="0" applyFont="1" applyFill="1" applyBorder="1" applyAlignment="1">
      <alignment horizontal="left"/>
    </xf>
    <xf numFmtId="0" fontId="7" fillId="5" borderId="0" xfId="1" applyFont="1" applyFill="1" applyAlignment="1">
      <alignment horizontal="center"/>
    </xf>
    <xf numFmtId="1" fontId="7" fillId="5" borderId="0" xfId="1" applyNumberFormat="1" applyFont="1" applyFill="1" applyAlignment="1">
      <alignment horizontal="center"/>
    </xf>
    <xf numFmtId="0" fontId="7" fillId="23" borderId="1" xfId="0" applyFont="1" applyFill="1" applyBorder="1" applyAlignment="1">
      <alignment horizontal="left"/>
    </xf>
    <xf numFmtId="0" fontId="0" fillId="31" borderId="1" xfId="0" applyFont="1" applyFill="1" applyBorder="1" applyAlignment="1">
      <alignment horizontal="left" vertical="top"/>
    </xf>
    <xf numFmtId="0" fontId="5" fillId="0" borderId="0" xfId="3" applyFont="1" applyAlignment="1">
      <alignment vertical="top" wrapText="1"/>
    </xf>
    <xf numFmtId="0" fontId="7" fillId="0" borderId="0" xfId="1" applyFont="1" applyFill="1"/>
    <xf numFmtId="1" fontId="7" fillId="0" borderId="0" xfId="1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9" fontId="0" fillId="0" borderId="0" xfId="0" applyNumberFormat="1" applyFont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8" borderId="0" xfId="0" applyFont="1" applyFill="1"/>
    <xf numFmtId="0" fontId="7" fillId="8" borderId="0" xfId="1" applyFont="1" applyFill="1" applyAlignment="1">
      <alignment horizontal="center"/>
    </xf>
    <xf numFmtId="1" fontId="7" fillId="8" borderId="0" xfId="1" applyNumberFormat="1" applyFont="1" applyFill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1" fontId="7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0" fillId="15" borderId="0" xfId="0" applyNumberFormat="1" applyFont="1" applyFill="1" applyAlignment="1">
      <alignment horizontal="center"/>
    </xf>
    <xf numFmtId="0" fontId="11" fillId="0" borderId="0" xfId="0" applyFont="1"/>
    <xf numFmtId="1" fontId="11" fillId="0" borderId="0" xfId="0" applyNumberFormat="1" applyFont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7" fillId="0" borderId="1" xfId="1" applyFont="1" applyFill="1" applyBorder="1"/>
    <xf numFmtId="0" fontId="7" fillId="0" borderId="1" xfId="10" applyFont="1" applyFill="1" applyBorder="1"/>
    <xf numFmtId="0" fontId="11" fillId="0" borderId="1" xfId="23" applyFont="1" applyFill="1" applyBorder="1"/>
    <xf numFmtId="0" fontId="21" fillId="0" borderId="5" xfId="4" applyFont="1" applyFill="1" applyBorder="1" applyAlignment="1">
      <alignment horizontal="left"/>
    </xf>
    <xf numFmtId="0" fontId="21" fillId="9" borderId="7" xfId="4" applyFont="1" applyFill="1" applyBorder="1"/>
    <xf numFmtId="0" fontId="21" fillId="9" borderId="9" xfId="4" applyFont="1" applyFill="1" applyBorder="1"/>
    <xf numFmtId="0" fontId="21" fillId="9" borderId="11" xfId="4" applyFont="1" applyFill="1" applyBorder="1"/>
    <xf numFmtId="0" fontId="22" fillId="0" borderId="0" xfId="4" applyFont="1" applyFill="1"/>
    <xf numFmtId="0" fontId="21" fillId="0" borderId="0" xfId="4" applyFont="1" applyFill="1"/>
    <xf numFmtId="0" fontId="21" fillId="0" borderId="0" xfId="4" applyFont="1"/>
    <xf numFmtId="0" fontId="21" fillId="9" borderId="7" xfId="4" quotePrefix="1" applyFont="1" applyFill="1" applyBorder="1" applyAlignment="1">
      <alignment horizontal="left"/>
    </xf>
    <xf numFmtId="0" fontId="22" fillId="9" borderId="7" xfId="4" applyFont="1" applyFill="1" applyBorder="1"/>
    <xf numFmtId="0" fontId="21" fillId="9" borderId="9" xfId="4" applyFont="1" applyFill="1" applyBorder="1" applyAlignment="1">
      <alignment horizontal="center"/>
    </xf>
    <xf numFmtId="0" fontId="22" fillId="9" borderId="11" xfId="4" applyFont="1" applyFill="1" applyBorder="1"/>
    <xf numFmtId="0" fontId="22" fillId="0" borderId="0" xfId="4" applyFont="1"/>
    <xf numFmtId="0" fontId="20" fillId="0" borderId="0" xfId="1" applyFont="1"/>
    <xf numFmtId="3" fontId="20" fillId="25" borderId="2" xfId="1" applyNumberFormat="1" applyFont="1" applyFill="1" applyBorder="1" applyAlignment="1">
      <alignment horizontal="center"/>
    </xf>
    <xf numFmtId="4" fontId="20" fillId="25" borderId="3" xfId="1" applyNumberFormat="1" applyFont="1" applyFill="1" applyBorder="1" applyAlignment="1">
      <alignment horizontal="center"/>
    </xf>
    <xf numFmtId="4" fontId="20" fillId="25" borderId="4" xfId="1" applyNumberFormat="1" applyFont="1" applyFill="1" applyBorder="1" applyAlignment="1">
      <alignment horizontal="center"/>
    </xf>
    <xf numFmtId="4" fontId="20" fillId="16" borderId="0" xfId="1" applyNumberFormat="1" applyFont="1" applyFill="1" applyBorder="1" applyAlignment="1">
      <alignment horizontal="center"/>
    </xf>
    <xf numFmtId="3" fontId="20" fillId="25" borderId="43" xfId="1" applyNumberFormat="1" applyFont="1" applyFill="1" applyBorder="1" applyAlignment="1">
      <alignment horizontal="center"/>
    </xf>
    <xf numFmtId="4" fontId="20" fillId="25" borderId="44" xfId="1" applyNumberFormat="1" applyFont="1" applyFill="1" applyBorder="1" applyAlignment="1">
      <alignment horizontal="center"/>
    </xf>
    <xf numFmtId="4" fontId="20" fillId="25" borderId="45" xfId="1" applyNumberFormat="1" applyFont="1" applyFill="1" applyBorder="1" applyAlignment="1">
      <alignment horizontal="center"/>
    </xf>
    <xf numFmtId="3" fontId="7" fillId="0" borderId="33" xfId="1" applyNumberFormat="1" applyFont="1" applyBorder="1" applyAlignment="1">
      <alignment horizontal="center"/>
    </xf>
    <xf numFmtId="4" fontId="7" fillId="0" borderId="0" xfId="1" applyNumberFormat="1" applyFont="1" applyBorder="1" applyAlignment="1">
      <alignment horizontal="center"/>
    </xf>
    <xf numFmtId="164" fontId="11" fillId="0" borderId="0" xfId="2" applyNumberFormat="1" applyFont="1" applyBorder="1" applyAlignment="1">
      <alignment horizontal="right"/>
    </xf>
    <xf numFmtId="164" fontId="11" fillId="0" borderId="0" xfId="2" applyNumberFormat="1" applyFont="1" applyBorder="1" applyAlignment="1">
      <alignment horizontal="center"/>
    </xf>
    <xf numFmtId="0" fontId="7" fillId="0" borderId="26" xfId="1" applyFont="1" applyBorder="1"/>
    <xf numFmtId="0" fontId="7" fillId="0" borderId="33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164" fontId="11" fillId="0" borderId="0" xfId="2" applyNumberFormat="1" applyFont="1" applyBorder="1"/>
    <xf numFmtId="0" fontId="7" fillId="0" borderId="0" xfId="1" applyFont="1" applyBorder="1"/>
    <xf numFmtId="0" fontId="7" fillId="0" borderId="33" xfId="1" applyFont="1" applyBorder="1"/>
    <xf numFmtId="2" fontId="7" fillId="0" borderId="33" xfId="1" applyNumberFormat="1" applyFont="1" applyBorder="1"/>
    <xf numFmtId="2" fontId="7" fillId="0" borderId="0" xfId="1" applyNumberFormat="1" applyFont="1" applyBorder="1"/>
    <xf numFmtId="3" fontId="20" fillId="25" borderId="40" xfId="1" applyNumberFormat="1" applyFont="1" applyFill="1" applyBorder="1" applyAlignment="1">
      <alignment horizontal="center"/>
    </xf>
    <xf numFmtId="4" fontId="20" fillId="25" borderId="41" xfId="1" applyNumberFormat="1" applyFont="1" applyFill="1" applyBorder="1" applyAlignment="1">
      <alignment horizontal="center"/>
    </xf>
    <xf numFmtId="4" fontId="20" fillId="25" borderId="42" xfId="1" applyNumberFormat="1" applyFont="1" applyFill="1" applyBorder="1" applyAlignment="1">
      <alignment horizontal="center"/>
    </xf>
    <xf numFmtId="43" fontId="7" fillId="0" borderId="0" xfId="1" applyNumberFormat="1" applyFont="1"/>
    <xf numFmtId="43" fontId="7" fillId="0" borderId="26" xfId="1" applyNumberFormat="1" applyFont="1" applyBorder="1" applyAlignment="1">
      <alignment horizontal="center"/>
    </xf>
    <xf numFmtId="9" fontId="7" fillId="0" borderId="26" xfId="1" applyNumberFormat="1" applyFont="1" applyBorder="1" applyAlignment="1">
      <alignment horizontal="center"/>
    </xf>
    <xf numFmtId="0" fontId="7" fillId="0" borderId="59" xfId="1" applyFont="1" applyBorder="1" applyAlignment="1">
      <alignment horizontal="center"/>
    </xf>
    <xf numFmtId="4" fontId="20" fillId="0" borderId="13" xfId="1" applyNumberFormat="1" applyFont="1" applyFill="1" applyBorder="1" applyAlignment="1">
      <alignment horizontal="center"/>
    </xf>
    <xf numFmtId="164" fontId="20" fillId="0" borderId="13" xfId="2" applyNumberFormat="1" applyFont="1" applyBorder="1"/>
    <xf numFmtId="164" fontId="11" fillId="0" borderId="13" xfId="2" applyNumberFormat="1" applyFont="1" applyBorder="1"/>
    <xf numFmtId="0" fontId="7" fillId="0" borderId="26" xfId="1" applyFont="1" applyBorder="1" applyAlignment="1">
      <alignment horizontal="center"/>
    </xf>
    <xf numFmtId="9" fontId="11" fillId="0" borderId="26" xfId="12" applyFont="1" applyBorder="1" applyAlignment="1">
      <alignment horizontal="center"/>
    </xf>
    <xf numFmtId="9" fontId="11" fillId="0" borderId="0" xfId="12" applyFont="1"/>
    <xf numFmtId="9" fontId="7" fillId="0" borderId="0" xfId="1" applyNumberFormat="1" applyFont="1"/>
    <xf numFmtId="9" fontId="11" fillId="0" borderId="26" xfId="12" applyFont="1" applyFill="1" applyBorder="1" applyAlignment="1">
      <alignment horizontal="center"/>
    </xf>
    <xf numFmtId="43" fontId="7" fillId="0" borderId="0" xfId="1" applyNumberFormat="1" applyFont="1" applyBorder="1"/>
    <xf numFmtId="164" fontId="7" fillId="0" borderId="0" xfId="1" applyNumberFormat="1" applyFont="1" applyBorder="1"/>
    <xf numFmtId="0" fontId="7" fillId="0" borderId="60" xfId="1" applyFont="1" applyBorder="1" applyAlignment="1">
      <alignment horizontal="center"/>
    </xf>
    <xf numFmtId="0" fontId="7" fillId="0" borderId="46" xfId="1" applyFont="1" applyBorder="1" applyAlignment="1">
      <alignment horizontal="center"/>
    </xf>
    <xf numFmtId="1" fontId="7" fillId="0" borderId="46" xfId="1" applyNumberFormat="1" applyFont="1" applyBorder="1"/>
    <xf numFmtId="2" fontId="7" fillId="0" borderId="0" xfId="6" applyNumberFormat="1" applyFont="1"/>
    <xf numFmtId="165" fontId="7" fillId="0" borderId="0" xfId="1" applyNumberFormat="1" applyFont="1"/>
    <xf numFmtId="0" fontId="11" fillId="0" borderId="0" xfId="0" applyFont="1" applyBorder="1" applyAlignment="1">
      <alignment horizontal="center"/>
    </xf>
    <xf numFmtId="9" fontId="11" fillId="0" borderId="62" xfId="12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21" borderId="0" xfId="0" applyFont="1" applyFill="1" applyAlignment="1">
      <alignment horizontal="center"/>
    </xf>
    <xf numFmtId="43" fontId="0" fillId="0" borderId="0" xfId="0" applyNumberFormat="1" applyFont="1"/>
    <xf numFmtId="0" fontId="22" fillId="0" borderId="0" xfId="1" applyFont="1"/>
    <xf numFmtId="168" fontId="7" fillId="0" borderId="1" xfId="1" applyNumberFormat="1" applyFont="1" applyFill="1" applyBorder="1"/>
    <xf numFmtId="2" fontId="7" fillId="0" borderId="1" xfId="1" applyNumberFormat="1" applyFont="1" applyFill="1" applyBorder="1"/>
    <xf numFmtId="168" fontId="7" fillId="0" borderId="1" xfId="1" applyNumberFormat="1" applyFont="1" applyBorder="1"/>
    <xf numFmtId="3" fontId="20" fillId="15" borderId="2" xfId="1" applyNumberFormat="1" applyFont="1" applyFill="1" applyBorder="1" applyAlignment="1">
      <alignment horizontal="center"/>
    </xf>
    <xf numFmtId="4" fontId="20" fillId="15" borderId="3" xfId="1" applyNumberFormat="1" applyFont="1" applyFill="1" applyBorder="1" applyAlignment="1">
      <alignment horizontal="center"/>
    </xf>
    <xf numFmtId="4" fontId="20" fillId="15" borderId="54" xfId="1" applyNumberFormat="1" applyFont="1" applyFill="1" applyBorder="1" applyAlignment="1">
      <alignment horizontal="center"/>
    </xf>
    <xf numFmtId="4" fontId="20" fillId="15" borderId="6" xfId="1" applyNumberFormat="1" applyFont="1" applyFill="1" applyBorder="1" applyAlignment="1">
      <alignment horizontal="center"/>
    </xf>
    <xf numFmtId="3" fontId="20" fillId="15" borderId="40" xfId="1" applyNumberFormat="1" applyFont="1" applyFill="1" applyBorder="1" applyAlignment="1">
      <alignment horizontal="center"/>
    </xf>
    <xf numFmtId="4" fontId="20" fillId="15" borderId="41" xfId="1" applyNumberFormat="1" applyFont="1" applyFill="1" applyBorder="1" applyAlignment="1">
      <alignment horizontal="center"/>
    </xf>
    <xf numFmtId="4" fontId="20" fillId="15" borderId="36" xfId="1" applyNumberFormat="1" applyFont="1" applyFill="1" applyBorder="1" applyAlignment="1">
      <alignment horizontal="center"/>
    </xf>
    <xf numFmtId="4" fontId="20" fillId="15" borderId="12" xfId="1" applyNumberFormat="1" applyFont="1" applyFill="1" applyBorder="1" applyAlignment="1">
      <alignment horizontal="center"/>
    </xf>
    <xf numFmtId="3" fontId="20" fillId="15" borderId="43" xfId="1" applyNumberFormat="1" applyFont="1" applyFill="1" applyBorder="1" applyAlignment="1">
      <alignment horizontal="center"/>
    </xf>
    <xf numFmtId="4" fontId="20" fillId="15" borderId="44" xfId="1" applyNumberFormat="1" applyFont="1" applyFill="1" applyBorder="1" applyAlignment="1">
      <alignment horizontal="center"/>
    </xf>
    <xf numFmtId="4" fontId="20" fillId="15" borderId="15" xfId="1" applyNumberFormat="1" applyFont="1" applyFill="1" applyBorder="1" applyAlignment="1">
      <alignment horizontal="center"/>
    </xf>
    <xf numFmtId="4" fontId="20" fillId="15" borderId="38" xfId="1" applyNumberFormat="1" applyFont="1" applyFill="1" applyBorder="1" applyAlignment="1">
      <alignment horizontal="center"/>
    </xf>
    <xf numFmtId="4" fontId="20" fillId="15" borderId="27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left"/>
    </xf>
    <xf numFmtId="2" fontId="7" fillId="0" borderId="0" xfId="1" applyNumberFormat="1" applyFont="1" applyBorder="1" applyAlignment="1">
      <alignment horizontal="center"/>
    </xf>
    <xf numFmtId="0" fontId="7" fillId="0" borderId="26" xfId="1" applyFont="1" applyBorder="1" applyAlignment="1">
      <alignment horizontal="left"/>
    </xf>
    <xf numFmtId="0" fontId="7" fillId="0" borderId="0" xfId="1" applyFont="1" applyBorder="1" applyAlignment="1">
      <alignment horizontal="left"/>
    </xf>
    <xf numFmtId="0" fontId="7" fillId="0" borderId="1" xfId="1" applyFont="1" applyBorder="1"/>
    <xf numFmtId="165" fontId="7" fillId="0" borderId="1" xfId="9" applyNumberFormat="1" applyFont="1" applyFill="1" applyBorder="1" applyAlignment="1">
      <alignment horizontal="center"/>
    </xf>
    <xf numFmtId="1" fontId="7" fillId="0" borderId="1" xfId="1" applyNumberFormat="1" applyFont="1" applyBorder="1"/>
    <xf numFmtId="165" fontId="7" fillId="0" borderId="1" xfId="9" quotePrefix="1" applyNumberFormat="1" applyFont="1" applyFill="1" applyBorder="1" applyAlignment="1">
      <alignment horizontal="center"/>
    </xf>
    <xf numFmtId="165" fontId="7" fillId="0" borderId="0" xfId="9" quotePrefix="1" applyNumberFormat="1" applyFont="1" applyFill="1" applyBorder="1" applyAlignment="1">
      <alignment horizontal="center"/>
    </xf>
    <xf numFmtId="1" fontId="7" fillId="0" borderId="0" xfId="1" applyNumberFormat="1" applyFont="1" applyFill="1" applyBorder="1"/>
    <xf numFmtId="168" fontId="7" fillId="0" borderId="0" xfId="1" applyNumberFormat="1" applyFont="1" applyFill="1" applyBorder="1"/>
    <xf numFmtId="0" fontId="7" fillId="0" borderId="0" xfId="1" applyFont="1" applyFill="1" applyBorder="1"/>
    <xf numFmtId="0" fontId="20" fillId="0" borderId="26" xfId="1" applyFont="1" applyBorder="1"/>
    <xf numFmtId="0" fontId="20" fillId="0" borderId="0" xfId="1" applyFont="1" applyBorder="1"/>
    <xf numFmtId="0" fontId="20" fillId="0" borderId="33" xfId="1" applyFont="1" applyBorder="1" applyAlignment="1">
      <alignment horizontal="center"/>
    </xf>
    <xf numFmtId="1" fontId="7" fillId="0" borderId="0" xfId="1" applyNumberFormat="1" applyFont="1" applyBorder="1" applyAlignment="1">
      <alignment horizontal="center"/>
    </xf>
    <xf numFmtId="0" fontId="20" fillId="0" borderId="0" xfId="1" applyFont="1" applyFill="1"/>
    <xf numFmtId="9" fontId="20" fillId="0" borderId="0" xfId="12" applyFont="1" applyFill="1"/>
    <xf numFmtId="3" fontId="20" fillId="15" borderId="6" xfId="1" applyNumberFormat="1" applyFont="1" applyFill="1" applyBorder="1" applyAlignment="1">
      <alignment horizontal="center"/>
    </xf>
    <xf numFmtId="4" fontId="20" fillId="15" borderId="49" xfId="1" applyNumberFormat="1" applyFont="1" applyFill="1" applyBorder="1" applyAlignment="1">
      <alignment horizontal="center"/>
    </xf>
    <xf numFmtId="4" fontId="20" fillId="15" borderId="4" xfId="1" applyNumberFormat="1" applyFont="1" applyFill="1" applyBorder="1" applyAlignment="1">
      <alignment horizontal="center"/>
    </xf>
    <xf numFmtId="3" fontId="20" fillId="15" borderId="12" xfId="1" applyNumberFormat="1" applyFont="1" applyFill="1" applyBorder="1" applyAlignment="1">
      <alignment horizontal="center"/>
    </xf>
    <xf numFmtId="4" fontId="20" fillId="15" borderId="37" xfId="1" applyNumberFormat="1" applyFont="1" applyFill="1" applyBorder="1" applyAlignment="1">
      <alignment horizontal="center"/>
    </xf>
    <xf numFmtId="4" fontId="20" fillId="15" borderId="42" xfId="1" applyNumberFormat="1" applyFont="1" applyFill="1" applyBorder="1" applyAlignment="1">
      <alignment horizontal="center"/>
    </xf>
    <xf numFmtId="3" fontId="20" fillId="15" borderId="27" xfId="1" applyNumberFormat="1" applyFont="1" applyFill="1" applyBorder="1" applyAlignment="1">
      <alignment horizontal="center"/>
    </xf>
    <xf numFmtId="4" fontId="20" fillId="15" borderId="48" xfId="1" applyNumberFormat="1" applyFont="1" applyFill="1" applyBorder="1" applyAlignment="1">
      <alignment horizontal="center"/>
    </xf>
    <xf numFmtId="4" fontId="20" fillId="15" borderId="45" xfId="1" applyNumberFormat="1" applyFont="1" applyFill="1" applyBorder="1" applyAlignment="1">
      <alignment horizontal="center"/>
    </xf>
    <xf numFmtId="0" fontId="7" fillId="0" borderId="33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left" vertical="top"/>
    </xf>
    <xf numFmtId="1" fontId="7" fillId="0" borderId="0" xfId="25" applyNumberFormat="1" applyFont="1" applyFill="1" applyBorder="1" applyAlignment="1">
      <alignment horizontal="center"/>
    </xf>
    <xf numFmtId="4" fontId="20" fillId="0" borderId="0" xfId="1" applyNumberFormat="1" applyFont="1" applyFill="1" applyBorder="1" applyAlignment="1">
      <alignment horizontal="left"/>
    </xf>
    <xf numFmtId="0" fontId="7" fillId="0" borderId="61" xfId="1" applyFont="1" applyBorder="1"/>
    <xf numFmtId="0" fontId="7" fillId="0" borderId="51" xfId="1" applyFont="1" applyBorder="1"/>
    <xf numFmtId="0" fontId="7" fillId="0" borderId="51" xfId="1" applyFont="1" applyBorder="1" applyAlignment="1">
      <alignment horizontal="center"/>
    </xf>
    <xf numFmtId="0" fontId="7" fillId="0" borderId="62" xfId="1" applyFont="1" applyBorder="1"/>
    <xf numFmtId="0" fontId="20" fillId="29" borderId="0" xfId="1" applyFont="1" applyFill="1"/>
    <xf numFmtId="0" fontId="7" fillId="29" borderId="0" xfId="1" applyFont="1" applyFill="1"/>
    <xf numFmtId="0" fontId="7" fillId="29" borderId="1" xfId="1" applyFont="1" applyFill="1" applyBorder="1"/>
    <xf numFmtId="0" fontId="7" fillId="29" borderId="18" xfId="1" applyFont="1" applyFill="1" applyBorder="1"/>
    <xf numFmtId="0" fontId="7" fillId="29" borderId="24" xfId="1" applyFont="1" applyFill="1" applyBorder="1"/>
    <xf numFmtId="0" fontId="7" fillId="29" borderId="0" xfId="1" applyFont="1" applyFill="1" applyBorder="1"/>
    <xf numFmtId="0" fontId="7" fillId="29" borderId="37" xfId="1" applyFont="1" applyFill="1" applyBorder="1"/>
    <xf numFmtId="9" fontId="11" fillId="29" borderId="1" xfId="12" applyFont="1" applyFill="1" applyBorder="1"/>
    <xf numFmtId="0" fontId="7" fillId="29" borderId="13" xfId="1" applyFont="1" applyFill="1" applyBorder="1"/>
    <xf numFmtId="0" fontId="7" fillId="29" borderId="39" xfId="1" applyFont="1" applyFill="1" applyBorder="1"/>
    <xf numFmtId="9" fontId="11" fillId="29" borderId="0" xfId="12" applyFont="1" applyFill="1"/>
    <xf numFmtId="9" fontId="20" fillId="29" borderId="0" xfId="1" applyNumberFormat="1" applyFont="1" applyFill="1"/>
    <xf numFmtId="0" fontId="20" fillId="29" borderId="33" xfId="1" applyFont="1" applyFill="1" applyBorder="1" applyAlignment="1">
      <alignment horizontal="center"/>
    </xf>
    <xf numFmtId="0" fontId="20" fillId="29" borderId="0" xfId="1" applyFont="1" applyFill="1" applyBorder="1" applyAlignment="1">
      <alignment horizontal="left"/>
    </xf>
    <xf numFmtId="2" fontId="20" fillId="29" borderId="0" xfId="1" applyNumberFormat="1" applyFont="1" applyFill="1" applyBorder="1" applyAlignment="1">
      <alignment horizontal="center"/>
    </xf>
    <xf numFmtId="4" fontId="20" fillId="29" borderId="0" xfId="1" applyNumberFormat="1" applyFont="1" applyFill="1" applyBorder="1" applyAlignment="1">
      <alignment horizontal="center"/>
    </xf>
    <xf numFmtId="0" fontId="7" fillId="29" borderId="26" xfId="1" applyFont="1" applyFill="1" applyBorder="1"/>
    <xf numFmtId="0" fontId="20" fillId="29" borderId="0" xfId="1" applyFont="1" applyFill="1" applyBorder="1"/>
    <xf numFmtId="9" fontId="20" fillId="29" borderId="0" xfId="12" applyFont="1" applyFill="1"/>
    <xf numFmtId="0" fontId="20" fillId="29" borderId="0" xfId="10" applyFont="1" applyFill="1" applyBorder="1"/>
    <xf numFmtId="0" fontId="7" fillId="29" borderId="0" xfId="1" applyFont="1" applyFill="1" applyBorder="1" applyAlignment="1">
      <alignment horizontal="center"/>
    </xf>
    <xf numFmtId="1" fontId="20" fillId="29" borderId="0" xfId="1" applyNumberFormat="1" applyFont="1" applyFill="1" applyBorder="1" applyAlignment="1">
      <alignment horizontal="center"/>
    </xf>
    <xf numFmtId="0" fontId="2" fillId="29" borderId="0" xfId="23" applyFont="1" applyFill="1" applyBorder="1"/>
    <xf numFmtId="165" fontId="11" fillId="29" borderId="0" xfId="24" applyNumberFormat="1" applyFont="1" applyFill="1" applyBorder="1" applyAlignment="1">
      <alignment horizontal="center" vertical="center"/>
    </xf>
    <xf numFmtId="2" fontId="20" fillId="14" borderId="0" xfId="8" applyNumberFormat="1" applyFont="1" applyFill="1" applyAlignment="1">
      <alignment horizontal="center"/>
    </xf>
    <xf numFmtId="2" fontId="7" fillId="14" borderId="0" xfId="1" applyNumberFormat="1" applyFont="1" applyFill="1" applyAlignment="1">
      <alignment horizontal="center"/>
    </xf>
    <xf numFmtId="165" fontId="20" fillId="14" borderId="0" xfId="6" applyNumberFormat="1" applyFont="1" applyFill="1" applyAlignment="1">
      <alignment horizontal="center"/>
    </xf>
    <xf numFmtId="9" fontId="20" fillId="14" borderId="0" xfId="6" applyFont="1" applyFill="1" applyAlignment="1">
      <alignment horizontal="center"/>
    </xf>
    <xf numFmtId="0" fontId="20" fillId="14" borderId="0" xfId="4" applyFont="1" applyFill="1" applyBorder="1" applyAlignment="1"/>
    <xf numFmtId="0" fontId="20" fillId="14" borderId="0" xfId="4" applyFont="1" applyFill="1" applyBorder="1" applyAlignment="1">
      <alignment horizontal="center"/>
    </xf>
    <xf numFmtId="4" fontId="20" fillId="14" borderId="0" xfId="4" applyNumberFormat="1" applyFont="1" applyFill="1" applyBorder="1" applyAlignment="1">
      <alignment horizontal="center" wrapText="1"/>
    </xf>
    <xf numFmtId="4" fontId="20" fillId="14" borderId="0" xfId="4" applyNumberFormat="1" applyFont="1" applyFill="1" applyBorder="1" applyAlignment="1">
      <alignment horizontal="center"/>
    </xf>
    <xf numFmtId="2" fontId="11" fillId="14" borderId="0" xfId="9" applyNumberFormat="1" applyFont="1" applyFill="1" applyAlignment="1">
      <alignment horizontal="center"/>
    </xf>
    <xf numFmtId="0" fontId="7" fillId="17" borderId="0" xfId="10" applyFont="1" applyFill="1" applyBorder="1" applyAlignment="1">
      <alignment horizontal="center"/>
    </xf>
    <xf numFmtId="0" fontId="7" fillId="17" borderId="0" xfId="10" applyFont="1" applyFill="1" applyBorder="1"/>
    <xf numFmtId="0" fontId="20" fillId="14" borderId="38" xfId="8" applyFont="1" applyFill="1" applyBorder="1" applyAlignment="1">
      <alignment horizontal="center"/>
    </xf>
    <xf numFmtId="0" fontId="20" fillId="14" borderId="13" xfId="8" applyFont="1" applyFill="1" applyBorder="1" applyAlignment="1">
      <alignment horizontal="center"/>
    </xf>
    <xf numFmtId="0" fontId="7" fillId="30" borderId="1" xfId="1" applyFont="1" applyFill="1" applyBorder="1" applyAlignment="1">
      <alignment horizontal="center"/>
    </xf>
    <xf numFmtId="0" fontId="7" fillId="30" borderId="1" xfId="1" applyFont="1" applyFill="1" applyBorder="1" applyAlignment="1">
      <alignment horizontal="left"/>
    </xf>
    <xf numFmtId="0" fontId="7" fillId="29" borderId="1" xfId="1" applyFont="1" applyFill="1" applyBorder="1" applyAlignment="1">
      <alignment horizontal="center"/>
    </xf>
    <xf numFmtId="0" fontId="7" fillId="29" borderId="1" xfId="1" applyFont="1" applyFill="1" applyBorder="1" applyAlignment="1">
      <alignment horizontal="left"/>
    </xf>
    <xf numFmtId="0" fontId="7" fillId="29" borderId="1" xfId="1" applyFont="1" applyFill="1" applyBorder="1" applyAlignment="1">
      <alignment horizontal="left" vertical="top"/>
    </xf>
    <xf numFmtId="0" fontId="7" fillId="30" borderId="1" xfId="1" applyFont="1" applyFill="1" applyBorder="1" applyAlignment="1">
      <alignment horizontal="center" vertical="top"/>
    </xf>
    <xf numFmtId="0" fontId="7" fillId="30" borderId="1" xfId="1" applyFont="1" applyFill="1" applyBorder="1" applyAlignment="1">
      <alignment horizontal="left" vertical="top"/>
    </xf>
    <xf numFmtId="0" fontId="7" fillId="32" borderId="1" xfId="1" applyFont="1" applyFill="1" applyBorder="1" applyAlignment="1">
      <alignment horizontal="center"/>
    </xf>
    <xf numFmtId="0" fontId="7" fillId="32" borderId="1" xfId="1" applyFont="1" applyFill="1" applyBorder="1" applyAlignment="1">
      <alignment horizontal="left"/>
    </xf>
    <xf numFmtId="0" fontId="7" fillId="33" borderId="1" xfId="1" applyFont="1" applyFill="1" applyBorder="1" applyAlignment="1">
      <alignment horizontal="center"/>
    </xf>
    <xf numFmtId="0" fontId="7" fillId="33" borderId="1" xfId="1" applyFont="1" applyFill="1" applyBorder="1" applyAlignment="1">
      <alignment horizontal="left" vertical="top"/>
    </xf>
    <xf numFmtId="0" fontId="21" fillId="0" borderId="0" xfId="4" applyFont="1" applyFill="1" applyAlignment="1">
      <alignment horizontal="center"/>
    </xf>
    <xf numFmtId="0" fontId="22" fillId="0" borderId="0" xfId="4" applyFont="1" applyFill="1" applyAlignment="1">
      <alignment horizontal="center"/>
    </xf>
    <xf numFmtId="0" fontId="21" fillId="0" borderId="3" xfId="4" applyFont="1" applyFill="1" applyBorder="1" applyAlignment="1">
      <alignment horizontal="center"/>
    </xf>
    <xf numFmtId="0" fontId="21" fillId="0" borderId="0" xfId="4" applyFont="1" applyAlignment="1">
      <alignment horizontal="center"/>
    </xf>
    <xf numFmtId="0" fontId="21" fillId="0" borderId="13" xfId="4" applyFont="1" applyFill="1" applyBorder="1"/>
    <xf numFmtId="0" fontId="21" fillId="0" borderId="15" xfId="4" applyFont="1" applyFill="1" applyBorder="1" applyAlignment="1">
      <alignment horizontal="center"/>
    </xf>
    <xf numFmtId="0" fontId="22" fillId="0" borderId="17" xfId="4" applyFont="1" applyFill="1" applyBorder="1"/>
    <xf numFmtId="0" fontId="21" fillId="0" borderId="18" xfId="4" applyFont="1" applyFill="1" applyBorder="1"/>
    <xf numFmtId="0" fontId="21" fillId="0" borderId="1" xfId="4" applyFont="1" applyFill="1" applyBorder="1" applyAlignment="1">
      <alignment horizontal="center"/>
    </xf>
    <xf numFmtId="0" fontId="22" fillId="0" borderId="21" xfId="4" applyFont="1" applyFill="1" applyBorder="1"/>
    <xf numFmtId="0" fontId="23" fillId="2" borderId="13" xfId="4" applyFont="1" applyFill="1" applyBorder="1"/>
    <xf numFmtId="0" fontId="22" fillId="2" borderId="18" xfId="4" applyFont="1" applyFill="1" applyBorder="1"/>
    <xf numFmtId="0" fontId="22" fillId="2" borderId="21" xfId="4" applyFont="1" applyFill="1" applyBorder="1"/>
    <xf numFmtId="0" fontId="22" fillId="2" borderId="21" xfId="4" quotePrefix="1" applyFont="1" applyFill="1" applyBorder="1" applyAlignment="1">
      <alignment horizontal="left"/>
    </xf>
    <xf numFmtId="0" fontId="23" fillId="2" borderId="18" xfId="4" applyFont="1" applyFill="1" applyBorder="1"/>
    <xf numFmtId="0" fontId="24" fillId="0" borderId="1" xfId="4" applyFont="1" applyFill="1" applyBorder="1" applyAlignment="1">
      <alignment horizontal="center"/>
    </xf>
    <xf numFmtId="0" fontId="23" fillId="2" borderId="21" xfId="4" applyFont="1" applyFill="1" applyBorder="1"/>
    <xf numFmtId="0" fontId="21" fillId="0" borderId="22" xfId="4" applyFont="1" applyFill="1" applyBorder="1" applyAlignment="1">
      <alignment horizontal="center"/>
    </xf>
    <xf numFmtId="0" fontId="23" fillId="2" borderId="21" xfId="4" quotePrefix="1" applyFont="1" applyFill="1" applyBorder="1" applyAlignment="1">
      <alignment horizontal="left"/>
    </xf>
    <xf numFmtId="0" fontId="24" fillId="0" borderId="15" xfId="4" applyFont="1" applyFill="1" applyBorder="1" applyAlignment="1">
      <alignment horizontal="center"/>
    </xf>
    <xf numFmtId="0" fontId="24" fillId="0" borderId="20" xfId="4" applyFont="1" applyFill="1" applyBorder="1" applyAlignment="1">
      <alignment horizontal="center"/>
    </xf>
    <xf numFmtId="0" fontId="22" fillId="4" borderId="0" xfId="4" applyFont="1" applyFill="1"/>
    <xf numFmtId="0" fontId="22" fillId="0" borderId="18" xfId="4" applyFont="1" applyFill="1" applyBorder="1"/>
    <xf numFmtId="0" fontId="23" fillId="2" borderId="0" xfId="4" quotePrefix="1" applyFont="1" applyFill="1" applyBorder="1" applyAlignment="1">
      <alignment horizontal="left"/>
    </xf>
    <xf numFmtId="0" fontId="22" fillId="2" borderId="0" xfId="4" applyFont="1" applyFill="1" applyBorder="1"/>
    <xf numFmtId="0" fontId="24" fillId="0" borderId="25" xfId="4" applyFont="1" applyFill="1" applyBorder="1" applyAlignment="1">
      <alignment horizontal="center"/>
    </xf>
    <xf numFmtId="0" fontId="22" fillId="2" borderId="26" xfId="4" quotePrefix="1" applyFont="1" applyFill="1" applyBorder="1" applyAlignment="1">
      <alignment horizontal="left"/>
    </xf>
    <xf numFmtId="0" fontId="21" fillId="0" borderId="13" xfId="4" quotePrefix="1" applyFont="1" applyFill="1" applyBorder="1" applyAlignment="1">
      <alignment horizontal="left"/>
    </xf>
    <xf numFmtId="0" fontId="21" fillId="0" borderId="18" xfId="4" quotePrefix="1" applyFont="1" applyFill="1" applyBorder="1" applyAlignment="1">
      <alignment horizontal="left"/>
    </xf>
    <xf numFmtId="0" fontId="22" fillId="0" borderId="21" xfId="4" quotePrefix="1" applyFont="1" applyFill="1" applyBorder="1" applyAlignment="1">
      <alignment horizontal="left"/>
    </xf>
    <xf numFmtId="0" fontId="23" fillId="2" borderId="13" xfId="4" quotePrefix="1" applyFont="1" applyFill="1" applyBorder="1" applyAlignment="1">
      <alignment horizontal="left"/>
    </xf>
    <xf numFmtId="0" fontId="21" fillId="0" borderId="18" xfId="4" applyFont="1" applyFill="1" applyBorder="1" applyAlignment="1">
      <alignment horizontal="left"/>
    </xf>
    <xf numFmtId="0" fontId="21" fillId="0" borderId="28" xfId="4" applyFont="1" applyFill="1" applyBorder="1" applyAlignment="1">
      <alignment horizontal="left"/>
    </xf>
    <xf numFmtId="0" fontId="21" fillId="0" borderId="30" xfId="4" applyFont="1" applyFill="1" applyBorder="1" applyAlignment="1">
      <alignment horizontal="center"/>
    </xf>
    <xf numFmtId="0" fontId="22" fillId="0" borderId="32" xfId="4" applyFont="1" applyFill="1" applyBorder="1"/>
    <xf numFmtId="0" fontId="22" fillId="2" borderId="13" xfId="4" applyFont="1" applyFill="1" applyBorder="1" applyAlignment="1">
      <alignment horizontal="left"/>
    </xf>
    <xf numFmtId="0" fontId="24" fillId="2" borderId="15" xfId="4" applyFont="1" applyFill="1" applyBorder="1" applyAlignment="1">
      <alignment horizontal="center"/>
    </xf>
    <xf numFmtId="0" fontId="22" fillId="2" borderId="17" xfId="4" applyFont="1" applyFill="1" applyBorder="1"/>
    <xf numFmtId="0" fontId="22" fillId="2" borderId="28" xfId="4" applyFont="1" applyFill="1" applyBorder="1" applyAlignment="1">
      <alignment horizontal="left"/>
    </xf>
    <xf numFmtId="0" fontId="23" fillId="2" borderId="28" xfId="4" quotePrefix="1" applyFont="1" applyFill="1" applyBorder="1" applyAlignment="1">
      <alignment horizontal="left"/>
    </xf>
    <xf numFmtId="0" fontId="24" fillId="2" borderId="30" xfId="4" applyFont="1" applyFill="1" applyBorder="1" applyAlignment="1">
      <alignment horizontal="center"/>
    </xf>
    <xf numFmtId="0" fontId="22" fillId="2" borderId="32" xfId="4" quotePrefix="1" applyFont="1" applyFill="1" applyBorder="1" applyAlignment="1">
      <alignment horizontal="left"/>
    </xf>
    <xf numFmtId="0" fontId="25" fillId="0" borderId="0" xfId="0" applyFont="1" applyBorder="1"/>
    <xf numFmtId="0" fontId="26" fillId="0" borderId="0" xfId="0" applyFont="1" applyBorder="1"/>
    <xf numFmtId="0" fontId="19" fillId="0" borderId="0" xfId="0" applyFont="1" applyBorder="1" applyAlignment="1">
      <alignment horizontal="center"/>
    </xf>
    <xf numFmtId="0" fontId="22" fillId="0" borderId="0" xfId="4" quotePrefix="1" applyFont="1" applyAlignment="1">
      <alignment horizontal="left"/>
    </xf>
    <xf numFmtId="0" fontId="19" fillId="0" borderId="13" xfId="0" applyFont="1" applyBorder="1"/>
    <xf numFmtId="0" fontId="19" fillId="0" borderId="13" xfId="0" applyFont="1" applyBorder="1" applyAlignment="1">
      <alignment horizontal="center"/>
    </xf>
    <xf numFmtId="0" fontId="22" fillId="0" borderId="0" xfId="4" applyFont="1" applyFill="1" applyAlignment="1">
      <alignment horizontal="right"/>
    </xf>
    <xf numFmtId="0" fontId="22" fillId="19" borderId="0" xfId="4" applyFont="1" applyFill="1" applyAlignment="1">
      <alignment horizontal="center"/>
    </xf>
    <xf numFmtId="0" fontId="26" fillId="0" borderId="1" xfId="0" applyFont="1" applyBorder="1"/>
    <xf numFmtId="0" fontId="26" fillId="0" borderId="1" xfId="0" applyFont="1" applyBorder="1" applyAlignment="1">
      <alignment horizontal="right"/>
    </xf>
    <xf numFmtId="171" fontId="22" fillId="0" borderId="0" xfId="4" applyNumberFormat="1" applyFont="1" applyFill="1" applyAlignment="1">
      <alignment horizontal="right"/>
    </xf>
    <xf numFmtId="0" fontId="22" fillId="19" borderId="0" xfId="4" applyFont="1" applyFill="1"/>
    <xf numFmtId="0" fontId="26" fillId="0" borderId="0" xfId="0" applyFont="1"/>
    <xf numFmtId="0" fontId="21" fillId="0" borderId="6" xfId="4" applyFont="1" applyFill="1" applyBorder="1" applyAlignment="1">
      <alignment horizontal="center"/>
    </xf>
    <xf numFmtId="0" fontId="21" fillId="0" borderId="12" xfId="4" applyFont="1" applyFill="1" applyBorder="1" applyAlignment="1">
      <alignment horizontal="center"/>
    </xf>
    <xf numFmtId="0" fontId="22" fillId="10" borderId="12" xfId="4" applyFont="1" applyFill="1" applyBorder="1" applyAlignment="1">
      <alignment horizontal="center"/>
    </xf>
    <xf numFmtId="0" fontId="22" fillId="0" borderId="12" xfId="4" applyFont="1" applyFill="1" applyBorder="1" applyAlignment="1">
      <alignment horizontal="center"/>
    </xf>
    <xf numFmtId="0" fontId="22" fillId="9" borderId="12" xfId="4" applyFont="1" applyFill="1" applyBorder="1" applyAlignment="1">
      <alignment horizontal="center"/>
    </xf>
    <xf numFmtId="0" fontId="21" fillId="0" borderId="27" xfId="4" applyFont="1" applyFill="1" applyBorder="1" applyAlignment="1">
      <alignment horizontal="center"/>
    </xf>
    <xf numFmtId="0" fontId="22" fillId="0" borderId="33" xfId="4" applyFont="1" applyFill="1" applyBorder="1" applyAlignment="1">
      <alignment horizontal="center"/>
    </xf>
    <xf numFmtId="0" fontId="24" fillId="2" borderId="13" xfId="4" quotePrefix="1" applyFont="1" applyFill="1" applyBorder="1" applyAlignment="1">
      <alignment horizontal="left"/>
    </xf>
    <xf numFmtId="0" fontId="24" fillId="2" borderId="18" xfId="4" applyFont="1" applyFill="1" applyBorder="1"/>
    <xf numFmtId="0" fontId="21" fillId="2" borderId="18" xfId="4" applyFont="1" applyFill="1" applyBorder="1" applyAlignment="1">
      <alignment horizontal="left"/>
    </xf>
    <xf numFmtId="0" fontId="24" fillId="2" borderId="18" xfId="4" quotePrefix="1" applyFont="1" applyFill="1" applyBorder="1" applyAlignment="1">
      <alignment horizontal="left"/>
    </xf>
    <xf numFmtId="0" fontId="21" fillId="0" borderId="28" xfId="4" quotePrefix="1" applyFont="1" applyFill="1" applyBorder="1" applyAlignment="1">
      <alignment horizontal="left"/>
    </xf>
    <xf numFmtId="0" fontId="7" fillId="28" borderId="33" xfId="1" applyFont="1" applyFill="1" applyBorder="1" applyAlignment="1">
      <alignment horizontal="center"/>
    </xf>
    <xf numFmtId="0" fontId="7" fillId="28" borderId="0" xfId="1" applyFont="1" applyFill="1" applyBorder="1" applyAlignment="1">
      <alignment horizontal="center"/>
    </xf>
    <xf numFmtId="164" fontId="11" fillId="28" borderId="0" xfId="2" applyNumberFormat="1" applyFont="1" applyFill="1" applyBorder="1"/>
    <xf numFmtId="43" fontId="11" fillId="28" borderId="0" xfId="2" applyNumberFormat="1" applyFont="1" applyFill="1" applyBorder="1"/>
    <xf numFmtId="1" fontId="7" fillId="28" borderId="0" xfId="1" applyNumberFormat="1" applyFont="1" applyFill="1" applyBorder="1"/>
    <xf numFmtId="0" fontId="7" fillId="28" borderId="61" xfId="1" applyFont="1" applyFill="1" applyBorder="1" applyAlignment="1">
      <alignment horizontal="center"/>
    </xf>
    <xf numFmtId="0" fontId="7" fillId="28" borderId="51" xfId="1" applyFont="1" applyFill="1" applyBorder="1" applyAlignment="1">
      <alignment horizontal="center"/>
    </xf>
    <xf numFmtId="164" fontId="11" fillId="28" borderId="51" xfId="2" applyNumberFormat="1" applyFont="1" applyFill="1" applyBorder="1"/>
    <xf numFmtId="0" fontId="26" fillId="0" borderId="0" xfId="0" applyFont="1" applyAlignment="1">
      <alignment horizontal="center"/>
    </xf>
    <xf numFmtId="3" fontId="21" fillId="14" borderId="2" xfId="1" applyNumberFormat="1" applyFont="1" applyFill="1" applyBorder="1" applyAlignment="1">
      <alignment horizontal="center"/>
    </xf>
    <xf numFmtId="4" fontId="21" fillId="14" borderId="3" xfId="1" applyNumberFormat="1" applyFont="1" applyFill="1" applyBorder="1" applyAlignment="1">
      <alignment horizontal="center"/>
    </xf>
    <xf numFmtId="4" fontId="21" fillId="14" borderId="4" xfId="1" applyNumberFormat="1" applyFont="1" applyFill="1" applyBorder="1" applyAlignment="1">
      <alignment horizontal="center"/>
    </xf>
    <xf numFmtId="4" fontId="21" fillId="16" borderId="63" xfId="1" applyNumberFormat="1" applyFont="1" applyFill="1" applyBorder="1" applyAlignment="1">
      <alignment horizontal="center"/>
    </xf>
    <xf numFmtId="3" fontId="21" fillId="14" borderId="40" xfId="1" applyNumberFormat="1" applyFont="1" applyFill="1" applyBorder="1" applyAlignment="1">
      <alignment horizontal="center"/>
    </xf>
    <xf numFmtId="4" fontId="21" fillId="14" borderId="41" xfId="1" applyNumberFormat="1" applyFont="1" applyFill="1" applyBorder="1" applyAlignment="1">
      <alignment horizontal="center"/>
    </xf>
    <xf numFmtId="4" fontId="21" fillId="14" borderId="42" xfId="1" applyNumberFormat="1" applyFont="1" applyFill="1" applyBorder="1" applyAlignment="1">
      <alignment horizontal="center"/>
    </xf>
    <xf numFmtId="4" fontId="21" fillId="16" borderId="26" xfId="1" applyNumberFormat="1" applyFont="1" applyFill="1" applyBorder="1" applyAlignment="1">
      <alignment horizontal="center"/>
    </xf>
    <xf numFmtId="3" fontId="21" fillId="14" borderId="43" xfId="1" applyNumberFormat="1" applyFont="1" applyFill="1" applyBorder="1" applyAlignment="1">
      <alignment horizontal="center"/>
    </xf>
    <xf numFmtId="4" fontId="21" fillId="14" borderId="44" xfId="1" applyNumberFormat="1" applyFont="1" applyFill="1" applyBorder="1" applyAlignment="1">
      <alignment horizontal="center"/>
    </xf>
    <xf numFmtId="4" fontId="21" fillId="14" borderId="45" xfId="1" applyNumberFormat="1" applyFont="1" applyFill="1" applyBorder="1" applyAlignment="1">
      <alignment horizontal="center"/>
    </xf>
    <xf numFmtId="4" fontId="21" fillId="16" borderId="62" xfId="1" applyNumberFormat="1" applyFont="1" applyFill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1" fontId="26" fillId="0" borderId="0" xfId="0" applyNumberFormat="1" applyFont="1" applyBorder="1"/>
    <xf numFmtId="4" fontId="22" fillId="0" borderId="0" xfId="1" applyNumberFormat="1" applyFont="1" applyFill="1" applyBorder="1" applyAlignment="1">
      <alignment horizontal="right"/>
    </xf>
    <xf numFmtId="4" fontId="22" fillId="0" borderId="0" xfId="1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1" fontId="26" fillId="0" borderId="26" xfId="0" applyNumberFormat="1" applyFont="1" applyBorder="1" applyAlignment="1">
      <alignment horizontal="center"/>
    </xf>
    <xf numFmtId="2" fontId="22" fillId="0" borderId="0" xfId="6" applyNumberFormat="1" applyFont="1"/>
    <xf numFmtId="165" fontId="22" fillId="0" borderId="0" xfId="1" applyNumberFormat="1" applyFont="1"/>
    <xf numFmtId="172" fontId="26" fillId="0" borderId="0" xfId="6" applyNumberFormat="1" applyFont="1"/>
    <xf numFmtId="2" fontId="26" fillId="0" borderId="0" xfId="0" applyNumberFormat="1" applyFont="1"/>
    <xf numFmtId="0" fontId="22" fillId="0" borderId="0" xfId="1" applyFont="1" applyFill="1"/>
    <xf numFmtId="0" fontId="22" fillId="10" borderId="33" xfId="1" applyFont="1" applyFill="1" applyBorder="1" applyAlignment="1">
      <alignment horizontal="center"/>
    </xf>
    <xf numFmtId="164" fontId="26" fillId="10" borderId="0" xfId="2" applyNumberFormat="1" applyFont="1" applyFill="1" applyBorder="1"/>
    <xf numFmtId="164" fontId="26" fillId="10" borderId="0" xfId="2" applyNumberFormat="1" applyFont="1" applyFill="1" applyBorder="1" applyAlignment="1">
      <alignment horizontal="center"/>
    </xf>
    <xf numFmtId="173" fontId="26" fillId="10" borderId="0" xfId="2" applyNumberFormat="1" applyFont="1" applyFill="1" applyBorder="1" applyAlignment="1">
      <alignment horizontal="center"/>
    </xf>
    <xf numFmtId="9" fontId="26" fillId="0" borderId="0" xfId="12" applyFont="1"/>
    <xf numFmtId="0" fontId="26" fillId="0" borderId="33" xfId="0" applyFont="1" applyBorder="1"/>
    <xf numFmtId="43" fontId="26" fillId="0" borderId="0" xfId="0" applyNumberFormat="1" applyFont="1" applyBorder="1" applyAlignment="1">
      <alignment horizontal="center"/>
    </xf>
    <xf numFmtId="168" fontId="26" fillId="0" borderId="0" xfId="0" applyNumberFormat="1" applyFont="1" applyBorder="1" applyAlignment="1">
      <alignment horizontal="center"/>
    </xf>
    <xf numFmtId="168" fontId="26" fillId="0" borderId="26" xfId="0" applyNumberFormat="1" applyFont="1" applyBorder="1" applyAlignment="1">
      <alignment horizontal="center"/>
    </xf>
    <xf numFmtId="0" fontId="26" fillId="0" borderId="33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left"/>
    </xf>
    <xf numFmtId="43" fontId="26" fillId="0" borderId="26" xfId="0" applyNumberFormat="1" applyFont="1" applyBorder="1" applyAlignment="1">
      <alignment horizontal="center"/>
    </xf>
    <xf numFmtId="0" fontId="26" fillId="0" borderId="61" xfId="0" applyFont="1" applyBorder="1"/>
    <xf numFmtId="0" fontId="26" fillId="0" borderId="51" xfId="0" applyFont="1" applyBorder="1" applyAlignment="1">
      <alignment horizontal="left"/>
    </xf>
    <xf numFmtId="0" fontId="26" fillId="0" borderId="51" xfId="0" applyFont="1" applyBorder="1"/>
    <xf numFmtId="0" fontId="26" fillId="21" borderId="0" xfId="0" applyFont="1" applyFill="1" applyAlignment="1">
      <alignment horizontal="center"/>
    </xf>
    <xf numFmtId="0" fontId="26" fillId="21" borderId="0" xfId="0" applyFont="1" applyFill="1"/>
    <xf numFmtId="0" fontId="19" fillId="21" borderId="0" xfId="0" applyFont="1" applyFill="1"/>
    <xf numFmtId="3" fontId="21" fillId="16" borderId="2" xfId="1" applyNumberFormat="1" applyFont="1" applyFill="1" applyBorder="1" applyAlignment="1">
      <alignment horizontal="center"/>
    </xf>
    <xf numFmtId="4" fontId="21" fillId="16" borderId="3" xfId="1" applyNumberFormat="1" applyFont="1" applyFill="1" applyBorder="1" applyAlignment="1">
      <alignment horizontal="center"/>
    </xf>
    <xf numFmtId="4" fontId="21" fillId="16" borderId="4" xfId="1" applyNumberFormat="1" applyFont="1" applyFill="1" applyBorder="1" applyAlignment="1">
      <alignment horizontal="center"/>
    </xf>
    <xf numFmtId="3" fontId="21" fillId="16" borderId="40" xfId="1" applyNumberFormat="1" applyFont="1" applyFill="1" applyBorder="1" applyAlignment="1">
      <alignment horizontal="center"/>
    </xf>
    <xf numFmtId="4" fontId="21" fillId="16" borderId="41" xfId="1" applyNumberFormat="1" applyFont="1" applyFill="1" applyBorder="1" applyAlignment="1">
      <alignment horizontal="center"/>
    </xf>
    <xf numFmtId="4" fontId="21" fillId="16" borderId="42" xfId="1" applyNumberFormat="1" applyFont="1" applyFill="1" applyBorder="1" applyAlignment="1">
      <alignment horizontal="center"/>
    </xf>
    <xf numFmtId="3" fontId="21" fillId="16" borderId="43" xfId="1" applyNumberFormat="1" applyFont="1" applyFill="1" applyBorder="1" applyAlignment="1">
      <alignment horizontal="center"/>
    </xf>
    <xf numFmtId="4" fontId="21" fillId="16" borderId="44" xfId="1" applyNumberFormat="1" applyFont="1" applyFill="1" applyBorder="1" applyAlignment="1">
      <alignment horizontal="center"/>
    </xf>
    <xf numFmtId="4" fontId="21" fillId="16" borderId="45" xfId="1" applyNumberFormat="1" applyFont="1" applyFill="1" applyBorder="1" applyAlignment="1">
      <alignment horizontal="center"/>
    </xf>
    <xf numFmtId="170" fontId="22" fillId="0" borderId="0" xfId="1" applyNumberFormat="1" applyFont="1"/>
    <xf numFmtId="0" fontId="22" fillId="0" borderId="0" xfId="1" applyFont="1" applyAlignment="1">
      <alignment horizontal="center"/>
    </xf>
    <xf numFmtId="0" fontId="22" fillId="0" borderId="0" xfId="1" applyFont="1" applyAlignment="1">
      <alignment horizontal="left"/>
    </xf>
    <xf numFmtId="0" fontId="22" fillId="3" borderId="0" xfId="1" applyFont="1" applyFill="1"/>
    <xf numFmtId="164" fontId="22" fillId="0" borderId="0" xfId="1" applyNumberFormat="1" applyFont="1"/>
    <xf numFmtId="164" fontId="26" fillId="0" borderId="0" xfId="2" applyNumberFormat="1" applyFont="1"/>
    <xf numFmtId="43" fontId="22" fillId="0" borderId="0" xfId="1" applyNumberFormat="1" applyFont="1"/>
    <xf numFmtId="4" fontId="21" fillId="0" borderId="13" xfId="1" applyNumberFormat="1" applyFont="1" applyFill="1" applyBorder="1" applyAlignment="1">
      <alignment horizontal="left"/>
    </xf>
    <xf numFmtId="0" fontId="21" fillId="3" borderId="0" xfId="1" applyFont="1" applyFill="1" applyAlignment="1">
      <alignment horizontal="center"/>
    </xf>
    <xf numFmtId="0" fontId="21" fillId="3" borderId="34" xfId="1" applyFont="1" applyFill="1" applyBorder="1"/>
    <xf numFmtId="1" fontId="21" fillId="3" borderId="0" xfId="1" applyNumberFormat="1" applyFont="1" applyFill="1"/>
    <xf numFmtId="0" fontId="21" fillId="3" borderId="0" xfId="1" applyFont="1" applyFill="1"/>
    <xf numFmtId="43" fontId="26" fillId="0" borderId="0" xfId="0" applyNumberFormat="1" applyFont="1"/>
    <xf numFmtId="164" fontId="26" fillId="0" borderId="0" xfId="2" applyNumberFormat="1" applyFont="1" applyFill="1"/>
    <xf numFmtId="4" fontId="21" fillId="0" borderId="0" xfId="1" applyNumberFormat="1" applyFont="1" applyFill="1" applyBorder="1" applyAlignment="1">
      <alignment horizontal="left"/>
    </xf>
    <xf numFmtId="1" fontId="22" fillId="0" borderId="0" xfId="1" applyNumberFormat="1" applyFont="1"/>
    <xf numFmtId="0" fontId="26" fillId="3" borderId="0" xfId="0" applyFont="1" applyFill="1"/>
    <xf numFmtId="9" fontId="26" fillId="3" borderId="0" xfId="12" applyFont="1" applyFill="1"/>
    <xf numFmtId="164" fontId="21" fillId="3" borderId="0" xfId="1" applyNumberFormat="1" applyFont="1" applyFill="1"/>
    <xf numFmtId="9" fontId="21" fillId="3" borderId="0" xfId="1" applyNumberFormat="1" applyFont="1" applyFill="1"/>
    <xf numFmtId="0" fontId="21" fillId="3" borderId="0" xfId="1" applyFont="1" applyFill="1" applyAlignment="1">
      <alignment horizontal="left"/>
    </xf>
    <xf numFmtId="9" fontId="21" fillId="3" borderId="0" xfId="12" applyFont="1" applyFill="1"/>
    <xf numFmtId="0" fontId="22" fillId="3" borderId="1" xfId="1" applyFont="1" applyFill="1" applyBorder="1"/>
    <xf numFmtId="0" fontId="22" fillId="3" borderId="47" xfId="1" applyFont="1" applyFill="1" applyBorder="1"/>
    <xf numFmtId="0" fontId="22" fillId="3" borderId="36" xfId="1" applyFont="1" applyFill="1" applyBorder="1"/>
    <xf numFmtId="9" fontId="26" fillId="3" borderId="1" xfId="12" applyFont="1" applyFill="1" applyBorder="1"/>
    <xf numFmtId="0" fontId="22" fillId="3" borderId="38" xfId="1" applyFont="1" applyFill="1" applyBorder="1"/>
    <xf numFmtId="0" fontId="22" fillId="0" borderId="0" xfId="10" applyFont="1" applyBorder="1" applyAlignment="1">
      <alignment horizontal="center"/>
    </xf>
    <xf numFmtId="0" fontId="22" fillId="0" borderId="0" xfId="10" applyFont="1" applyBorder="1"/>
    <xf numFmtId="1" fontId="22" fillId="0" borderId="0" xfId="25" applyNumberFormat="1" applyFont="1" applyFill="1" applyAlignment="1">
      <alignment horizontal="right"/>
    </xf>
    <xf numFmtId="1" fontId="22" fillId="0" borderId="0" xfId="25" applyNumberFormat="1" applyFont="1" applyFill="1" applyAlignment="1">
      <alignment horizontal="center"/>
    </xf>
    <xf numFmtId="0" fontId="22" fillId="0" borderId="0" xfId="10" applyFont="1" applyFill="1" applyBorder="1" applyAlignment="1">
      <alignment horizontal="center"/>
    </xf>
    <xf numFmtId="0" fontId="22" fillId="0" borderId="0" xfId="10" applyFont="1" applyFill="1" applyBorder="1"/>
    <xf numFmtId="0" fontId="22" fillId="3" borderId="0" xfId="1" applyFont="1" applyFill="1" applyBorder="1"/>
    <xf numFmtId="1" fontId="22" fillId="0" borderId="0" xfId="1" applyNumberFormat="1" applyFont="1" applyAlignment="1">
      <alignment horizontal="right"/>
    </xf>
    <xf numFmtId="0" fontId="21" fillId="3" borderId="0" xfId="10" applyFont="1" applyFill="1" applyBorder="1" applyAlignment="1">
      <alignment horizontal="center"/>
    </xf>
    <xf numFmtId="0" fontId="21" fillId="3" borderId="0" xfId="10" applyFont="1" applyFill="1" applyBorder="1"/>
    <xf numFmtId="165" fontId="26" fillId="3" borderId="0" xfId="24" applyNumberFormat="1" applyFont="1" applyFill="1" applyBorder="1" applyAlignment="1">
      <alignment horizontal="center" vertical="center"/>
    </xf>
    <xf numFmtId="0" fontId="26" fillId="22" borderId="0" xfId="0" applyFont="1" applyFill="1" applyAlignment="1">
      <alignment horizontal="center"/>
    </xf>
    <xf numFmtId="0" fontId="26" fillId="22" borderId="0" xfId="0" applyFont="1" applyFill="1"/>
    <xf numFmtId="0" fontId="22" fillId="3" borderId="0" xfId="1" applyFont="1" applyFill="1" applyAlignment="1">
      <alignment horizontal="center"/>
    </xf>
    <xf numFmtId="0" fontId="26" fillId="3" borderId="1" xfId="0" applyFont="1" applyFill="1" applyBorder="1"/>
    <xf numFmtId="164" fontId="26" fillId="3" borderId="0" xfId="2" applyNumberFormat="1" applyFont="1" applyFill="1"/>
    <xf numFmtId="0" fontId="22" fillId="26" borderId="0" xfId="1" applyFont="1" applyFill="1" applyAlignment="1">
      <alignment horizontal="center"/>
    </xf>
    <xf numFmtId="4" fontId="21" fillId="26" borderId="0" xfId="1" applyNumberFormat="1" applyFont="1" applyFill="1" applyBorder="1" applyAlignment="1">
      <alignment horizontal="left"/>
    </xf>
    <xf numFmtId="1" fontId="22" fillId="26" borderId="0" xfId="1" applyNumberFormat="1" applyFont="1" applyFill="1"/>
    <xf numFmtId="164" fontId="26" fillId="26" borderId="0" xfId="2" applyNumberFormat="1" applyFont="1" applyFill="1"/>
    <xf numFmtId="0" fontId="22" fillId="26" borderId="0" xfId="1" applyFont="1" applyFill="1"/>
    <xf numFmtId="173" fontId="26" fillId="3" borderId="0" xfId="2" applyNumberFormat="1" applyFont="1" applyFill="1"/>
    <xf numFmtId="0" fontId="26" fillId="0" borderId="0" xfId="0" applyFont="1" applyAlignment="1">
      <alignment horizontal="left"/>
    </xf>
    <xf numFmtId="168" fontId="22" fillId="0" borderId="0" xfId="1" applyNumberFormat="1" applyFont="1"/>
    <xf numFmtId="0" fontId="26" fillId="0" borderId="62" xfId="0" applyFont="1" applyBorder="1" applyAlignment="1">
      <alignment horizontal="center"/>
    </xf>
    <xf numFmtId="0" fontId="26" fillId="0" borderId="26" xfId="0" applyFont="1" applyBorder="1" applyAlignment="1">
      <alignment horizontal="right" vertical="center"/>
    </xf>
    <xf numFmtId="173" fontId="26" fillId="10" borderId="26" xfId="2" applyNumberFormat="1" applyFont="1" applyFill="1" applyBorder="1" applyAlignment="1">
      <alignment horizontal="right" vertical="center"/>
    </xf>
    <xf numFmtId="1" fontId="26" fillId="0" borderId="26" xfId="0" applyNumberFormat="1" applyFont="1" applyBorder="1" applyAlignment="1">
      <alignment horizontal="right" vertical="center"/>
    </xf>
    <xf numFmtId="0" fontId="2" fillId="25" borderId="0" xfId="0" applyFont="1" applyFill="1" applyBorder="1" applyAlignment="1">
      <alignment horizontal="center" wrapText="1"/>
    </xf>
    <xf numFmtId="0" fontId="2" fillId="22" borderId="0" xfId="0" applyFont="1" applyFill="1" applyBorder="1" applyAlignment="1">
      <alignment horizontal="center" wrapText="1"/>
    </xf>
    <xf numFmtId="0" fontId="2" fillId="17" borderId="0" xfId="0" applyFont="1" applyFill="1" applyBorder="1" applyAlignment="1">
      <alignment horizontal="center" wrapText="1"/>
    </xf>
    <xf numFmtId="0" fontId="2" fillId="14" borderId="0" xfId="0" applyFont="1" applyFill="1" applyBorder="1" applyAlignment="1">
      <alignment horizontal="center" wrapText="1"/>
    </xf>
    <xf numFmtId="0" fontId="18" fillId="10" borderId="0" xfId="0" applyFont="1" applyFill="1" applyBorder="1" applyAlignment="1">
      <alignment horizontal="center" wrapText="1"/>
    </xf>
    <xf numFmtId="0" fontId="2" fillId="30" borderId="0" xfId="0" applyFont="1" applyFill="1" applyBorder="1" applyAlignment="1">
      <alignment horizontal="center" wrapText="1"/>
    </xf>
    <xf numFmtId="0" fontId="2" fillId="29" borderId="0" xfId="0" applyFont="1" applyFill="1" applyBorder="1" applyAlignment="1">
      <alignment horizontal="center" wrapText="1"/>
    </xf>
    <xf numFmtId="0" fontId="18" fillId="33" borderId="0" xfId="0" applyFont="1" applyFill="1" applyBorder="1" applyAlignment="1">
      <alignment horizontal="center" wrapText="1"/>
    </xf>
    <xf numFmtId="0" fontId="18" fillId="34" borderId="0" xfId="0" applyFont="1" applyFill="1" applyBorder="1" applyAlignment="1">
      <alignment horizontal="center" wrapText="1"/>
    </xf>
    <xf numFmtId="0" fontId="2" fillId="35" borderId="0" xfId="0" applyFont="1" applyFill="1" applyBorder="1" applyAlignment="1">
      <alignment horizontal="center" wrapText="1"/>
    </xf>
    <xf numFmtId="165" fontId="2" fillId="22" borderId="0" xfId="0" applyNumberFormat="1" applyFont="1" applyFill="1"/>
    <xf numFmtId="165" fontId="2" fillId="22" borderId="0" xfId="6" applyNumberFormat="1" applyFont="1" applyFill="1"/>
    <xf numFmtId="165" fontId="2" fillId="27" borderId="0" xfId="6" applyNumberFormat="1" applyFont="1" applyFill="1"/>
    <xf numFmtId="164" fontId="0" fillId="0" borderId="0" xfId="0" applyNumberFormat="1" applyFont="1"/>
    <xf numFmtId="165" fontId="0" fillId="0" borderId="0" xfId="0" applyNumberFormat="1" applyFont="1"/>
    <xf numFmtId="164" fontId="0" fillId="21" borderId="0" xfId="0" applyNumberFormat="1" applyFont="1" applyFill="1"/>
    <xf numFmtId="164" fontId="0" fillId="15" borderId="0" xfId="0" applyNumberFormat="1" applyFont="1" applyFill="1"/>
    <xf numFmtId="2" fontId="0" fillId="13" borderId="0" xfId="0" applyNumberFormat="1" applyFont="1" applyFill="1"/>
    <xf numFmtId="0" fontId="0" fillId="13" borderId="0" xfId="0" applyFont="1" applyFill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24" borderId="19" xfId="0" applyFont="1" applyFill="1" applyBorder="1"/>
    <xf numFmtId="0" fontId="2" fillId="24" borderId="65" xfId="0" applyFont="1" applyFill="1" applyBorder="1" applyAlignment="1">
      <alignment horizontal="center"/>
    </xf>
    <xf numFmtId="0" fontId="2" fillId="24" borderId="1" xfId="0" applyFont="1" applyFill="1" applyBorder="1" applyAlignment="1">
      <alignment horizontal="center"/>
    </xf>
    <xf numFmtId="0" fontId="2" fillId="24" borderId="20" xfId="0" applyFont="1" applyFill="1" applyBorder="1" applyAlignment="1">
      <alignment horizontal="center"/>
    </xf>
    <xf numFmtId="0" fontId="0" fillId="0" borderId="50" xfId="0" applyBorder="1" applyAlignment="1">
      <alignment vertical="center" wrapText="1"/>
    </xf>
    <xf numFmtId="0" fontId="0" fillId="0" borderId="22" xfId="0" applyBorder="1"/>
    <xf numFmtId="164" fontId="0" fillId="0" borderId="24" xfId="7" applyNumberFormat="1" applyFont="1" applyBorder="1"/>
    <xf numFmtId="165" fontId="0" fillId="0" borderId="1" xfId="6" applyNumberFormat="1" applyFont="1" applyBorder="1" applyAlignment="1">
      <alignment horizontal="center"/>
    </xf>
    <xf numFmtId="164" fontId="0" fillId="0" borderId="1" xfId="7" applyNumberFormat="1" applyFont="1" applyBorder="1"/>
    <xf numFmtId="165" fontId="0" fillId="0" borderId="50" xfId="6" applyNumberFormat="1" applyFont="1" applyBorder="1" applyAlignment="1">
      <alignment horizontal="center"/>
    </xf>
    <xf numFmtId="0" fontId="0" fillId="0" borderId="24" xfId="0" applyBorder="1"/>
    <xf numFmtId="165" fontId="0" fillId="0" borderId="20" xfId="6" applyNumberFormat="1" applyFont="1" applyBorder="1" applyAlignment="1">
      <alignment horizontal="center"/>
    </xf>
    <xf numFmtId="0" fontId="0" fillId="0" borderId="65" xfId="0" applyBorder="1"/>
    <xf numFmtId="165" fontId="0" fillId="0" borderId="50" xfId="0" applyNumberFormat="1" applyBorder="1" applyAlignment="1">
      <alignment horizontal="center"/>
    </xf>
    <xf numFmtId="164" fontId="0" fillId="0" borderId="24" xfId="0" applyNumberFormat="1" applyBorder="1"/>
    <xf numFmtId="165" fontId="0" fillId="0" borderId="1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0" fontId="0" fillId="0" borderId="41" xfId="0" applyBorder="1"/>
    <xf numFmtId="0" fontId="0" fillId="0" borderId="40" xfId="0" applyBorder="1"/>
    <xf numFmtId="0" fontId="0" fillId="0" borderId="47" xfId="0" applyBorder="1" applyAlignment="1">
      <alignment vertical="center" wrapText="1"/>
    </xf>
    <xf numFmtId="0" fontId="0" fillId="0" borderId="15" xfId="0" applyBorder="1"/>
    <xf numFmtId="164" fontId="0" fillId="0" borderId="35" xfId="7" applyNumberFormat="1" applyFont="1" applyBorder="1"/>
    <xf numFmtId="165" fontId="0" fillId="0" borderId="22" xfId="6" applyNumberFormat="1" applyFont="1" applyBorder="1" applyAlignment="1">
      <alignment horizontal="center"/>
    </xf>
    <xf numFmtId="164" fontId="0" fillId="0" borderId="22" xfId="7" applyNumberFormat="1" applyFont="1" applyBorder="1"/>
    <xf numFmtId="165" fontId="0" fillId="0" borderId="47" xfId="6" applyNumberFormat="1" applyFont="1" applyBorder="1" applyAlignment="1">
      <alignment horizontal="center"/>
    </xf>
    <xf numFmtId="0" fontId="0" fillId="0" borderId="35" xfId="0" applyBorder="1"/>
    <xf numFmtId="0" fontId="0" fillId="0" borderId="14" xfId="0" applyBorder="1"/>
    <xf numFmtId="165" fontId="0" fillId="0" borderId="47" xfId="0" applyNumberForma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0" fontId="0" fillId="9" borderId="50" xfId="0" applyFill="1" applyBorder="1" applyAlignment="1">
      <alignment vertical="center" wrapText="1"/>
    </xf>
    <xf numFmtId="164" fontId="0" fillId="9" borderId="1" xfId="7" applyNumberFormat="1" applyFont="1" applyFill="1" applyBorder="1"/>
    <xf numFmtId="164" fontId="0" fillId="9" borderId="24" xfId="7" applyNumberFormat="1" applyFont="1" applyFill="1" applyBorder="1"/>
    <xf numFmtId="165" fontId="0" fillId="9" borderId="1" xfId="6" applyNumberFormat="1" applyFont="1" applyFill="1" applyBorder="1" applyAlignment="1">
      <alignment horizontal="center"/>
    </xf>
    <xf numFmtId="165" fontId="0" fillId="9" borderId="50" xfId="6" applyNumberFormat="1" applyFont="1" applyFill="1" applyBorder="1" applyAlignment="1">
      <alignment horizontal="center"/>
    </xf>
    <xf numFmtId="0" fontId="0" fillId="9" borderId="24" xfId="0" applyFill="1" applyBorder="1"/>
    <xf numFmtId="0" fontId="0" fillId="9" borderId="1" xfId="0" applyFill="1" applyBorder="1"/>
    <xf numFmtId="165" fontId="0" fillId="9" borderId="20" xfId="6" applyNumberFormat="1" applyFont="1" applyFill="1" applyBorder="1" applyAlignment="1">
      <alignment horizontal="center"/>
    </xf>
    <xf numFmtId="164" fontId="0" fillId="4" borderId="19" xfId="0" applyNumberFormat="1" applyFill="1" applyBorder="1"/>
    <xf numFmtId="164" fontId="0" fillId="21" borderId="24" xfId="7" applyNumberFormat="1" applyFont="1" applyFill="1" applyBorder="1"/>
    <xf numFmtId="165" fontId="0" fillId="21" borderId="1" xfId="6" applyNumberFormat="1" applyFont="1" applyFill="1" applyBorder="1" applyAlignment="1">
      <alignment horizontal="center"/>
    </xf>
    <xf numFmtId="164" fontId="0" fillId="21" borderId="1" xfId="7" applyNumberFormat="1" applyFont="1" applyFill="1" applyBorder="1"/>
    <xf numFmtId="165" fontId="0" fillId="21" borderId="50" xfId="0" applyNumberFormat="1" applyFill="1" applyBorder="1" applyAlignment="1">
      <alignment horizontal="center"/>
    </xf>
    <xf numFmtId="165" fontId="0" fillId="21" borderId="1" xfId="0" applyNumberFormat="1" applyFill="1" applyBorder="1" applyAlignment="1">
      <alignment horizontal="center"/>
    </xf>
    <xf numFmtId="165" fontId="0" fillId="21" borderId="20" xfId="0" applyNumberFormat="1" applyFill="1" applyBorder="1" applyAlignment="1">
      <alignment horizontal="center"/>
    </xf>
    <xf numFmtId="0" fontId="0" fillId="0" borderId="38" xfId="0" applyBorder="1" applyAlignment="1">
      <alignment vertical="center" wrapText="1"/>
    </xf>
    <xf numFmtId="164" fontId="0" fillId="0" borderId="39" xfId="7" applyNumberFormat="1" applyFont="1" applyBorder="1"/>
    <xf numFmtId="165" fontId="0" fillId="0" borderId="15" xfId="6" applyNumberFormat="1" applyFont="1" applyBorder="1" applyAlignment="1">
      <alignment horizontal="center"/>
    </xf>
    <xf numFmtId="164" fontId="0" fillId="0" borderId="15" xfId="7" applyNumberFormat="1" applyFont="1" applyBorder="1"/>
    <xf numFmtId="165" fontId="0" fillId="0" borderId="38" xfId="6" applyNumberFormat="1" applyFont="1" applyBorder="1" applyAlignment="1">
      <alignment horizontal="center"/>
    </xf>
    <xf numFmtId="0" fontId="0" fillId="0" borderId="39" xfId="0" applyBorder="1"/>
    <xf numFmtId="164" fontId="0" fillId="0" borderId="39" xfId="0" applyNumberFormat="1" applyBorder="1"/>
    <xf numFmtId="165" fontId="0" fillId="0" borderId="38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4" fontId="0" fillId="0" borderId="1" xfId="7" applyNumberFormat="1" applyFont="1" applyBorder="1" applyAlignment="1">
      <alignment horizontal="right"/>
    </xf>
    <xf numFmtId="0" fontId="0" fillId="9" borderId="47" xfId="0" applyFill="1" applyBorder="1" applyAlignment="1">
      <alignment vertical="center" wrapText="1"/>
    </xf>
    <xf numFmtId="164" fontId="0" fillId="9" borderId="22" xfId="7" applyNumberFormat="1" applyFont="1" applyFill="1" applyBorder="1"/>
    <xf numFmtId="164" fontId="0" fillId="9" borderId="35" xfId="7" applyNumberFormat="1" applyFont="1" applyFill="1" applyBorder="1"/>
    <xf numFmtId="165" fontId="0" fillId="9" borderId="22" xfId="6" applyNumberFormat="1" applyFont="1" applyFill="1" applyBorder="1" applyAlignment="1">
      <alignment horizontal="center"/>
    </xf>
    <xf numFmtId="164" fontId="0" fillId="9" borderId="22" xfId="7" applyNumberFormat="1" applyFont="1" applyFill="1" applyBorder="1" applyAlignment="1">
      <alignment horizontal="right"/>
    </xf>
    <xf numFmtId="165" fontId="0" fillId="9" borderId="47" xfId="6" applyNumberFormat="1" applyFont="1" applyFill="1" applyBorder="1" applyAlignment="1">
      <alignment horizontal="center"/>
    </xf>
    <xf numFmtId="0" fontId="0" fillId="9" borderId="35" xfId="0" applyFill="1" applyBorder="1"/>
    <xf numFmtId="0" fontId="0" fillId="9" borderId="22" xfId="0" applyFill="1" applyBorder="1"/>
    <xf numFmtId="165" fontId="0" fillId="9" borderId="25" xfId="6" applyNumberFormat="1" applyFont="1" applyFill="1" applyBorder="1" applyAlignment="1">
      <alignment horizontal="center"/>
    </xf>
    <xf numFmtId="165" fontId="0" fillId="21" borderId="22" xfId="6" applyNumberFormat="1" applyFont="1" applyFill="1" applyBorder="1" applyAlignment="1">
      <alignment horizontal="center"/>
    </xf>
    <xf numFmtId="165" fontId="0" fillId="21" borderId="47" xfId="0" applyNumberFormat="1" applyFill="1" applyBorder="1" applyAlignment="1">
      <alignment horizontal="center"/>
    </xf>
    <xf numFmtId="165" fontId="0" fillId="21" borderId="22" xfId="0" applyNumberFormat="1" applyFill="1" applyBorder="1" applyAlignment="1">
      <alignment horizontal="center"/>
    </xf>
    <xf numFmtId="165" fontId="0" fillId="21" borderId="25" xfId="0" applyNumberForma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0" borderId="30" xfId="0" applyBorder="1" applyAlignment="1">
      <alignment wrapText="1"/>
    </xf>
    <xf numFmtId="164" fontId="0" fillId="0" borderId="30" xfId="7" applyNumberFormat="1" applyFont="1" applyFill="1" applyBorder="1"/>
    <xf numFmtId="164" fontId="0" fillId="0" borderId="30" xfId="7" applyNumberFormat="1" applyFont="1" applyBorder="1"/>
    <xf numFmtId="165" fontId="0" fillId="0" borderId="30" xfId="6" applyNumberFormat="1" applyFont="1" applyBorder="1" applyAlignment="1">
      <alignment horizontal="center"/>
    </xf>
    <xf numFmtId="164" fontId="0" fillId="0" borderId="30" xfId="7" applyNumberFormat="1" applyFont="1" applyBorder="1" applyAlignment="1">
      <alignment horizontal="right"/>
    </xf>
    <xf numFmtId="0" fontId="0" fillId="0" borderId="30" xfId="0" applyBorder="1"/>
    <xf numFmtId="165" fontId="0" fillId="0" borderId="31" xfId="6" applyNumberFormat="1" applyFont="1" applyBorder="1" applyAlignment="1">
      <alignment horizontal="center"/>
    </xf>
    <xf numFmtId="164" fontId="0" fillId="0" borderId="29" xfId="0" applyNumberFormat="1" applyBorder="1"/>
    <xf numFmtId="165" fontId="0" fillId="0" borderId="30" xfId="0" applyNumberFormat="1" applyBorder="1" applyAlignment="1">
      <alignment horizontal="center"/>
    </xf>
    <xf numFmtId="165" fontId="0" fillId="0" borderId="31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3" borderId="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0" fontId="0" fillId="0" borderId="1" xfId="6" applyNumberFormat="1" applyFont="1" applyBorder="1" applyAlignment="1">
      <alignment wrapText="1"/>
    </xf>
    <xf numFmtId="0" fontId="28" fillId="0" borderId="0" xfId="0" applyFont="1" applyAlignment="1">
      <alignment wrapText="1"/>
    </xf>
    <xf numFmtId="9" fontId="0" fillId="0" borderId="1" xfId="6" applyNumberFormat="1" applyFont="1" applyBorder="1" applyAlignment="1">
      <alignment horizontal="center"/>
    </xf>
    <xf numFmtId="9" fontId="0" fillId="0" borderId="20" xfId="6" applyNumberFormat="1" applyFont="1" applyBorder="1" applyAlignment="1">
      <alignment horizontal="center"/>
    </xf>
    <xf numFmtId="9" fontId="0" fillId="9" borderId="50" xfId="6" applyFont="1" applyFill="1" applyBorder="1" applyAlignment="1">
      <alignment horizontal="center" wrapText="1"/>
    </xf>
    <xf numFmtId="9" fontId="0" fillId="9" borderId="20" xfId="6" applyFont="1" applyFill="1" applyBorder="1" applyAlignment="1">
      <alignment horizontal="center" wrapText="1"/>
    </xf>
    <xf numFmtId="0" fontId="0" fillId="0" borderId="1" xfId="0" applyFill="1" applyBorder="1" applyAlignment="1">
      <alignment vertical="center" wrapText="1"/>
    </xf>
    <xf numFmtId="0" fontId="0" fillId="0" borderId="30" xfId="0" applyBorder="1" applyAlignment="1">
      <alignment horizontal="center" wrapText="1"/>
    </xf>
    <xf numFmtId="9" fontId="0" fillId="0" borderId="30" xfId="6" applyNumberFormat="1" applyFont="1" applyBorder="1" applyAlignment="1">
      <alignment horizontal="center"/>
    </xf>
    <xf numFmtId="9" fontId="0" fillId="0" borderId="31" xfId="6" applyNumberFormat="1" applyFont="1" applyBorder="1" applyAlignment="1">
      <alignment horizontal="center"/>
    </xf>
    <xf numFmtId="0" fontId="2" fillId="26" borderId="1" xfId="0" applyFont="1" applyFill="1" applyBorder="1" applyAlignment="1">
      <alignment horizontal="center"/>
    </xf>
    <xf numFmtId="0" fontId="2" fillId="26" borderId="1" xfId="0" applyFont="1" applyFill="1" applyBorder="1" applyAlignment="1">
      <alignment horizontal="center" wrapText="1"/>
    </xf>
    <xf numFmtId="2" fontId="0" fillId="0" borderId="1" xfId="6" applyNumberFormat="1" applyFont="1" applyBorder="1" applyAlignment="1">
      <alignment wrapText="1"/>
    </xf>
    <xf numFmtId="168" fontId="0" fillId="0" borderId="1" xfId="6" applyNumberFormat="1" applyFont="1" applyBorder="1" applyAlignment="1">
      <alignment wrapText="1"/>
    </xf>
    <xf numFmtId="3" fontId="0" fillId="0" borderId="55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7" fontId="0" fillId="0" borderId="14" xfId="7" applyNumberFormat="1" applyFont="1" applyBorder="1" applyAlignment="1">
      <alignment horizontal="center"/>
    </xf>
    <xf numFmtId="37" fontId="1" fillId="0" borderId="19" xfId="7" applyNumberFormat="1" applyFont="1" applyBorder="1" applyAlignment="1">
      <alignment horizontal="center"/>
    </xf>
    <xf numFmtId="10" fontId="0" fillId="0" borderId="16" xfId="6" applyNumberFormat="1" applyFont="1" applyBorder="1" applyAlignment="1">
      <alignment horizontal="center"/>
    </xf>
    <xf numFmtId="10" fontId="0" fillId="0" borderId="20" xfId="6" applyNumberFormat="1" applyFon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1" xfId="0" applyNumberFormat="1" applyBorder="1"/>
    <xf numFmtId="37" fontId="0" fillId="0" borderId="55" xfId="7" applyNumberFormat="1" applyFont="1" applyBorder="1" applyAlignment="1">
      <alignment horizontal="center"/>
    </xf>
    <xf numFmtId="37" fontId="0" fillId="0" borderId="19" xfId="7" applyNumberFormat="1" applyFont="1" applyBorder="1" applyAlignment="1">
      <alignment horizontal="center"/>
    </xf>
    <xf numFmtId="37" fontId="0" fillId="0" borderId="23" xfId="7" applyNumberFormat="1" applyFont="1" applyBorder="1" applyAlignment="1">
      <alignment horizontal="center"/>
    </xf>
    <xf numFmtId="0" fontId="0" fillId="25" borderId="9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15" borderId="9" xfId="0" applyFill="1" applyBorder="1" applyAlignment="1">
      <alignment horizontal="center"/>
    </xf>
    <xf numFmtId="0" fontId="0" fillId="24" borderId="4" xfId="0" applyFill="1" applyBorder="1" applyAlignment="1">
      <alignment horizontal="center" wrapText="1"/>
    </xf>
    <xf numFmtId="0" fontId="0" fillId="25" borderId="10" xfId="0" applyFill="1" applyBorder="1" applyAlignment="1">
      <alignment horizontal="center" wrapText="1"/>
    </xf>
    <xf numFmtId="0" fontId="0" fillId="14" borderId="54" xfId="0" applyFill="1" applyBorder="1" applyAlignment="1">
      <alignment horizontal="center" wrapText="1"/>
    </xf>
    <xf numFmtId="0" fontId="0" fillId="15" borderId="10" xfId="0" applyFill="1" applyBorder="1" applyAlignment="1">
      <alignment horizontal="center" wrapText="1"/>
    </xf>
    <xf numFmtId="0" fontId="0" fillId="24" borderId="3" xfId="0" applyFill="1" applyBorder="1" applyAlignment="1">
      <alignment horizontal="center" wrapText="1"/>
    </xf>
    <xf numFmtId="0" fontId="29" fillId="9" borderId="7" xfId="0" applyFont="1" applyFill="1" applyBorder="1" applyAlignment="1">
      <alignment horizontal="center" vertical="center"/>
    </xf>
    <xf numFmtId="0" fontId="29" fillId="9" borderId="5" xfId="0" applyFont="1" applyFill="1" applyBorder="1" applyAlignment="1">
      <alignment horizontal="center" vertical="center"/>
    </xf>
    <xf numFmtId="0" fontId="29" fillId="9" borderId="0" xfId="0" applyFont="1" applyFill="1" applyBorder="1" applyAlignment="1">
      <alignment horizontal="center" vertical="center"/>
    </xf>
    <xf numFmtId="0" fontId="29" fillId="9" borderId="33" xfId="0" applyFont="1" applyFill="1" applyBorder="1" applyAlignment="1">
      <alignment horizontal="center" vertical="center"/>
    </xf>
    <xf numFmtId="0" fontId="30" fillId="9" borderId="6" xfId="0" applyFont="1" applyFill="1" applyBorder="1" applyAlignment="1">
      <alignment horizontal="center" vertical="center"/>
    </xf>
    <xf numFmtId="0" fontId="29" fillId="9" borderId="6" xfId="0" applyFont="1" applyFill="1" applyBorder="1" applyAlignment="1">
      <alignment horizontal="center" vertical="center"/>
    </xf>
    <xf numFmtId="0" fontId="30" fillId="9" borderId="63" xfId="0" applyFont="1" applyFill="1" applyBorder="1" applyAlignment="1">
      <alignment horizontal="center" vertical="center"/>
    </xf>
    <xf numFmtId="0" fontId="29" fillId="9" borderId="12" xfId="0" applyFont="1" applyFill="1" applyBorder="1" applyAlignment="1">
      <alignment horizontal="center" vertical="center"/>
    </xf>
    <xf numFmtId="0" fontId="30" fillId="9" borderId="26" xfId="0" applyFont="1" applyFill="1" applyBorder="1" applyAlignment="1">
      <alignment horizontal="center" vertical="center"/>
    </xf>
    <xf numFmtId="0" fontId="31" fillId="0" borderId="5" xfId="0" applyFont="1" applyBorder="1" applyAlignment="1">
      <alignment vertical="center"/>
    </xf>
    <xf numFmtId="175" fontId="32" fillId="36" borderId="5" xfId="0" applyNumberFormat="1" applyFont="1" applyFill="1" applyBorder="1" applyAlignment="1">
      <alignment horizontal="center" vertical="center" wrapText="1"/>
    </xf>
    <xf numFmtId="176" fontId="32" fillId="36" borderId="5" xfId="0" applyNumberFormat="1" applyFont="1" applyFill="1" applyBorder="1" applyAlignment="1">
      <alignment horizontal="center" vertical="center" wrapText="1"/>
    </xf>
    <xf numFmtId="0" fontId="29" fillId="0" borderId="27" xfId="0" applyFont="1" applyBorder="1" applyAlignment="1">
      <alignment vertical="center"/>
    </xf>
    <xf numFmtId="175" fontId="34" fillId="36" borderId="5" xfId="0" applyNumberFormat="1" applyFont="1" applyFill="1" applyBorder="1" applyAlignment="1">
      <alignment horizontal="center" vertical="center" wrapText="1"/>
    </xf>
    <xf numFmtId="37" fontId="0" fillId="0" borderId="0" xfId="0" applyNumberFormat="1"/>
    <xf numFmtId="165" fontId="33" fillId="36" borderId="5" xfId="6" applyNumberFormat="1" applyFont="1" applyFill="1" applyBorder="1" applyAlignment="1">
      <alignment horizontal="center" vertical="center" wrapText="1"/>
    </xf>
    <xf numFmtId="165" fontId="35" fillId="36" borderId="5" xfId="6" applyNumberFormat="1" applyFont="1" applyFill="1" applyBorder="1" applyAlignment="1">
      <alignment horizontal="center" vertical="center" wrapText="1"/>
    </xf>
    <xf numFmtId="0" fontId="2" fillId="24" borderId="1" xfId="0" applyFont="1" applyFill="1" applyBorder="1" applyAlignment="1">
      <alignment horizontal="center"/>
    </xf>
    <xf numFmtId="0" fontId="2" fillId="24" borderId="20" xfId="0" applyFont="1" applyFill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165" fontId="33" fillId="36" borderId="5" xfId="0" applyNumberFormat="1" applyFont="1" applyFill="1" applyBorder="1" applyAlignment="1">
      <alignment horizontal="center" vertical="center" wrapText="1"/>
    </xf>
    <xf numFmtId="165" fontId="35" fillId="36" borderId="5" xfId="11" applyNumberFormat="1" applyFont="1" applyFill="1" applyBorder="1" applyAlignment="1">
      <alignment horizontal="center" vertical="center" wrapText="1"/>
    </xf>
    <xf numFmtId="165" fontId="33" fillId="36" borderId="5" xfId="11" applyNumberFormat="1" applyFont="1" applyFill="1" applyBorder="1" applyAlignment="1">
      <alignment horizontal="center" vertical="center" wrapText="1"/>
    </xf>
    <xf numFmtId="165" fontId="35" fillId="36" borderId="5" xfId="0" applyNumberFormat="1" applyFont="1" applyFill="1" applyBorder="1" applyAlignment="1">
      <alignment horizontal="center" vertical="center" wrapText="1"/>
    </xf>
    <xf numFmtId="2" fontId="0" fillId="15" borderId="0" xfId="7" applyNumberFormat="1" applyFont="1" applyFill="1" applyAlignment="1">
      <alignment horizontal="center"/>
    </xf>
    <xf numFmtId="164" fontId="0" fillId="0" borderId="0" xfId="0" applyNumberFormat="1" applyFont="1" applyBorder="1"/>
    <xf numFmtId="49" fontId="37" fillId="0" borderId="0" xfId="26" applyNumberFormat="1" applyFont="1" applyAlignment="1">
      <alignment horizontal="centerContinuous"/>
    </xf>
    <xf numFmtId="49" fontId="38" fillId="0" borderId="0" xfId="26" applyNumberFormat="1" applyFont="1" applyAlignment="1">
      <alignment horizontal="centerContinuous"/>
    </xf>
    <xf numFmtId="0" fontId="39" fillId="0" borderId="0" xfId="26" applyNumberFormat="1" applyFont="1" applyAlignment="1"/>
    <xf numFmtId="49" fontId="38" fillId="0" borderId="0" xfId="26" applyNumberFormat="1" applyFont="1" applyAlignment="1" applyProtection="1">
      <alignment horizontal="centerContinuous"/>
    </xf>
    <xf numFmtId="49" fontId="38" fillId="0" borderId="0" xfId="26" applyNumberFormat="1" applyFont="1"/>
    <xf numFmtId="49" fontId="38" fillId="0" borderId="0" xfId="26" applyNumberFormat="1" applyFont="1" applyAlignment="1">
      <alignment horizontal="center"/>
    </xf>
    <xf numFmtId="49" fontId="38" fillId="0" borderId="0" xfId="26" quotePrefix="1" applyNumberFormat="1" applyFont="1" applyAlignment="1">
      <alignment horizontal="center"/>
    </xf>
    <xf numFmtId="49" fontId="38" fillId="0" borderId="0" xfId="26" applyNumberFormat="1" applyFont="1" applyAlignment="1" applyProtection="1">
      <alignment horizontal="center"/>
    </xf>
    <xf numFmtId="49" fontId="38" fillId="0" borderId="0" xfId="26" quotePrefix="1" applyNumberFormat="1" applyFont="1" applyAlignment="1" applyProtection="1">
      <alignment horizontal="center"/>
    </xf>
    <xf numFmtId="49" fontId="38" fillId="0" borderId="0" xfId="26" applyNumberFormat="1" applyFont="1" applyAlignment="1" applyProtection="1">
      <alignment horizontal="fill"/>
    </xf>
    <xf numFmtId="0" fontId="40" fillId="0" borderId="0" xfId="26" applyNumberFormat="1" applyFont="1" applyAlignment="1"/>
    <xf numFmtId="177" fontId="38" fillId="0" borderId="0" xfId="26" applyNumberFormat="1" applyFont="1" applyFill="1" applyAlignment="1" applyProtection="1">
      <alignment horizontal="center"/>
    </xf>
    <xf numFmtId="1" fontId="38" fillId="0" borderId="0" xfId="26" applyNumberFormat="1" applyFont="1" applyAlignment="1" applyProtection="1">
      <alignment horizontal="center"/>
    </xf>
    <xf numFmtId="3" fontId="38" fillId="0" borderId="0" xfId="26" applyNumberFormat="1" applyFont="1" applyAlignment="1" applyProtection="1">
      <alignment horizontal="center"/>
    </xf>
    <xf numFmtId="3" fontId="38" fillId="0" borderId="0" xfId="26" applyNumberFormat="1" applyFont="1" applyAlignment="1" applyProtection="1">
      <alignment horizontal="center"/>
      <protection locked="0"/>
    </xf>
    <xf numFmtId="3" fontId="38" fillId="0" borderId="0" xfId="26" applyNumberFormat="1" applyFont="1" applyFill="1" applyAlignment="1" applyProtection="1">
      <alignment horizontal="center"/>
    </xf>
    <xf numFmtId="3" fontId="38" fillId="0" borderId="0" xfId="26" applyNumberFormat="1" applyFont="1" applyAlignment="1">
      <alignment horizontal="center"/>
    </xf>
    <xf numFmtId="178" fontId="38" fillId="0" borderId="0" xfId="26" applyNumberFormat="1" applyFont="1" applyAlignment="1">
      <alignment horizontal="center"/>
    </xf>
    <xf numFmtId="3" fontId="38" fillId="0" borderId="0" xfId="2" applyNumberFormat="1" applyFont="1" applyAlignment="1">
      <alignment horizontal="center"/>
    </xf>
    <xf numFmtId="165" fontId="38" fillId="0" borderId="0" xfId="26" applyNumberFormat="1" applyFont="1" applyAlignment="1" applyProtection="1">
      <alignment horizontal="center"/>
      <protection locked="0"/>
    </xf>
    <xf numFmtId="165" fontId="38" fillId="0" borderId="0" xfId="26" applyNumberFormat="1" applyFont="1" applyAlignment="1" applyProtection="1">
      <alignment horizontal="center"/>
    </xf>
    <xf numFmtId="165" fontId="38" fillId="0" borderId="0" xfId="26" applyNumberFormat="1" applyFont="1" applyAlignment="1">
      <alignment horizontal="center"/>
    </xf>
    <xf numFmtId="1" fontId="37" fillId="0" borderId="0" xfId="26" quotePrefix="1" applyNumberFormat="1" applyFont="1" applyAlignment="1" applyProtection="1">
      <alignment horizontal="left"/>
    </xf>
    <xf numFmtId="1" fontId="37" fillId="0" borderId="0" xfId="26" applyNumberFormat="1" applyFont="1" applyAlignment="1" applyProtection="1">
      <alignment horizontal="left"/>
    </xf>
    <xf numFmtId="3" fontId="41" fillId="0" borderId="0" xfId="26" applyNumberFormat="1" applyFont="1" applyAlignment="1" applyProtection="1">
      <alignment horizontal="center"/>
    </xf>
    <xf numFmtId="49" fontId="38" fillId="0" borderId="0" xfId="26" quotePrefix="1" applyNumberFormat="1" applyFont="1" applyAlignment="1">
      <alignment horizontal="left"/>
    </xf>
    <xf numFmtId="49" fontId="38" fillId="0" borderId="0" xfId="26" applyNumberFormat="1" applyFont="1" applyProtection="1"/>
    <xf numFmtId="1" fontId="38" fillId="0" borderId="0" xfId="26" applyNumberFormat="1" applyFont="1" applyProtection="1"/>
    <xf numFmtId="49" fontId="37" fillId="0" borderId="0" xfId="26" quotePrefix="1" applyNumberFormat="1" applyFont="1" applyAlignment="1">
      <alignment horizontal="left"/>
    </xf>
    <xf numFmtId="49" fontId="37" fillId="0" borderId="0" xfId="26" applyNumberFormat="1" applyFont="1" applyAlignment="1">
      <alignment horizontal="left"/>
    </xf>
    <xf numFmtId="49" fontId="42" fillId="0" borderId="0" xfId="26" applyNumberFormat="1" applyFont="1" applyFill="1" applyAlignment="1">
      <alignment horizontal="left"/>
    </xf>
    <xf numFmtId="49" fontId="42" fillId="0" borderId="0" xfId="26" quotePrefix="1" applyNumberFormat="1" applyFont="1" applyFill="1" applyAlignment="1">
      <alignment horizontal="left"/>
    </xf>
    <xf numFmtId="49" fontId="38" fillId="0" borderId="0" xfId="26" applyNumberFormat="1" applyFont="1" applyAlignment="1">
      <alignment horizontal="left"/>
    </xf>
    <xf numFmtId="49" fontId="43" fillId="0" borderId="0" xfId="26" applyNumberFormat="1" applyFont="1" applyFill="1" applyAlignment="1">
      <alignment horizontal="centerContinuous"/>
    </xf>
    <xf numFmtId="49" fontId="38" fillId="0" borderId="0" xfId="26" applyNumberFormat="1" applyFont="1" applyFill="1" applyAlignment="1">
      <alignment horizontal="centerContinuous"/>
    </xf>
    <xf numFmtId="49" fontId="37" fillId="0" borderId="0" xfId="26" applyNumberFormat="1" applyFont="1" applyFill="1" applyAlignment="1">
      <alignment horizontal="centerContinuous"/>
    </xf>
    <xf numFmtId="49" fontId="38" fillId="0" borderId="0" xfId="26" applyNumberFormat="1" applyFont="1" applyFill="1" applyAlignment="1" applyProtection="1">
      <alignment horizontal="centerContinuous"/>
    </xf>
    <xf numFmtId="49" fontId="38" fillId="0" borderId="0" xfId="26" applyNumberFormat="1" applyFont="1" applyFill="1" applyAlignment="1">
      <alignment horizontal="center"/>
    </xf>
    <xf numFmtId="49" fontId="38" fillId="0" borderId="0" xfId="26" applyNumberFormat="1" applyFont="1" applyFill="1"/>
    <xf numFmtId="49" fontId="41" fillId="0" borderId="0" xfId="26" applyNumberFormat="1" applyFont="1" applyFill="1" applyAlignment="1" applyProtection="1">
      <alignment horizontal="center"/>
    </xf>
    <xf numFmtId="49" fontId="38" fillId="0" borderId="0" xfId="26" applyNumberFormat="1" applyFont="1" applyFill="1" applyAlignment="1" applyProtection="1">
      <alignment horizontal="center"/>
    </xf>
    <xf numFmtId="49" fontId="38" fillId="0" borderId="0" xfId="26" applyNumberFormat="1" applyFont="1" applyFill="1" applyAlignment="1" applyProtection="1">
      <alignment horizontal="fill"/>
    </xf>
    <xf numFmtId="1" fontId="38" fillId="0" borderId="0" xfId="26" applyNumberFormat="1" applyFont="1" applyFill="1" applyAlignment="1" applyProtection="1">
      <alignment horizontal="center"/>
    </xf>
    <xf numFmtId="3" fontId="38" fillId="0" borderId="0" xfId="26" applyNumberFormat="1" applyFont="1" applyFill="1" applyAlignment="1" applyProtection="1">
      <alignment horizontal="center"/>
      <protection locked="0"/>
    </xf>
    <xf numFmtId="168" fontId="38" fillId="0" borderId="0" xfId="26" applyNumberFormat="1" applyFont="1" applyFill="1" applyAlignment="1" applyProtection="1">
      <alignment horizontal="center"/>
    </xf>
    <xf numFmtId="3" fontId="38" fillId="0" borderId="0" xfId="27" applyNumberFormat="1" applyFont="1" applyFill="1" applyAlignment="1">
      <alignment horizontal="center"/>
    </xf>
    <xf numFmtId="10" fontId="38" fillId="0" borderId="0" xfId="26" applyNumberFormat="1" applyFont="1" applyFill="1" applyAlignment="1" applyProtection="1">
      <alignment horizontal="center"/>
    </xf>
    <xf numFmtId="179" fontId="38" fillId="0" borderId="0" xfId="26" applyNumberFormat="1" applyFont="1" applyFill="1" applyAlignment="1">
      <alignment horizontal="center"/>
    </xf>
    <xf numFmtId="179" fontId="38" fillId="0" borderId="0" xfId="26" applyNumberFormat="1" applyFont="1" applyFill="1"/>
    <xf numFmtId="10" fontId="38" fillId="0" borderId="0" xfId="12" applyNumberFormat="1" applyFont="1" applyFill="1" applyAlignment="1" applyProtection="1">
      <alignment horizontal="center"/>
    </xf>
    <xf numFmtId="0" fontId="38" fillId="0" borderId="0" xfId="26" applyNumberFormat="1" applyFont="1" applyFill="1" applyAlignment="1">
      <alignment horizontal="center"/>
    </xf>
    <xf numFmtId="0" fontId="38" fillId="0" borderId="0" xfId="26" applyNumberFormat="1" applyFont="1" applyFill="1" applyProtection="1"/>
    <xf numFmtId="0" fontId="38" fillId="0" borderId="0" xfId="26" quotePrefix="1" applyNumberFormat="1" applyFont="1" applyFill="1" applyAlignment="1">
      <alignment horizontal="left"/>
    </xf>
    <xf numFmtId="0" fontId="38" fillId="0" borderId="0" xfId="26" applyNumberFormat="1" applyFont="1" applyFill="1"/>
    <xf numFmtId="0" fontId="38" fillId="0" borderId="0" xfId="26" quotePrefix="1" applyNumberFormat="1" applyFont="1" applyFill="1" applyAlignment="1">
      <alignment horizontal="center"/>
    </xf>
    <xf numFmtId="0" fontId="38" fillId="0" borderId="0" xfId="26" applyNumberFormat="1" applyFont="1" applyFill="1" applyAlignment="1" applyProtection="1">
      <alignment horizontal="left"/>
    </xf>
    <xf numFmtId="49" fontId="38" fillId="0" borderId="0" xfId="26" quotePrefix="1" applyNumberFormat="1" applyFont="1" applyFill="1" applyAlignment="1" applyProtection="1">
      <alignment horizontal="left"/>
    </xf>
    <xf numFmtId="1" fontId="0" fillId="0" borderId="0" xfId="0" applyNumberFormat="1" applyFont="1"/>
    <xf numFmtId="1" fontId="2" fillId="0" borderId="0" xfId="0" applyNumberFormat="1" applyFont="1" applyAlignment="1">
      <alignment horizontal="center"/>
    </xf>
    <xf numFmtId="0" fontId="20" fillId="15" borderId="0" xfId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68" fontId="0" fillId="0" borderId="0" xfId="0" applyNumberFormat="1" applyFont="1" applyFill="1"/>
    <xf numFmtId="1" fontId="7" fillId="0" borderId="0" xfId="8" applyNumberFormat="1" applyFont="1"/>
    <xf numFmtId="0" fontId="7" fillId="0" borderId="63" xfId="0" applyFont="1" applyFill="1" applyBorder="1" applyAlignment="1">
      <alignment horizontal="left" indent="1"/>
    </xf>
    <xf numFmtId="164" fontId="7" fillId="0" borderId="69" xfId="7" applyNumberFormat="1" applyFont="1" applyFill="1" applyBorder="1" applyAlignment="1">
      <alignment horizontal="right" indent="1"/>
    </xf>
    <xf numFmtId="164" fontId="7" fillId="0" borderId="3" xfId="7" applyNumberFormat="1" applyFont="1" applyFill="1" applyBorder="1" applyAlignment="1">
      <alignment horizontal="right" indent="1"/>
    </xf>
    <xf numFmtId="164" fontId="7" fillId="0" borderId="63" xfId="7" applyNumberFormat="1" applyFont="1" applyFill="1" applyBorder="1" applyAlignment="1">
      <alignment horizontal="right" indent="1"/>
    </xf>
    <xf numFmtId="164" fontId="0" fillId="0" borderId="0" xfId="0" applyNumberFormat="1" applyFont="1" applyFill="1"/>
    <xf numFmtId="0" fontId="7" fillId="0" borderId="26" xfId="0" applyFont="1" applyFill="1" applyBorder="1" applyAlignment="1">
      <alignment horizontal="left" indent="1"/>
    </xf>
    <xf numFmtId="164" fontId="7" fillId="0" borderId="0" xfId="7" applyNumberFormat="1" applyFont="1" applyFill="1" applyBorder="1" applyAlignment="1">
      <alignment horizontal="right" indent="1"/>
    </xf>
    <xf numFmtId="164" fontId="7" fillId="0" borderId="41" xfId="7" applyNumberFormat="1" applyFont="1" applyFill="1" applyBorder="1" applyAlignment="1">
      <alignment horizontal="right" indent="1"/>
    </xf>
    <xf numFmtId="164" fontId="7" fillId="0" borderId="26" xfId="7" applyNumberFormat="1" applyFont="1" applyFill="1" applyBorder="1" applyAlignment="1">
      <alignment horizontal="right" indent="1"/>
    </xf>
    <xf numFmtId="0" fontId="7" fillId="0" borderId="17" xfId="0" applyFont="1" applyFill="1" applyBorder="1" applyAlignment="1">
      <alignment horizontal="left" indent="1"/>
    </xf>
    <xf numFmtId="164" fontId="7" fillId="0" borderId="13" xfId="7" applyNumberFormat="1" applyFont="1" applyFill="1" applyBorder="1" applyAlignment="1">
      <alignment horizontal="right" indent="1"/>
    </xf>
    <xf numFmtId="164" fontId="7" fillId="0" borderId="15" xfId="7" applyNumberFormat="1" applyFont="1" applyFill="1" applyBorder="1" applyAlignment="1">
      <alignment horizontal="right" indent="1"/>
    </xf>
    <xf numFmtId="164" fontId="7" fillId="0" borderId="17" xfId="7" applyNumberFormat="1" applyFont="1" applyFill="1" applyBorder="1" applyAlignment="1">
      <alignment horizontal="right" indent="1"/>
    </xf>
    <xf numFmtId="0" fontId="0" fillId="0" borderId="12" xfId="0" applyFill="1" applyBorder="1" applyAlignment="1">
      <alignment horizontal="center" vertical="center"/>
    </xf>
    <xf numFmtId="164" fontId="7" fillId="0" borderId="26" xfId="7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46" fillId="0" borderId="1" xfId="7" applyNumberFormat="1" applyFont="1" applyBorder="1"/>
    <xf numFmtId="0" fontId="46" fillId="0" borderId="1" xfId="0" applyFont="1" applyBorder="1"/>
    <xf numFmtId="164" fontId="46" fillId="9" borderId="1" xfId="7" applyNumberFormat="1" applyFont="1" applyFill="1" applyBorder="1"/>
    <xf numFmtId="165" fontId="0" fillId="0" borderId="1" xfId="6" applyNumberFormat="1" applyFont="1" applyBorder="1" applyAlignment="1">
      <alignment wrapText="1"/>
    </xf>
    <xf numFmtId="2" fontId="0" fillId="0" borderId="1" xfId="0" applyNumberFormat="1" applyBorder="1"/>
    <xf numFmtId="0" fontId="2" fillId="8" borderId="22" xfId="23" applyFont="1" applyFill="1" applyBorder="1" applyAlignment="1">
      <alignment horizontal="center"/>
    </xf>
    <xf numFmtId="0" fontId="2" fillId="8" borderId="1" xfId="23" applyFont="1" applyFill="1" applyBorder="1" applyAlignment="1">
      <alignment horizontal="center" wrapText="1"/>
    </xf>
    <xf numFmtId="0" fontId="2" fillId="8" borderId="1" xfId="23" applyFont="1" applyFill="1" applyBorder="1" applyAlignment="1">
      <alignment horizontal="center"/>
    </xf>
    <xf numFmtId="0" fontId="11" fillId="0" borderId="0" xfId="23"/>
    <xf numFmtId="0" fontId="11" fillId="0" borderId="0" xfId="23" applyFill="1"/>
    <xf numFmtId="43" fontId="11" fillId="0" borderId="24" xfId="29" applyFont="1" applyBorder="1" applyAlignment="1">
      <alignment horizontal="right"/>
    </xf>
    <xf numFmtId="43" fontId="11" fillId="0" borderId="1" xfId="29" applyFont="1" applyBorder="1" applyAlignment="1">
      <alignment horizontal="right"/>
    </xf>
    <xf numFmtId="180" fontId="11" fillId="0" borderId="1" xfId="23" applyNumberFormat="1" applyBorder="1" applyAlignment="1">
      <alignment horizontal="right"/>
    </xf>
    <xf numFmtId="0" fontId="11" fillId="0" borderId="1" xfId="23" applyBorder="1" applyAlignment="1">
      <alignment horizontal="right"/>
    </xf>
    <xf numFmtId="1" fontId="11" fillId="0" borderId="1" xfId="23" applyNumberFormat="1" applyBorder="1" applyAlignment="1">
      <alignment horizontal="center"/>
    </xf>
    <xf numFmtId="0" fontId="11" fillId="0" borderId="1" xfId="23" applyFill="1" applyBorder="1" applyAlignment="1">
      <alignment horizontal="left"/>
    </xf>
    <xf numFmtId="0" fontId="11" fillId="0" borderId="1" xfId="23" applyFill="1" applyBorder="1" applyAlignment="1">
      <alignment horizontal="right"/>
    </xf>
    <xf numFmtId="168" fontId="11" fillId="0" borderId="0" xfId="23" applyNumberFormat="1"/>
    <xf numFmtId="0" fontId="11" fillId="0" borderId="22" xfId="23" applyFont="1" applyFill="1" applyBorder="1"/>
    <xf numFmtId="0" fontId="11" fillId="4" borderId="1" xfId="23" applyFont="1" applyFill="1" applyBorder="1"/>
    <xf numFmtId="43" fontId="11" fillId="4" borderId="24" xfId="29" applyFont="1" applyFill="1" applyBorder="1" applyAlignment="1">
      <alignment horizontal="right"/>
    </xf>
    <xf numFmtId="43" fontId="11" fillId="4" borderId="1" xfId="29" applyFont="1" applyFill="1" applyBorder="1" applyAlignment="1">
      <alignment horizontal="right"/>
    </xf>
    <xf numFmtId="180" fontId="11" fillId="4" borderId="1" xfId="23" applyNumberFormat="1" applyFill="1" applyBorder="1" applyAlignment="1">
      <alignment horizontal="right"/>
    </xf>
    <xf numFmtId="0" fontId="11" fillId="4" borderId="1" xfId="23" applyFill="1" applyBorder="1" applyAlignment="1">
      <alignment horizontal="right"/>
    </xf>
    <xf numFmtId="1" fontId="11" fillId="4" borderId="1" xfId="23" applyNumberFormat="1" applyFill="1" applyBorder="1" applyAlignment="1">
      <alignment horizontal="center"/>
    </xf>
    <xf numFmtId="0" fontId="11" fillId="4" borderId="1" xfId="23" applyFont="1" applyFill="1" applyBorder="1" applyAlignment="1">
      <alignment horizontal="left"/>
    </xf>
    <xf numFmtId="0" fontId="11" fillId="4" borderId="1" xfId="23" applyFill="1" applyBorder="1"/>
    <xf numFmtId="168" fontId="11" fillId="4" borderId="0" xfId="23" applyNumberFormat="1" applyFill="1"/>
    <xf numFmtId="0" fontId="11" fillId="4" borderId="0" xfId="23" applyFill="1"/>
    <xf numFmtId="0" fontId="11" fillId="4" borderId="0" xfId="23" applyFont="1" applyFill="1"/>
    <xf numFmtId="170" fontId="11" fillId="4" borderId="24" xfId="29" applyNumberFormat="1" applyFont="1" applyFill="1" applyBorder="1" applyAlignment="1">
      <alignment horizontal="right"/>
    </xf>
    <xf numFmtId="170" fontId="11" fillId="4" borderId="1" xfId="29" applyNumberFormat="1" applyFont="1" applyFill="1" applyBorder="1" applyAlignment="1">
      <alignment horizontal="right"/>
    </xf>
    <xf numFmtId="0" fontId="11" fillId="4" borderId="18" xfId="23" applyFill="1" applyBorder="1" applyAlignment="1">
      <alignment horizontal="right"/>
    </xf>
    <xf numFmtId="1" fontId="11" fillId="4" borderId="18" xfId="23" applyNumberFormat="1" applyFill="1" applyBorder="1" applyAlignment="1">
      <alignment horizontal="center"/>
    </xf>
    <xf numFmtId="0" fontId="11" fillId="4" borderId="18" xfId="23" applyFont="1" applyFill="1" applyBorder="1" applyAlignment="1">
      <alignment horizontal="left"/>
    </xf>
    <xf numFmtId="0" fontId="11" fillId="4" borderId="24" xfId="23" applyFill="1" applyBorder="1"/>
    <xf numFmtId="43" fontId="11" fillId="0" borderId="24" xfId="29" applyNumberFormat="1" applyFont="1" applyBorder="1" applyAlignment="1"/>
    <xf numFmtId="43" fontId="11" fillId="0" borderId="1" xfId="29" applyNumberFormat="1" applyFont="1" applyBorder="1" applyAlignment="1"/>
    <xf numFmtId="1" fontId="11" fillId="0" borderId="0" xfId="23" applyNumberFormat="1" applyBorder="1" applyAlignment="1">
      <alignment horizontal="center"/>
    </xf>
    <xf numFmtId="0" fontId="11" fillId="0" borderId="0" xfId="23" applyAlignment="1">
      <alignment horizontal="left"/>
    </xf>
    <xf numFmtId="0" fontId="11" fillId="0" borderId="1" xfId="23" applyBorder="1"/>
    <xf numFmtId="43" fontId="11" fillId="4" borderId="24" xfId="29" applyNumberFormat="1" applyFont="1" applyFill="1" applyBorder="1" applyAlignment="1">
      <alignment horizontal="right"/>
    </xf>
    <xf numFmtId="43" fontId="11" fillId="4" borderId="1" xfId="29" applyNumberFormat="1" applyFont="1" applyFill="1" applyBorder="1" applyAlignment="1">
      <alignment horizontal="right"/>
    </xf>
    <xf numFmtId="43" fontId="11" fillId="4" borderId="1" xfId="29" applyNumberFormat="1" applyFont="1" applyFill="1" applyBorder="1" applyAlignment="1"/>
    <xf numFmtId="0" fontId="1" fillId="4" borderId="1" xfId="1" applyFill="1" applyBorder="1"/>
    <xf numFmtId="43" fontId="11" fillId="0" borderId="24" xfId="29" applyNumberFormat="1" applyFont="1" applyBorder="1" applyAlignment="1">
      <alignment horizontal="right"/>
    </xf>
    <xf numFmtId="43" fontId="11" fillId="0" borderId="1" xfId="29" applyNumberFormat="1" applyFont="1" applyBorder="1" applyAlignment="1">
      <alignment horizontal="right"/>
    </xf>
    <xf numFmtId="0" fontId="0" fillId="0" borderId="1" xfId="1" applyFont="1" applyFill="1" applyBorder="1" applyAlignment="1">
      <alignment horizontal="left"/>
    </xf>
    <xf numFmtId="43" fontId="11" fillId="0" borderId="24" xfId="29" applyNumberFormat="1" applyFont="1" applyBorder="1"/>
    <xf numFmtId="43" fontId="11" fillId="0" borderId="1" xfId="29" applyNumberFormat="1" applyFont="1" applyBorder="1"/>
    <xf numFmtId="0" fontId="11" fillId="0" borderId="1" xfId="23" applyFont="1" applyBorder="1" applyAlignment="1">
      <alignment horizontal="right"/>
    </xf>
    <xf numFmtId="1" fontId="11" fillId="0" borderId="1" xfId="23" applyNumberFormat="1" applyFont="1" applyBorder="1" applyAlignment="1">
      <alignment horizontal="center"/>
    </xf>
    <xf numFmtId="0" fontId="1" fillId="0" borderId="1" xfId="1" applyBorder="1"/>
    <xf numFmtId="0" fontId="11" fillId="0" borderId="15" xfId="23" applyBorder="1"/>
    <xf numFmtId="43" fontId="11" fillId="0" borderId="22" xfId="29" applyNumberFormat="1" applyFont="1" applyBorder="1"/>
    <xf numFmtId="180" fontId="11" fillId="0" borderId="22" xfId="23" applyNumberFormat="1" applyBorder="1" applyAlignment="1">
      <alignment horizontal="right"/>
    </xf>
    <xf numFmtId="0" fontId="11" fillId="0" borderId="22" xfId="23" applyBorder="1" applyAlignment="1">
      <alignment horizontal="right"/>
    </xf>
    <xf numFmtId="0" fontId="11" fillId="0" borderId="22" xfId="23" applyBorder="1"/>
    <xf numFmtId="0" fontId="11" fillId="0" borderId="41" xfId="23" applyBorder="1"/>
    <xf numFmtId="0" fontId="11" fillId="0" borderId="1" xfId="23" applyBorder="1" applyAlignment="1">
      <alignment horizontal="center"/>
    </xf>
    <xf numFmtId="0" fontId="11" fillId="0" borderId="1" xfId="23" applyBorder="1" applyAlignment="1">
      <alignment horizontal="left"/>
    </xf>
    <xf numFmtId="0" fontId="11" fillId="0" borderId="1" xfId="23" applyFont="1" applyBorder="1"/>
    <xf numFmtId="43" fontId="11" fillId="0" borderId="35" xfId="29" applyNumberFormat="1" applyFont="1" applyBorder="1"/>
    <xf numFmtId="0" fontId="11" fillId="0" borderId="0" xfId="23" applyBorder="1" applyAlignment="1">
      <alignment horizontal="center"/>
    </xf>
    <xf numFmtId="43" fontId="11" fillId="0" borderId="22" xfId="29" applyFont="1" applyBorder="1"/>
    <xf numFmtId="1" fontId="11" fillId="0" borderId="22" xfId="23" applyNumberFormat="1" applyBorder="1" applyAlignment="1">
      <alignment horizontal="center"/>
    </xf>
    <xf numFmtId="0" fontId="11" fillId="0" borderId="22" xfId="23" applyFill="1" applyBorder="1"/>
    <xf numFmtId="43" fontId="11" fillId="0" borderId="24" xfId="29" applyFont="1" applyBorder="1"/>
    <xf numFmtId="43" fontId="11" fillId="0" borderId="1" xfId="29" applyFont="1" applyBorder="1"/>
    <xf numFmtId="43" fontId="11" fillId="0" borderId="0" xfId="23" applyNumberFormat="1"/>
    <xf numFmtId="180" fontId="11" fillId="0" borderId="0" xfId="23" applyNumberFormat="1"/>
    <xf numFmtId="0" fontId="47" fillId="13" borderId="1" xfId="1" quotePrefix="1" applyFont="1" applyFill="1" applyBorder="1" applyAlignment="1">
      <alignment horizontal="left"/>
    </xf>
    <xf numFmtId="0" fontId="11" fillId="0" borderId="0" xfId="23" applyFont="1"/>
    <xf numFmtId="164" fontId="0" fillId="0" borderId="0" xfId="2" applyNumberFormat="1" applyFont="1" applyFill="1" applyAlignment="1"/>
    <xf numFmtId="1" fontId="20" fillId="15" borderId="0" xfId="7" applyNumberFormat="1" applyFont="1" applyFill="1" applyAlignment="1">
      <alignment horizontal="center"/>
    </xf>
    <xf numFmtId="1" fontId="20" fillId="12" borderId="0" xfId="7" applyNumberFormat="1" applyFont="1" applyFill="1" applyAlignment="1">
      <alignment horizontal="center"/>
    </xf>
    <xf numFmtId="0" fontId="7" fillId="8" borderId="0" xfId="8" applyFont="1" applyFill="1"/>
    <xf numFmtId="1" fontId="7" fillId="8" borderId="0" xfId="8" applyNumberFormat="1" applyFont="1" applyFill="1" applyAlignment="1">
      <alignment horizontal="center"/>
    </xf>
    <xf numFmtId="1" fontId="20" fillId="14" borderId="0" xfId="8" applyNumberFormat="1" applyFont="1" applyFill="1" applyAlignment="1">
      <alignment horizontal="center"/>
    </xf>
    <xf numFmtId="1" fontId="20" fillId="15" borderId="0" xfId="8" applyNumberFormat="1" applyFont="1" applyFill="1" applyAlignment="1">
      <alignment horizontal="center"/>
    </xf>
    <xf numFmtId="4" fontId="11" fillId="0" borderId="0" xfId="0" applyNumberFormat="1" applyFont="1" applyFill="1" applyAlignment="1">
      <alignment horizontal="center"/>
    </xf>
    <xf numFmtId="4" fontId="7" fillId="0" borderId="0" xfId="8" applyNumberFormat="1" applyFont="1" applyFill="1" applyAlignment="1">
      <alignment horizontal="center"/>
    </xf>
    <xf numFmtId="9" fontId="0" fillId="0" borderId="0" xfId="6" applyNumberFormat="1" applyFont="1" applyAlignment="1">
      <alignment horizontal="center"/>
    </xf>
    <xf numFmtId="165" fontId="2" fillId="4" borderId="0" xfId="6" applyNumberFormat="1" applyFont="1" applyFill="1"/>
    <xf numFmtId="0" fontId="2" fillId="4" borderId="0" xfId="0" applyFont="1" applyFill="1"/>
    <xf numFmtId="0" fontId="0" fillId="0" borderId="0" xfId="0" applyBorder="1" applyAlignment="1">
      <alignment horizontal="center"/>
    </xf>
    <xf numFmtId="0" fontId="0" fillId="0" borderId="51" xfId="0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58" xfId="7" applyNumberFormat="1" applyFont="1" applyBorder="1" applyAlignment="1">
      <alignment horizontal="center"/>
    </xf>
    <xf numFmtId="3" fontId="0" fillId="0" borderId="28" xfId="7" applyNumberFormat="1" applyFont="1" applyBorder="1" applyAlignment="1">
      <alignment horizontal="center"/>
    </xf>
    <xf numFmtId="3" fontId="0" fillId="0" borderId="32" xfId="7" applyNumberFormat="1" applyFont="1" applyBorder="1" applyAlignment="1">
      <alignment horizontal="center"/>
    </xf>
    <xf numFmtId="3" fontId="0" fillId="0" borderId="58" xfId="6" applyNumberFormat="1" applyFont="1" applyBorder="1" applyAlignment="1">
      <alignment horizontal="center"/>
    </xf>
    <xf numFmtId="3" fontId="0" fillId="0" borderId="28" xfId="6" applyNumberFormat="1" applyFont="1" applyBorder="1" applyAlignment="1">
      <alignment horizontal="center"/>
    </xf>
    <xf numFmtId="3" fontId="0" fillId="0" borderId="32" xfId="6" applyNumberFormat="1" applyFon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165" fontId="0" fillId="0" borderId="23" xfId="6" applyNumberFormat="1" applyFont="1" applyBorder="1" applyAlignment="1">
      <alignment horizontal="center"/>
    </xf>
    <xf numFmtId="165" fontId="0" fillId="0" borderId="18" xfId="6" applyNumberFormat="1" applyFont="1" applyBorder="1" applyAlignment="1">
      <alignment horizontal="center"/>
    </xf>
    <xf numFmtId="165" fontId="0" fillId="0" borderId="21" xfId="6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NumberFormat="1" applyFont="1" applyAlignment="1">
      <alignment horizontal="center" vertical="center" wrapText="1"/>
    </xf>
    <xf numFmtId="0" fontId="0" fillId="11" borderId="0" xfId="0" applyFont="1" applyFill="1" applyAlignment="1"/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0" fillId="0" borderId="0" xfId="4" applyFont="1" applyFill="1" applyBorder="1" applyAlignment="1">
      <alignment horizontal="center"/>
    </xf>
    <xf numFmtId="0" fontId="20" fillId="14" borderId="0" xfId="8" applyFont="1" applyFill="1" applyBorder="1" applyAlignment="1">
      <alignment horizontal="center"/>
    </xf>
    <xf numFmtId="0" fontId="20" fillId="14" borderId="0" xfId="4" applyFont="1" applyFill="1" applyBorder="1" applyAlignment="1">
      <alignment horizontal="center"/>
    </xf>
    <xf numFmtId="0" fontId="0" fillId="0" borderId="0" xfId="4" applyFont="1" applyAlignment="1">
      <alignment horizontal="center"/>
    </xf>
    <xf numFmtId="0" fontId="11" fillId="0" borderId="0" xfId="4" applyFont="1" applyAlignment="1">
      <alignment horizontal="center"/>
    </xf>
    <xf numFmtId="0" fontId="20" fillId="15" borderId="0" xfId="8" applyFont="1" applyFill="1" applyBorder="1" applyAlignment="1">
      <alignment horizontal="center"/>
    </xf>
    <xf numFmtId="0" fontId="20" fillId="15" borderId="0" xfId="4" applyFont="1" applyFill="1" applyBorder="1" applyAlignment="1">
      <alignment horizontal="center"/>
    </xf>
    <xf numFmtId="0" fontId="2" fillId="37" borderId="50" xfId="23" applyFont="1" applyFill="1" applyBorder="1" applyAlignment="1">
      <alignment horizontal="center"/>
    </xf>
    <xf numFmtId="0" fontId="2" fillId="37" borderId="18" xfId="23" applyFont="1" applyFill="1" applyBorder="1" applyAlignment="1">
      <alignment horizontal="center"/>
    </xf>
    <xf numFmtId="0" fontId="2" fillId="37" borderId="24" xfId="23" applyFont="1" applyFill="1" applyBorder="1" applyAlignment="1">
      <alignment horizontal="center"/>
    </xf>
    <xf numFmtId="0" fontId="2" fillId="37" borderId="47" xfId="23" applyFont="1" applyFill="1" applyBorder="1" applyAlignment="1">
      <alignment horizontal="center"/>
    </xf>
    <xf numFmtId="0" fontId="2" fillId="37" borderId="36" xfId="23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0" borderId="13" xfId="0" applyBorder="1" applyAlignment="1">
      <alignment horizontal="center"/>
    </xf>
    <xf numFmtId="164" fontId="26" fillId="10" borderId="0" xfId="2" applyNumberFormat="1" applyFont="1" applyFill="1" applyAlignment="1">
      <alignment horizontal="center"/>
    </xf>
    <xf numFmtId="0" fontId="7" fillId="0" borderId="50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7" fillId="0" borderId="24" xfId="1" applyFont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4" borderId="1" xfId="0" applyFont="1" applyFill="1" applyBorder="1" applyAlignment="1">
      <alignment horizontal="center"/>
    </xf>
    <xf numFmtId="0" fontId="2" fillId="24" borderId="20" xfId="0" applyFont="1" applyFill="1" applyBorder="1" applyAlignment="1">
      <alignment horizontal="center"/>
    </xf>
    <xf numFmtId="0" fontId="2" fillId="9" borderId="52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21" borderId="52" xfId="0" applyFont="1" applyFill="1" applyBorder="1" applyAlignment="1">
      <alignment horizontal="center"/>
    </xf>
    <xf numFmtId="0" fontId="2" fillId="21" borderId="7" xfId="0" applyFont="1" applyFill="1" applyBorder="1" applyAlignment="1">
      <alignment horizontal="center"/>
    </xf>
    <xf numFmtId="0" fontId="2" fillId="21" borderId="11" xfId="0" applyFont="1" applyFill="1" applyBorder="1" applyAlignment="1">
      <alignment horizontal="center"/>
    </xf>
    <xf numFmtId="0" fontId="2" fillId="24" borderId="55" xfId="0" applyFont="1" applyFill="1" applyBorder="1" applyAlignment="1">
      <alignment horizontal="center"/>
    </xf>
    <xf numFmtId="0" fontId="2" fillId="24" borderId="19" xfId="0" applyFont="1" applyFill="1" applyBorder="1" applyAlignment="1">
      <alignment horizontal="center"/>
    </xf>
    <xf numFmtId="0" fontId="2" fillId="24" borderId="64" xfId="0" applyFont="1" applyFill="1" applyBorder="1" applyAlignment="1">
      <alignment horizontal="center" wrapText="1"/>
    </xf>
    <xf numFmtId="0" fontId="2" fillId="24" borderId="50" xfId="0" applyFont="1" applyFill="1" applyBorder="1" applyAlignment="1">
      <alignment horizontal="center" wrapText="1"/>
    </xf>
    <xf numFmtId="0" fontId="2" fillId="24" borderId="56" xfId="0" applyFont="1" applyFill="1" applyBorder="1" applyAlignment="1">
      <alignment horizontal="center"/>
    </xf>
    <xf numFmtId="0" fontId="2" fillId="24" borderId="57" xfId="0" applyFont="1" applyFill="1" applyBorder="1" applyAlignment="1">
      <alignment horizontal="center"/>
    </xf>
    <xf numFmtId="0" fontId="0" fillId="0" borderId="66" xfId="0" applyFill="1" applyBorder="1" applyAlignment="1">
      <alignment horizontal="center" vertical="center"/>
    </xf>
    <xf numFmtId="0" fontId="0" fillId="0" borderId="67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37" xfId="0" applyBorder="1" applyAlignment="1"/>
    <xf numFmtId="0" fontId="0" fillId="0" borderId="40" xfId="0" applyBorder="1" applyAlignment="1"/>
    <xf numFmtId="0" fontId="0" fillId="0" borderId="7" xfId="0" applyBorder="1" applyAlignment="1">
      <alignment horizontal="center"/>
    </xf>
    <xf numFmtId="0" fontId="29" fillId="9" borderId="66" xfId="0" applyFont="1" applyFill="1" applyBorder="1" applyAlignment="1">
      <alignment horizontal="left" vertical="center"/>
    </xf>
    <xf numFmtId="0" fontId="29" fillId="9" borderId="67" xfId="0" applyFont="1" applyFill="1" applyBorder="1" applyAlignment="1">
      <alignment horizontal="left" vertical="center"/>
    </xf>
    <xf numFmtId="0" fontId="29" fillId="9" borderId="68" xfId="0" applyFont="1" applyFill="1" applyBorder="1" applyAlignment="1">
      <alignment horizontal="left" vertical="center"/>
    </xf>
    <xf numFmtId="0" fontId="29" fillId="9" borderId="8" xfId="0" applyFont="1" applyFill="1" applyBorder="1" applyAlignment="1">
      <alignment horizontal="center" vertical="center"/>
    </xf>
    <xf numFmtId="0" fontId="29" fillId="9" borderId="9" xfId="0" applyFont="1" applyFill="1" applyBorder="1" applyAlignment="1">
      <alignment horizontal="center" vertical="center"/>
    </xf>
    <xf numFmtId="0" fontId="29" fillId="9" borderId="10" xfId="0" applyFont="1" applyFill="1" applyBorder="1" applyAlignment="1">
      <alignment horizontal="center" vertical="center"/>
    </xf>
    <xf numFmtId="0" fontId="29" fillId="9" borderId="53" xfId="0" applyFont="1" applyFill="1" applyBorder="1" applyAlignment="1">
      <alignment horizontal="center" vertical="center"/>
    </xf>
  </cellXfs>
  <cellStyles count="57">
    <cellStyle name="_x0013_" xfId="28"/>
    <cellStyle name="Comma" xfId="7" builtinId="3"/>
    <cellStyle name="Comma 18" xfId="29"/>
    <cellStyle name="Comma 2" xfId="2"/>
    <cellStyle name="Comma 2 2" xfId="20"/>
    <cellStyle name="Comma 2 3" xfId="30"/>
    <cellStyle name="Comma 3" xfId="21"/>
    <cellStyle name="Comma 3 2" xfId="31"/>
    <cellStyle name="Comma 3 3" xfId="32"/>
    <cellStyle name="Comma 4" xfId="33"/>
    <cellStyle name="Comma 5" xfId="34"/>
    <cellStyle name="Comma 6" xfId="35"/>
    <cellStyle name="Currency" xfId="11" builtinId="4"/>
    <cellStyle name="Currency 2" xfId="5"/>
    <cellStyle name="Currency 2 2" xfId="36"/>
    <cellStyle name="Currency 2 3" xfId="37"/>
    <cellStyle name="Currency 2 4" xfId="38"/>
    <cellStyle name="Currency 3" xfId="22"/>
    <cellStyle name="Currency 3 2" xfId="39"/>
    <cellStyle name="Currency 3 3" xfId="40"/>
    <cellStyle name="Currency 4" xfId="41"/>
    <cellStyle name="Currency 5" xfId="42"/>
    <cellStyle name="Currency 6" xfId="43"/>
    <cellStyle name="Hyperlink" xfId="3" builtinId="8"/>
    <cellStyle name="Hyperlink 2" xfId="44"/>
    <cellStyle name="Normal" xfId="0" builtinId="0"/>
    <cellStyle name="Normal 10" xfId="26"/>
    <cellStyle name="Normal 11" xfId="45"/>
    <cellStyle name="Normal 12" xfId="46"/>
    <cellStyle name="Normal 13" xfId="47"/>
    <cellStyle name="Normal 2" xfId="1"/>
    <cellStyle name="Normal 2 2" xfId="8"/>
    <cellStyle name="Normal 2 2 2" xfId="25"/>
    <cellStyle name="Normal 2 3" xfId="10"/>
    <cellStyle name="Normal 3" xfId="4"/>
    <cellStyle name="Normal 4" xfId="13"/>
    <cellStyle name="Normal 5" xfId="14"/>
    <cellStyle name="Normal 6" xfId="15"/>
    <cellStyle name="Normal 7" xfId="16"/>
    <cellStyle name="Normal 8" xfId="17"/>
    <cellStyle name="Normal 8 2" xfId="48"/>
    <cellStyle name="Normal 9" xfId="23"/>
    <cellStyle name="Normal 9 2" xfId="49"/>
    <cellStyle name="Normal_EIA411_2002_Linked_Forms" xfId="27"/>
    <cellStyle name="Percent" xfId="6" builtinId="5"/>
    <cellStyle name="Percent 2" xfId="9"/>
    <cellStyle name="Percent 2 2" xfId="50"/>
    <cellStyle name="Percent 2 3" xfId="51"/>
    <cellStyle name="Percent 2 4" xfId="52"/>
    <cellStyle name="Percent 3" xfId="12"/>
    <cellStyle name="Percent 4" xfId="24"/>
    <cellStyle name="Percent 4 2" xfId="53"/>
    <cellStyle name="Percent 5" xfId="54"/>
    <cellStyle name="Percent 6" xfId="55"/>
    <cellStyle name="Percent 7" xfId="56"/>
    <cellStyle name="SEM-BPS-data" xfId="18"/>
    <cellStyle name="Style 1" xfId="19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B6D6D"/>
      <color rgb="FFEB2403"/>
      <color rgb="FFF9473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4" Type="http://schemas.openxmlformats.org/officeDocument/2006/relationships/styles" Target="styles.xml" />
  <Relationship Id="rId33" Type="http://schemas.openxmlformats.org/officeDocument/2006/relationships/theme" Target="theme/theme1.xml" />
  <Relationship Id="rId3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9" Type="http://schemas.openxmlformats.org/officeDocument/2006/relationships/worksheet" Target="worksheets/sheet9.xml" />
  <Relationship Id="rId10" Type="http://schemas.openxmlformats.org/officeDocument/2006/relationships/worksheet" Target="worksheets/sheet10.xml" />
  <Relationship Id="rId11" Type="http://schemas.openxmlformats.org/officeDocument/2006/relationships/worksheet" Target="worksheets/sheet11.xml" />
  <Relationship Id="rId12" Type="http://schemas.openxmlformats.org/officeDocument/2006/relationships/worksheet" Target="worksheets/sheet12.xml" />
  <Relationship Id="rId13" Type="http://schemas.openxmlformats.org/officeDocument/2006/relationships/worksheet" Target="worksheets/sheet13.xml" />
  <Relationship Id="rId14" Type="http://schemas.openxmlformats.org/officeDocument/2006/relationships/worksheet" Target="worksheets/sheet14.xml" />
  <Relationship Id="rId15" Type="http://schemas.openxmlformats.org/officeDocument/2006/relationships/worksheet" Target="worksheets/sheet15.xml" />
  <Relationship Id="rId16" Type="http://schemas.openxmlformats.org/officeDocument/2006/relationships/worksheet" Target="worksheets/sheet16.xml" />
  <Relationship Id="rId17" Type="http://schemas.openxmlformats.org/officeDocument/2006/relationships/worksheet" Target="worksheets/sheet17.xml" />
  <Relationship Id="rId18" Type="http://schemas.openxmlformats.org/officeDocument/2006/relationships/worksheet" Target="worksheets/sheet18.xml" />
  <Relationship Id="rId19" Type="http://schemas.openxmlformats.org/officeDocument/2006/relationships/worksheet" Target="worksheets/sheet19.xml" />
  <Relationship Id="rId20" Type="http://schemas.openxmlformats.org/officeDocument/2006/relationships/worksheet" Target="worksheets/sheet20.xml" />
  <Relationship Id="rId21" Type="http://schemas.openxmlformats.org/officeDocument/2006/relationships/worksheet" Target="worksheets/sheet21.xml" />
  <Relationship Id="rId22" Type="http://schemas.openxmlformats.org/officeDocument/2006/relationships/worksheet" Target="worksheets/sheet22.xml" />
  <Relationship Id="rId26" Type="http://schemas.openxmlformats.org/officeDocument/2006/relationships/externalLink" Target="externalLinks/externalLink4.xml" />
  <Relationship Id="rId39" Type="http://schemas.openxmlformats.org/officeDocument/2006/relationships/customXml" Target="../customXml/item3.xml" />
  <Relationship Id="rId25" Type="http://schemas.openxmlformats.org/officeDocument/2006/relationships/externalLink" Target="externalLinks/externalLink3.xml" />
  <Relationship Id="rId38" Type="http://schemas.openxmlformats.org/officeDocument/2006/relationships/customXml" Target="../customXml/item2.xml" />
  <Relationship Id="rId29" Type="http://schemas.openxmlformats.org/officeDocument/2006/relationships/externalLink" Target="externalLinks/externalLink7.xml" />
  <Relationship Id="rId24" Type="http://schemas.openxmlformats.org/officeDocument/2006/relationships/externalLink" Target="externalLinks/externalLink2.xml" />
  <Relationship Id="rId32" Type="http://schemas.openxmlformats.org/officeDocument/2006/relationships/externalLink" Target="externalLinks/externalLink10.xml" />
  <Relationship Id="rId37" Type="http://schemas.openxmlformats.org/officeDocument/2006/relationships/customXml" Target="../customXml/item1.xml" />
  <Relationship Id="rId23" Type="http://schemas.openxmlformats.org/officeDocument/2006/relationships/externalLink" Target="externalLinks/externalLink1.xml" />
  <Relationship Id="rId28" Type="http://schemas.openxmlformats.org/officeDocument/2006/relationships/externalLink" Target="externalLinks/externalLink6.xml" />
  <Relationship Id="rId36" Type="http://schemas.openxmlformats.org/officeDocument/2006/relationships/calcChain" Target="calcChain.xml" />
  <Relationship Id="rId31" Type="http://schemas.openxmlformats.org/officeDocument/2006/relationships/externalLink" Target="externalLinks/externalLink9.xml" />
  <Relationship Id="rId27" Type="http://schemas.openxmlformats.org/officeDocument/2006/relationships/externalLink" Target="externalLinks/externalLink5.xml" />
  <Relationship Id="rId30" Type="http://schemas.openxmlformats.org/officeDocument/2006/relationships/externalLink" Target="externalLinks/externalLink8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jpeg" />
</Relationships>
</file>

<file path=xl/drawings/_rels/drawing2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jpeg" />
</Relationships>
</file>

<file path=xl/drawings/_rels/drawing3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jpe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33618</xdr:colOff>
      <xdr:row>0</xdr:row>
      <xdr:rowOff>19049</xdr:rowOff>
    </xdr:from>
    <xdr:to>
      <xdr:col>13</xdr:col>
      <xdr:colOff>44824</xdr:colOff>
      <xdr:row>3</xdr:row>
      <xdr:rowOff>57429</xdr:rowOff>
    </xdr:to>
    <xdr:pic>
      <xdr:nvPicPr>
        <xdr:cNvPr id="5" name="Picture 4" descr="New-Duke-Energy-Logox300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92589" y="19049"/>
          <a:ext cx="1064559" cy="5762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1</xdr:row>
      <xdr:rowOff>0</xdr:rowOff>
    </xdr:from>
    <xdr:to>
      <xdr:col>10</xdr:col>
      <xdr:colOff>1114425</xdr:colOff>
      <xdr:row>4</xdr:row>
      <xdr:rowOff>76200</xdr:rowOff>
    </xdr:to>
    <xdr:pic>
      <xdr:nvPicPr>
        <xdr:cNvPr id="2" name="Picture 1" descr="New-Duke-Energy-Logox300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66675"/>
          <a:ext cx="11049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3</xdr:col>
      <xdr:colOff>329276</xdr:colOff>
      <xdr:row>4</xdr:row>
      <xdr:rowOff>139700</xdr:rowOff>
    </xdr:to>
    <xdr:pic>
      <xdr:nvPicPr>
        <xdr:cNvPr id="13" name="Picture 12" descr="New-Duke-Energy-Logox300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8108" y="84667"/>
          <a:ext cx="1133475" cy="698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226219</xdr:colOff>
      <xdr:row>28</xdr:row>
      <xdr:rowOff>166687</xdr:rowOff>
    </xdr:from>
    <xdr:to>
      <xdr:col>8</xdr:col>
      <xdr:colOff>226219</xdr:colOff>
      <xdr:row>36</xdr:row>
      <xdr:rowOff>23811</xdr:rowOff>
    </xdr:to>
    <xdr:sp macro="" textlink="">
      <xdr:nvSpPr>
        <xdr:cNvPr id="2" name="Left Arrow Callout 1"/>
        <xdr:cNvSpPr/>
      </xdr:nvSpPr>
      <xdr:spPr>
        <a:xfrm>
          <a:off x="4731544" y="7377112"/>
          <a:ext cx="2466975" cy="1400174"/>
        </a:xfrm>
        <a:prstGeom prst="leftArrowCallout">
          <a:avLst/>
        </a:prstGeom>
        <a:solidFill>
          <a:schemeClr val="accent1">
            <a:lumMod val="40000"/>
            <a:lumOff val="60000"/>
          </a:schemeClr>
        </a:solidFill>
        <a:ln w="19050"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>
              <a:solidFill>
                <a:schemeClr val="tx1"/>
              </a:solidFill>
            </a:rPr>
            <a:t>Percentages  are calculated </a:t>
          </a:r>
          <a:r>
            <a:rPr lang="en-US" sz="1100" baseline="0">
              <a:solidFill>
                <a:schemeClr val="tx1"/>
              </a:solidFill>
            </a:rPr>
            <a:t> from 2007 weather adjusted to  2014 forecased MWs. (Ed Lynch)</a:t>
          </a:r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154781</xdr:colOff>
      <xdr:row>20</xdr:row>
      <xdr:rowOff>119063</xdr:rowOff>
    </xdr:from>
    <xdr:to>
      <xdr:col>8</xdr:col>
      <xdr:colOff>154781</xdr:colOff>
      <xdr:row>27</xdr:row>
      <xdr:rowOff>190499</xdr:rowOff>
    </xdr:to>
    <xdr:sp macro="" textlink="">
      <xdr:nvSpPr>
        <xdr:cNvPr id="3" name="Left Arrow Callout 2"/>
        <xdr:cNvSpPr/>
      </xdr:nvSpPr>
      <xdr:spPr>
        <a:xfrm>
          <a:off x="4660106" y="5805488"/>
          <a:ext cx="2466975" cy="1404936"/>
        </a:xfrm>
        <a:prstGeom prst="leftArrowCallout">
          <a:avLst/>
        </a:prstGeom>
        <a:solidFill>
          <a:schemeClr val="accent2">
            <a:lumMod val="60000"/>
            <a:lumOff val="40000"/>
          </a:schemeClr>
        </a:solidFill>
        <a:ln w="19050"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  <a:p>
          <a:pPr algn="ctr"/>
          <a:r>
            <a:rPr lang="en-US" sz="1200" b="1">
              <a:solidFill>
                <a:schemeClr val="tx1"/>
              </a:solidFill>
            </a:rPr>
            <a:t>NOT USED</a:t>
          </a:r>
        </a:p>
        <a:p>
          <a:pPr algn="ctr"/>
          <a:r>
            <a:rPr lang="en-US" sz="1100">
              <a:solidFill>
                <a:schemeClr val="tx1"/>
              </a:solidFill>
            </a:rPr>
            <a:t>Original Percentages  (2007 - 2014) non-weather adjusted MW's.  See Hidden Tab - </a:t>
          </a:r>
          <a:r>
            <a:rPr lang="en-US" sz="1100" b="1">
              <a:solidFill>
                <a:schemeClr val="tx1"/>
              </a:solidFill>
            </a:rPr>
            <a:t>Ed Tab </a:t>
          </a:r>
          <a:r>
            <a:rPr lang="en-US" sz="1100" baseline="0">
              <a:solidFill>
                <a:schemeClr val="tx1"/>
              </a:solidFill>
            </a:rPr>
            <a:t>(Ed Lynch)</a:t>
          </a:r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Program%20Files\FMIP\Excel\Budtrack.xls" TargetMode="External" />
</Relationships>
</file>

<file path=xl/externalLinks/_rels/externalLink10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GOXSF01\VOL1\ACG\ACG\SMES\Reports\Smeseb02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TEMP\C.Home.RemoteAccess.tfr0qbi\Goals%20DSM\2003%20IRP\List%20of%20Measures%202003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F:\Program%20Files\FMIP\Excel\Budtrack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Program%20Files\FMIP\Excel\BudgetReport.xls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F:\HOME\EXCEL\Nov%20Dec%202002\2003%20ECCR%20Loc%2078.xls" TargetMode="External" />
</Relationships>
</file>

<file path=xl/externalLinks/_rels/externalLink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HOME\EXCEL\Nov%20Dec%202002\2003%20ECCR%20Loc%2078.xls" TargetMode="External" />
</Relationships>
</file>

<file path=xl/externalLinks/_rels/externalLink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E:\PDM%20Dept%20Info\2003%20Reforecast\ECCR\Maria%20Prof%20Serv%20April%202002.xls" TargetMode="External" />
</Relationships>
</file>

<file path=xl/externalLinks/_rels/externalLink8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Users/AXG0YZT/Desktop/2013%20Tech%20Potential_adj/TP%202013%20-methodology/HVAC%20Adjustment.xlsx" TargetMode="External" />
</Relationships>
</file>

<file path=xl/externalLinks/_rels/externalLink9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cafe.nexteraenergy.com/p840-844/Part%20Updates/Duct/Duct%20Summer%20Demand%20Results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ll"/>
      <sheetName val="Report"/>
      <sheetName val="ReportScript"/>
      <sheetName val="Parameter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eportScript"/>
      <sheetName val="Drill"/>
      <sheetName val="Report"/>
      <sheetName val="Module1"/>
      <sheetName val="Module2"/>
      <sheetName val="cover"/>
      <sheetName val="CHANGES"/>
      <sheetName val="Reconcile"/>
      <sheetName val="TOTAL O&amp;M"/>
      <sheetName val="Other O&amp;M"/>
      <sheetName val="Payroll O&amp;M"/>
      <sheetName val="Manpower Notes"/>
      <sheetName val="Total BASE-ECCR Manpower"/>
      <sheetName val="Total BASE Manpower"/>
      <sheetName val="Overtime roll-up"/>
      <sheetName val="Temp. Roll-up"/>
      <sheetName val="Comparison"/>
      <sheetName val="ROLLUP"/>
      <sheetName val="Miami Dollars"/>
      <sheetName val="Miami Notes"/>
      <sheetName val="W Palm Dollars"/>
      <sheetName val="WPalm Notes"/>
      <sheetName val="QA Dollars"/>
      <sheetName val="QA Notes"/>
      <sheetName val="Staff Dollars"/>
      <sheetName val="Staff Notes"/>
      <sheetName val="MIS Dollars"/>
      <sheetName val="MIS Notes"/>
      <sheetName val="Telecom Budget"/>
      <sheetName val="fmip YTD"/>
      <sheetName val="0700-326"/>
      <sheetName val="0700-674"/>
      <sheetName val="Miami Manpower"/>
      <sheetName val="Pyrl Comp - Miami"/>
      <sheetName val="W Palm Manpower"/>
      <sheetName val="Pyrl Comp - WP"/>
      <sheetName val="QA manpower"/>
      <sheetName val="Staff manpower"/>
      <sheetName val="MIS manpower"/>
      <sheetName val="O&amp;M wkst - funds request "/>
      <sheetName val="Rev 2000 Base Budget"/>
      <sheetName val="Selection1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2005"/>
      <sheetName val="Index"/>
      <sheetName val="unknow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ll"/>
      <sheetName val="Report"/>
      <sheetName val="ReportScript"/>
      <sheetName val="Parameters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_Analysis"/>
      <sheetName val="Cash_Flow"/>
      <sheetName val="Sheet3"/>
    </sheetNames>
    <sheetDataSet>
      <sheetData sheetId="0">
        <row r="10">
          <cell r="D10" t="str">
            <v>Whole Year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es - Actuals "/>
      <sheetName val="7801 ECCR YTD"/>
      <sheetName val="7801 ECCR MO"/>
      <sheetName val="7808 ECCR YTD"/>
      <sheetName val="7808 ECCR MO"/>
      <sheetName val="7817 ECCR YTD"/>
      <sheetName val="7817 ECCR MO"/>
      <sheetName val="7828 ECCR YTD"/>
      <sheetName val="7828 ECCR MO"/>
      <sheetName val="7834 ECCR YTD"/>
      <sheetName val="7834 ECCR MO"/>
      <sheetName val="ROLLUP ECCR YTD"/>
      <sheetName val="ROLLUP ECCR MO"/>
      <sheetName val="Cash_Flow YTD"/>
      <sheetName val="Cash_Flow MO"/>
      <sheetName val="BY 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es - Actuals "/>
      <sheetName val="7801 ECCR YTD"/>
      <sheetName val="7801 ECCR MO"/>
      <sheetName val="7808 ECCR YTD"/>
      <sheetName val="7808 ECCR MO"/>
      <sheetName val="7817 ECCR YTD"/>
      <sheetName val="7817 ECCR MO"/>
      <sheetName val="7828 ECCR YTD"/>
      <sheetName val="7828 ECCR MO"/>
      <sheetName val="7834 ECCR YTD"/>
      <sheetName val="7834 ECCR MO"/>
      <sheetName val="ROLLUP ECCR YTD"/>
      <sheetName val="ROLLUP ECCR MO"/>
      <sheetName val="Cash_Flow YTD"/>
      <sheetName val="Cash_Flow MO"/>
      <sheetName val="BY 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801"/>
      <sheetName val="Recap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dential Technologies (2)"/>
      <sheetName val="Aggregate by Measure # wWinter"/>
      <sheetName val="Residential Technologies"/>
      <sheetName val="Revised Commercial DX"/>
      <sheetName val="Residential Central AC (2)"/>
      <sheetName val="Res AC"/>
      <sheetName val="Wattage - 2020 Data"/>
      <sheetName val="Indoor res. graph SAT"/>
      <sheetName val="Pivot Table"/>
      <sheetName val="Saturation -  Data"/>
    </sheetNames>
    <sheetDataSet>
      <sheetData sheetId="0"/>
      <sheetData sheetId="1"/>
      <sheetData sheetId="2"/>
      <sheetData sheetId="3">
        <row r="16">
          <cell r="C16">
            <v>2609.150486510393</v>
          </cell>
        </row>
        <row r="17">
          <cell r="C17">
            <v>10080</v>
          </cell>
        </row>
        <row r="18">
          <cell r="C18">
            <v>9163.636363636364</v>
          </cell>
        </row>
        <row r="19">
          <cell r="C19">
            <v>8400</v>
          </cell>
        </row>
        <row r="20">
          <cell r="C20">
            <v>2121.4285714285716</v>
          </cell>
          <cell r="F20">
            <v>0.7</v>
          </cell>
        </row>
        <row r="21">
          <cell r="C21">
            <v>1833.1270329670331</v>
          </cell>
          <cell r="F21">
            <v>0.3</v>
          </cell>
        </row>
        <row r="22">
          <cell r="C22">
            <v>6720</v>
          </cell>
        </row>
      </sheetData>
      <sheetData sheetId="4"/>
      <sheetData sheetId="5"/>
      <sheetData sheetId="6"/>
      <sheetData sheetId="7" refreshError="1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ctsd98"/>
      <sheetName val="ductsd"/>
      <sheetName val="Data In"/>
      <sheetName val="P-1"/>
      <sheetName val="I-1"/>
      <sheetName val="PUI-1"/>
      <sheetName val="IRP-1"/>
      <sheetName val="Program Costs"/>
      <sheetName val="Inc-1"/>
      <sheetName val="Cost-1"/>
      <sheetName val="$perkW-1"/>
      <sheetName val="CostEff-1"/>
      <sheetName val="RSC5"/>
      <sheetName val="Comp-1"/>
      <sheetName val="Final Cooling OF's"/>
      <sheetName val="OF-1"/>
      <sheetName val="BD-1"/>
      <sheetName val="PUI-1BD"/>
      <sheetName val="IRP-1BD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3.xml" />
  <Relationship Id="rId2" Type="http://schemas.openxmlformats.org/officeDocument/2006/relationships/vmlDrawing" Target="../drawings/vmlDrawing3.vml" /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4.xml" />
  <Relationship Id="rId2" Type="http://schemas.openxmlformats.org/officeDocument/2006/relationships/vmlDrawing" Target="../drawings/vmlDrawing4.vml" /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8" Type="http://schemas.openxmlformats.org/officeDocument/2006/relationships/hyperlink" Target="http://www1.eere.energy.gov/buildings/appliance_standards/product.aspx/productid/75" TargetMode="External" />
  <Relationship Id="rId13" Type="http://schemas.openxmlformats.org/officeDocument/2006/relationships/hyperlink" Target="http://www1.eere.energy.gov/buildings/appliance_standards/product.aspx/productid/75" TargetMode="External" />
  <Relationship Id="rId3" Type="http://schemas.openxmlformats.org/officeDocument/2006/relationships/hyperlink" Target="http://www1.eere.energy.gov/buildings/appliance_standards/product.aspx/productid/75" TargetMode="External" />
  <Relationship Id="rId7" Type="http://schemas.openxmlformats.org/officeDocument/2006/relationships/hyperlink" Target="http://www1.eere.energy.gov/buildings/appliance_standards/product.aspx/productid/75" TargetMode="External" />
  <Relationship Id="rId12" Type="http://schemas.openxmlformats.org/officeDocument/2006/relationships/hyperlink" Target="http://www1.eere.energy.gov/buildings/appliance_standards/product.aspx/productid/75" TargetMode="External" />
  <Relationship Id="rId17" Type="http://schemas.openxmlformats.org/officeDocument/2006/relationships/drawing" Target="../drawings/drawing1.xml" />
  <Relationship Id="rId2" Type="http://schemas.openxmlformats.org/officeDocument/2006/relationships/hyperlink" Target="http://www1.eere.energy.gov/buildings/appliance_standards/product.aspx/productid/75" TargetMode="External" />
  <Relationship Id="rId16" Type="http://schemas.openxmlformats.org/officeDocument/2006/relationships/printerSettings" Target="../printerSettings/printerSettings2.bin" />
  <Relationship Id="rId1" Type="http://schemas.openxmlformats.org/officeDocument/2006/relationships/hyperlink" Target="http://www1.eere.energy.gov/buildings/appliance_standards/product.aspx/productid/75" TargetMode="External" />
  <Relationship Id="rId6" Type="http://schemas.openxmlformats.org/officeDocument/2006/relationships/hyperlink" Target="http://www.gpo.gov/fdsys/pkg/CFR-2012-title10-vol3/pdf/CFR-2012-title10-vol3-sec430-32.pdf" TargetMode="External" />
  <Relationship Id="rId11" Type="http://schemas.openxmlformats.org/officeDocument/2006/relationships/hyperlink" Target="http://www1.eere.energy.gov/buildings/appliance_standards/product.aspx/productid/75" TargetMode="External" />
  <Relationship Id="rId5" Type="http://schemas.openxmlformats.org/officeDocument/2006/relationships/hyperlink" Target="http://www.gpo.gov/fdsys/pkg/CFR-2012-title10-vol3/pdf/CFR-2012-title10-vol3-sec430-32.pdf" TargetMode="External" />
  <Relationship Id="rId15" Type="http://schemas.openxmlformats.org/officeDocument/2006/relationships/hyperlink" Target="http://publicecodes.cyberregs.com/icod/iecc/2012/icod_iecc_2012_ce4_sec003.htm?bu=IC-P-2012-000014&amp;bu2=IC-P-2012-000019" TargetMode="External" />
  <Relationship Id="rId10" Type="http://schemas.openxmlformats.org/officeDocument/2006/relationships/hyperlink" Target="http://www1.eere.energy.gov/buildings/appliance_standards/product.aspx/productid/75" TargetMode="External" />
  <Relationship Id="rId4" Type="http://schemas.openxmlformats.org/officeDocument/2006/relationships/hyperlink" Target="http://publicecodes.cyberregs.com/icod/iecc/2012/icod_iecc_2012_ce4_sec003.htm?bu=IC-P-2012-000014&amp;bu2=IC-P-2012-000019" TargetMode="External" />
  <Relationship Id="rId9" Type="http://schemas.openxmlformats.org/officeDocument/2006/relationships/hyperlink" Target="http://www1.eere.energy.gov/buildings/appliance_standards/product.aspx/productid/75" TargetMode="External" />
  <Relationship Id="rId14" Type="http://schemas.openxmlformats.org/officeDocument/2006/relationships/hyperlink" Target="http://publicecodes.cyberregs.com/icod/iecc/2012/icod_iecc_2012_ce4_sec003.htm?bu=IC-P-2012-000014&amp;bu2=IC-P-2012-000019" TargetMode="External" />
</Relationships>
</file>

<file path=xl/worksheets/_rels/sheet2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0.bin" />
</Relationships>
</file>

<file path=xl/worksheets/_rels/sheet2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1.bin" />
</Relationships>
</file>

<file path=xl/worksheets/_rels/sheet2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3.bin" />
  <Relationship Id="rId4" Type="http://schemas.openxmlformats.org/officeDocument/2006/relationships/comments" Target="../comments1.xml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hyperlink" Target="http://publicecodes.cyberregs.com/icod/iecc/2012/icod_iecc_2012_ce4_sec003.htm?bu=IC-P-2012-000014&amp;bu2=IC-P-2012-000019" TargetMode="External" />
  <Relationship Id="rId2" Type="http://schemas.openxmlformats.org/officeDocument/2006/relationships/hyperlink" Target="http://publicecodes.cyberregs.com/icod/iecc/2012/icod_iecc_2012_ce4_sec003.htm?bu=IC-P-2012-000014&amp;bu2=IC-P-2012-000019" TargetMode="External" />
  <Relationship Id="rId1" Type="http://schemas.openxmlformats.org/officeDocument/2006/relationships/hyperlink" Target="http://publicecodes.cyberregs.com/icod/iecc/2012/icod_iecc_2012_ce4_sec003.htm?bu=IC-P-2012-000014&amp;bu2=IC-P-2012-000019" TargetMode="External" />
  <Relationship Id="rId4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2" Type="http://schemas.openxmlformats.org/officeDocument/2006/relationships/printerSettings" Target="../printerSettings/printerSettings7.bin" />
  <Relationship Id="rId1" Type="http://schemas.openxmlformats.org/officeDocument/2006/relationships/hyperlink" Target="http://publicecodes.cyberregs.com/icod/iecc/2012/icod_iecc_2012_ce4_sec003.htm?bu=IC-P-2012-000014&amp;bu2=IC-P-2012-000019" TargetMode="External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2"/>
  <sheetViews>
    <sheetView zoomScale="80" zoomScaleNormal="80" workbookViewId="0"/>
  </sheetViews>
  <sheetFormatPr defaultRowHeight="15"/>
  <cols>
    <col min="1" max="1" width="2.42578125" customWidth="1"/>
    <col min="2" max="2" width="41.5703125" bestFit="1" customWidth="1"/>
    <col min="3" max="3" width="11.28515625" bestFit="1" customWidth="1"/>
    <col min="4" max="5" width="13.85546875" customWidth="1"/>
    <col min="6" max="6" width="16.85546875" customWidth="1"/>
    <col min="7" max="7" width="13.5703125" customWidth="1"/>
    <col min="8" max="8" width="10.140625" bestFit="1" customWidth="1"/>
    <col min="9" max="10" width="14" customWidth="1"/>
    <col min="11" max="11" width="12.42578125" bestFit="1" customWidth="1"/>
    <col min="12" max="13" width="14" customWidth="1"/>
    <col min="14" max="14" width="13.5703125" bestFit="1" customWidth="1"/>
    <col min="15" max="16" width="13.85546875" customWidth="1"/>
  </cols>
  <sheetData>
    <row r="1" spans="2:16" ht="9" customHeight="1"/>
    <row r="2" spans="2:16">
      <c r="B2" s="923" t="s">
        <v>639</v>
      </c>
      <c r="C2" s="923"/>
      <c r="D2" s="923"/>
      <c r="E2" s="923"/>
      <c r="F2" s="923"/>
      <c r="G2" s="923"/>
      <c r="H2" s="923"/>
      <c r="I2" s="923"/>
      <c r="J2" s="923"/>
      <c r="K2" s="923"/>
      <c r="L2" s="923"/>
      <c r="M2" s="923"/>
      <c r="N2" s="923"/>
      <c r="O2" s="923"/>
      <c r="P2" s="923"/>
    </row>
    <row r="3" spans="2:16" ht="15.75" thickBot="1">
      <c r="C3" s="924" t="s">
        <v>640</v>
      </c>
      <c r="D3" s="924"/>
      <c r="E3" s="924"/>
      <c r="F3" s="923" t="s">
        <v>641</v>
      </c>
      <c r="G3" s="923"/>
      <c r="H3" s="924" t="s">
        <v>333</v>
      </c>
      <c r="I3" s="924"/>
      <c r="J3" s="924"/>
      <c r="K3" s="924" t="s">
        <v>642</v>
      </c>
      <c r="L3" s="924"/>
      <c r="M3" s="924"/>
      <c r="N3" s="924" t="s">
        <v>565</v>
      </c>
      <c r="O3" s="924"/>
      <c r="P3" s="924"/>
    </row>
    <row r="4" spans="2:16" ht="30.75" thickBot="1">
      <c r="C4" s="95" t="s">
        <v>388</v>
      </c>
      <c r="D4" s="126" t="str">
        <f>'Duke Delta'!D4</f>
        <v>% Change</v>
      </c>
      <c r="E4" s="731" t="str">
        <f>'Duke Delta'!E4</f>
        <v>Cumulative % Change</v>
      </c>
      <c r="F4" s="127" t="str">
        <f>'Duke Delta'!F4</f>
        <v>Sales MWH</v>
      </c>
      <c r="G4" s="127" t="str">
        <f>'Duke Delta'!G4</f>
        <v>TP % of Sales</v>
      </c>
      <c r="H4" s="126" t="str">
        <f>'Duke Delta'!H4</f>
        <v>GWH</v>
      </c>
      <c r="I4" s="126" t="str">
        <f>'Duke Delta'!I4</f>
        <v>% Change</v>
      </c>
      <c r="J4" s="731" t="str">
        <f>'Duke Delta'!J4</f>
        <v>Cumulative % Change</v>
      </c>
      <c r="K4" s="126" t="str">
        <f>'Duke Delta'!K4</f>
        <v>GWH</v>
      </c>
      <c r="L4" s="126" t="str">
        <f>'Duke Delta'!L4</f>
        <v>% Change</v>
      </c>
      <c r="M4" s="731" t="str">
        <f>'Duke Delta'!M4</f>
        <v>Cumulative % Change</v>
      </c>
      <c r="N4" s="126" t="str">
        <f>'Duke Delta'!N4</f>
        <v>GWH</v>
      </c>
      <c r="O4" s="126" t="str">
        <f>'Duke Delta'!O4</f>
        <v>% Change</v>
      </c>
      <c r="P4" s="731" t="str">
        <f>'Duke Delta'!P4</f>
        <v>Cumulative % Change</v>
      </c>
    </row>
    <row r="5" spans="2:16">
      <c r="B5" s="101" t="str">
        <f>'Duke Delta'!B5</f>
        <v>ITRON Original (Table ES-1)</v>
      </c>
      <c r="C5" s="721">
        <f>H5+K5+N5</f>
        <v>12351</v>
      </c>
      <c r="D5" s="102"/>
      <c r="E5" s="103"/>
      <c r="F5" s="714">
        <f>'Duke Delta'!F5</f>
        <v>39412742.585000001</v>
      </c>
      <c r="G5" s="716">
        <f>'Duke Delta'!G5</f>
        <v>0.31337580665347142</v>
      </c>
      <c r="H5" s="721">
        <v>8232</v>
      </c>
      <c r="I5" s="104"/>
      <c r="J5" s="105"/>
      <c r="K5" s="721">
        <v>3648</v>
      </c>
      <c r="L5" s="104"/>
      <c r="M5" s="106"/>
      <c r="N5" s="721">
        <v>471</v>
      </c>
      <c r="O5" s="104"/>
      <c r="P5" s="106"/>
    </row>
    <row r="6" spans="2:16">
      <c r="B6" s="101" t="str">
        <f>'Duke Delta'!B6</f>
        <v>Plus: Standard Changes</v>
      </c>
      <c r="C6" s="722">
        <f>'Duke Delta'!C6</f>
        <v>10523.110813209332</v>
      </c>
      <c r="D6" s="108">
        <f>'Duke Delta'!D6</f>
        <v>-0.14799523818238747</v>
      </c>
      <c r="E6" s="109">
        <f>'Duke Delta'!E6</f>
        <v>-0.14799523818238747</v>
      </c>
      <c r="F6" s="715">
        <f>'Duke Delta'!F6</f>
        <v>37718162</v>
      </c>
      <c r="G6" s="717">
        <f>'Duke Delta'!G6</f>
        <v>0.27899320261706639</v>
      </c>
      <c r="H6" s="722">
        <f>'Duke Delta'!H6</f>
        <v>6898.9998461456707</v>
      </c>
      <c r="I6" s="112">
        <f>'Duke Delta'!I6</f>
        <v>-0.1619290760270079</v>
      </c>
      <c r="J6" s="113">
        <f>'Duke Delta'!J6</f>
        <v>-0.1619290760270079</v>
      </c>
      <c r="K6" s="722">
        <f>'Duke Delta'!K6</f>
        <v>3156.4584505092339</v>
      </c>
      <c r="L6" s="115">
        <f>'Duke Delta'!L6</f>
        <v>-0.13474274931216179</v>
      </c>
      <c r="M6" s="116">
        <f>'Duke Delta'!M6</f>
        <v>-0.13474274931216179</v>
      </c>
      <c r="N6" s="722">
        <f>'Duke Delta'!N6</f>
        <v>467.65251655442739</v>
      </c>
      <c r="O6" s="117">
        <f>'Duke Delta'!O6</f>
        <v>-7.1071835362476188E-3</v>
      </c>
      <c r="P6" s="118">
        <f>'Duke Delta'!P6</f>
        <v>-7.1071835362476188E-3</v>
      </c>
    </row>
    <row r="7" spans="2:16">
      <c r="B7" s="101" t="str">
        <f>'Duke Delta'!B7</f>
        <v>Plus: New Measures</v>
      </c>
      <c r="C7" s="722">
        <f>'Duke Delta'!C7</f>
        <v>12458.045967290987</v>
      </c>
      <c r="D7" s="108">
        <f>'Duke Delta'!D7</f>
        <v>0.15666222606118169</v>
      </c>
      <c r="E7" s="119">
        <f>'Duke Delta'!E7</f>
        <v>8.6669878787941634E-3</v>
      </c>
      <c r="F7" s="715">
        <f>'Duke Delta'!F7</f>
        <v>37718162</v>
      </c>
      <c r="G7" s="717">
        <f>'Duke Delta'!G7</f>
        <v>0.33029302878785527</v>
      </c>
      <c r="H7" s="722">
        <f>'Duke Delta'!H7</f>
        <v>8105.9065928890832</v>
      </c>
      <c r="I7" s="112">
        <f>'Duke Delta'!I7</f>
        <v>0.14661160674725612</v>
      </c>
      <c r="J7" s="113">
        <f>'Duke Delta'!J7</f>
        <v>-1.531746927975175E-2</v>
      </c>
      <c r="K7" s="722">
        <f>'Duke Delta'!K7</f>
        <v>3832.8382774744605</v>
      </c>
      <c r="L7" s="115">
        <f>'Duke Delta'!L7</f>
        <v>0.18541113677774851</v>
      </c>
      <c r="M7" s="116">
        <f>'Duke Delta'!M7</f>
        <v>5.0668387465586662E-2</v>
      </c>
      <c r="N7" s="722">
        <f>'Duke Delta'!N7</f>
        <v>519.30109692744384</v>
      </c>
      <c r="O7" s="117">
        <f>'Duke Delta'!O7</f>
        <v>0.10965728316988629</v>
      </c>
      <c r="P7" s="118">
        <f>'Duke Delta'!P7</f>
        <v>0.10255009963363881</v>
      </c>
    </row>
    <row r="8" spans="2:16">
      <c r="B8" s="101" t="str">
        <f>'Duke Delta'!B8</f>
        <v>Plus: System Load Growth</v>
      </c>
      <c r="C8" s="722">
        <f>'Duke Delta'!C8</f>
        <v>12595.084472931187</v>
      </c>
      <c r="D8" s="108">
        <f>'Duke Delta'!D8</f>
        <v>1.1095336866666604E-2</v>
      </c>
      <c r="E8" s="109">
        <f>'Duke Delta'!E8</f>
        <v>1.9762324745460802E-2</v>
      </c>
      <c r="F8" s="715">
        <f>'Duke Delta'!F8</f>
        <v>37718162</v>
      </c>
      <c r="G8" s="717">
        <f>'Duke Delta'!G8</f>
        <v>0.33392625210452165</v>
      </c>
      <c r="H8" s="722">
        <f>'Duke Delta'!H8</f>
        <v>8195.0715654108626</v>
      </c>
      <c r="I8" s="112">
        <f>'Duke Delta'!I8</f>
        <v>1.0831507837922669E-2</v>
      </c>
      <c r="J8" s="113">
        <f>'Duke Delta'!J8</f>
        <v>-4.4859614418291116E-3</v>
      </c>
      <c r="K8" s="722">
        <f>'Duke Delta'!K8</f>
        <v>3874.999498526679</v>
      </c>
      <c r="L8" s="115">
        <f>'Duke Delta'!L8</f>
        <v>1.1557352262121293E-2</v>
      </c>
      <c r="M8" s="116">
        <f>'Duke Delta'!M8</f>
        <v>6.2225739727707952E-2</v>
      </c>
      <c r="N8" s="722">
        <f>'Duke Delta'!N8</f>
        <v>525.01340899364561</v>
      </c>
      <c r="O8" s="117">
        <f>'Duke Delta'!O8</f>
        <v>1.2128051095969799E-2</v>
      </c>
      <c r="P8" s="118">
        <f>'Duke Delta'!P8</f>
        <v>0.11467815072960841</v>
      </c>
    </row>
    <row r="9" spans="2:16">
      <c r="B9" s="101" t="str">
        <f>'Duke Delta'!B9</f>
        <v>Plus: 2007-12 Actual Achievements</v>
      </c>
      <c r="C9" s="722">
        <f>'Duke Delta'!C9</f>
        <v>12073.084472931187</v>
      </c>
      <c r="D9" s="108">
        <f>'Duke Delta'!D9</f>
        <v>-4.226378430896284E-2</v>
      </c>
      <c r="E9" s="109">
        <f>'Duke Delta'!E9</f>
        <v>-2.2501459563502024E-2</v>
      </c>
      <c r="F9" s="715">
        <f>'Duke Delta'!F9</f>
        <v>37718163</v>
      </c>
      <c r="G9" s="717">
        <f>'Duke Delta'!G9</f>
        <v>0.32008675695396899</v>
      </c>
      <c r="H9" s="723">
        <f>'Duke Delta'!H9</f>
        <v>7973.0715654108626</v>
      </c>
      <c r="I9" s="112">
        <f>'Duke Delta'!I9</f>
        <v>-2.696793002915452E-2</v>
      </c>
      <c r="J9" s="113">
        <f>'Duke Delta'!J9</f>
        <v>-3.1453891470983653E-2</v>
      </c>
      <c r="K9" s="934">
        <f>'Duke Delta'!K9</f>
        <v>4100.0129075203249</v>
      </c>
      <c r="L9" s="935">
        <f>'Duke Delta'!L9</f>
        <v>0</v>
      </c>
      <c r="M9" s="935">
        <f>'Duke Delta'!M9</f>
        <v>0</v>
      </c>
      <c r="N9" s="935">
        <f>'Duke Delta'!N9</f>
        <v>0</v>
      </c>
      <c r="O9" s="935">
        <f>'Duke Delta'!O9</f>
        <v>0</v>
      </c>
      <c r="P9" s="936">
        <f>'Duke Delta'!P9</f>
        <v>0</v>
      </c>
    </row>
    <row r="10" spans="2:16">
      <c r="B10" s="101" t="str">
        <f>'Duke Delta'!B10</f>
        <v>2007-12 Actual Achievements</v>
      </c>
      <c r="C10" s="107"/>
      <c r="D10" s="123"/>
      <c r="E10" s="124"/>
      <c r="F10" s="110"/>
      <c r="G10" s="717"/>
      <c r="H10" s="934">
        <f>'Duke Delta'!H10</f>
        <v>222</v>
      </c>
      <c r="I10" s="935">
        <f>'Duke Delta'!I10</f>
        <v>0</v>
      </c>
      <c r="J10" s="936">
        <f>'Duke Delta'!J10</f>
        <v>0</v>
      </c>
      <c r="K10" s="934">
        <f>'Duke Delta'!K10</f>
        <v>300</v>
      </c>
      <c r="L10" s="935">
        <f>'Duke Delta'!L10</f>
        <v>0</v>
      </c>
      <c r="M10" s="935">
        <f>'Duke Delta'!M10</f>
        <v>0</v>
      </c>
      <c r="N10" s="935">
        <f>'Duke Delta'!N10</f>
        <v>0</v>
      </c>
      <c r="O10" s="935">
        <f>'Duke Delta'!O10</f>
        <v>0</v>
      </c>
      <c r="P10" s="936">
        <f>'Duke Delta'!P10</f>
        <v>0</v>
      </c>
    </row>
    <row r="11" spans="2:16">
      <c r="B11" s="101" t="str">
        <f>'Duke Delta'!B11</f>
        <v>System Load Growth</v>
      </c>
      <c r="C11" s="111"/>
      <c r="D11" s="77"/>
      <c r="E11" s="120"/>
      <c r="F11" s="114"/>
      <c r="G11" s="121"/>
      <c r="H11" s="937">
        <f>'Duke Delta'!H11</f>
        <v>1.0999999999999999E-2</v>
      </c>
      <c r="I11" s="938">
        <f>'Duke Delta'!I11</f>
        <v>0</v>
      </c>
      <c r="J11" s="939">
        <f>'Duke Delta'!J11</f>
        <v>0</v>
      </c>
      <c r="K11" s="937">
        <f>'Duke Delta'!K11</f>
        <v>1.0999999999999999E-2</v>
      </c>
      <c r="L11" s="938">
        <f>'Duke Delta'!L11</f>
        <v>0</v>
      </c>
      <c r="M11" s="939">
        <f>'Duke Delta'!M11</f>
        <v>0</v>
      </c>
      <c r="N11" s="937">
        <f>'Duke Delta'!N11</f>
        <v>1.0999999999999999E-2</v>
      </c>
      <c r="O11" s="938">
        <f>'Duke Delta'!O11</f>
        <v>0</v>
      </c>
      <c r="P11" s="939">
        <f>'Duke Delta'!P11</f>
        <v>0</v>
      </c>
    </row>
    <row r="12" spans="2:16" ht="15.75" thickBot="1">
      <c r="B12" s="101" t="str">
        <f>'Duke Delta'!B12</f>
        <v>Number of New Measures</v>
      </c>
      <c r="C12" s="925">
        <f>'Duke Delta'!C12</f>
        <v>27</v>
      </c>
      <c r="D12" s="926">
        <f>'Duke Delta'!D12</f>
        <v>0</v>
      </c>
      <c r="E12" s="927">
        <f>'Duke Delta'!E12</f>
        <v>0</v>
      </c>
      <c r="F12" s="719"/>
      <c r="G12" s="720"/>
      <c r="H12" s="928">
        <f>'Duke Delta'!H12</f>
        <v>7</v>
      </c>
      <c r="I12" s="929">
        <f>'Duke Delta'!I12</f>
        <v>0</v>
      </c>
      <c r="J12" s="930">
        <f>'Duke Delta'!J12</f>
        <v>0</v>
      </c>
      <c r="K12" s="931">
        <f>'Duke Delta'!K12</f>
        <v>15</v>
      </c>
      <c r="L12" s="932">
        <f>'Duke Delta'!L12</f>
        <v>0</v>
      </c>
      <c r="M12" s="933">
        <f>'Duke Delta'!M12</f>
        <v>0</v>
      </c>
      <c r="N12" s="931">
        <f>'Duke Delta'!N12</f>
        <v>5</v>
      </c>
      <c r="O12" s="932">
        <f>'Duke Delta'!O12</f>
        <v>0</v>
      </c>
      <c r="P12" s="933">
        <f>'Duke Delta'!P12</f>
        <v>0</v>
      </c>
    </row>
    <row r="22" spans="5:5">
      <c r="E22" s="746"/>
    </row>
  </sheetData>
  <mergeCells count="16">
    <mergeCell ref="C12:E12"/>
    <mergeCell ref="H12:J12"/>
    <mergeCell ref="K12:M12"/>
    <mergeCell ref="N12:P12"/>
    <mergeCell ref="K9:P9"/>
    <mergeCell ref="H10:J10"/>
    <mergeCell ref="K10:P10"/>
    <mergeCell ref="H11:J11"/>
    <mergeCell ref="K11:M11"/>
    <mergeCell ref="N11:P11"/>
    <mergeCell ref="B2:P2"/>
    <mergeCell ref="C3:E3"/>
    <mergeCell ref="F3:G3"/>
    <mergeCell ref="H3:J3"/>
    <mergeCell ref="K3:M3"/>
    <mergeCell ref="N3:P3"/>
  </mergeCells>
  <pageMargins left="0.7" right="0.7" top="0.75" bottom="0.75" header="0.3" footer="0.3"/>
  <pageSetup paperSize="17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27"/>
  <sheetViews>
    <sheetView zoomScaleNormal="100" workbookViewId="0">
      <selection activeCell="G33" sqref="G33"/>
    </sheetView>
  </sheetViews>
  <sheetFormatPr defaultRowHeight="15"/>
  <cols>
    <col min="1" max="1" width="1.5703125" customWidth="1"/>
    <col min="2" max="2" width="50.85546875" bestFit="1" customWidth="1"/>
    <col min="3" max="3" width="12.42578125" bestFit="1" customWidth="1"/>
    <col min="4" max="4" width="13.42578125" bestFit="1" customWidth="1"/>
    <col min="5" max="5" width="12.7109375" bestFit="1" customWidth="1"/>
    <col min="6" max="6" width="12.140625" bestFit="1" customWidth="1"/>
    <col min="7" max="7" width="7.28515625" bestFit="1" customWidth="1"/>
    <col min="8" max="8" width="8.140625" bestFit="1" customWidth="1"/>
    <col min="9" max="9" width="8.85546875" bestFit="1" customWidth="1"/>
    <col min="10" max="10" width="13.5703125" hidden="1" customWidth="1"/>
    <col min="11" max="11" width="14.5703125" bestFit="1" customWidth="1"/>
    <col min="12" max="12" width="14.5703125" customWidth="1"/>
    <col min="13" max="13" width="9" bestFit="1" customWidth="1"/>
    <col min="14" max="14" width="12.42578125" bestFit="1" customWidth="1"/>
    <col min="15" max="15" width="16.85546875" bestFit="1" customWidth="1"/>
  </cols>
  <sheetData>
    <row r="1" spans="2:15" ht="5.25" customHeight="1"/>
    <row r="2" spans="2:15">
      <c r="B2" s="961" t="s">
        <v>456</v>
      </c>
      <c r="C2" s="961"/>
      <c r="D2" s="961"/>
      <c r="E2" s="961"/>
      <c r="F2" s="961"/>
      <c r="G2" s="961"/>
      <c r="H2" s="961"/>
      <c r="I2" s="961"/>
      <c r="J2" s="961"/>
      <c r="K2" s="961"/>
      <c r="L2" s="961"/>
      <c r="M2" s="961"/>
      <c r="N2" s="961"/>
      <c r="O2" s="961"/>
    </row>
    <row r="3" spans="2:15">
      <c r="B3" s="74" t="s">
        <v>457</v>
      </c>
      <c r="C3" s="74" t="s">
        <v>458</v>
      </c>
      <c r="D3" s="74" t="s">
        <v>459</v>
      </c>
      <c r="E3" s="74" t="s">
        <v>460</v>
      </c>
      <c r="F3" s="74" t="s">
        <v>461</v>
      </c>
      <c r="G3" s="74" t="s">
        <v>462</v>
      </c>
      <c r="H3" s="74" t="s">
        <v>463</v>
      </c>
      <c r="I3" s="74" t="s">
        <v>464</v>
      </c>
      <c r="J3" s="74" t="s">
        <v>465</v>
      </c>
      <c r="K3" s="74" t="s">
        <v>466</v>
      </c>
      <c r="L3" s="74" t="s">
        <v>572</v>
      </c>
      <c r="M3" s="74" t="s">
        <v>413</v>
      </c>
      <c r="N3" s="75" t="s">
        <v>467</v>
      </c>
      <c r="O3" s="75" t="s">
        <v>468</v>
      </c>
    </row>
    <row r="4" spans="2:15">
      <c r="B4" s="957" t="s">
        <v>469</v>
      </c>
      <c r="C4" s="957"/>
      <c r="D4" s="957"/>
      <c r="E4" s="957"/>
      <c r="F4" s="957"/>
      <c r="G4" s="957"/>
      <c r="H4" s="957"/>
      <c r="I4" s="957"/>
      <c r="J4" s="957"/>
      <c r="K4" s="957"/>
      <c r="L4" s="957"/>
      <c r="M4" s="957"/>
      <c r="N4" s="957"/>
      <c r="O4" s="957"/>
    </row>
    <row r="5" spans="2:15">
      <c r="B5" s="76" t="s">
        <v>447</v>
      </c>
      <c r="C5" s="77">
        <v>2.9000000000000001E-2</v>
      </c>
      <c r="D5" s="77">
        <v>2.9000000000000001E-2</v>
      </c>
      <c r="E5" s="77">
        <v>1424</v>
      </c>
      <c r="F5" s="74">
        <v>0.875</v>
      </c>
      <c r="G5" s="78">
        <v>2.5375000000000002E-2</v>
      </c>
      <c r="H5" s="78">
        <v>2.5375000000000002E-2</v>
      </c>
      <c r="I5" s="77">
        <v>1246</v>
      </c>
      <c r="J5" s="79"/>
      <c r="K5" s="74"/>
      <c r="L5" s="87">
        <f>(2.2-0.5)/2.2</f>
        <v>0.77272727272727271</v>
      </c>
      <c r="M5" s="80">
        <v>9</v>
      </c>
      <c r="N5" s="74">
        <v>10</v>
      </c>
      <c r="O5" s="81"/>
    </row>
    <row r="6" spans="2:15">
      <c r="B6" s="76" t="s">
        <v>448</v>
      </c>
      <c r="C6" s="77">
        <v>2.9000000000000001E-2</v>
      </c>
      <c r="D6" s="77">
        <v>2.2716894977168951E-2</v>
      </c>
      <c r="E6" s="77">
        <v>199</v>
      </c>
      <c r="F6" s="74">
        <v>0.875</v>
      </c>
      <c r="G6" s="78">
        <v>2.5375000000000002E-2</v>
      </c>
      <c r="H6" s="78">
        <v>1.9877283105022833E-2</v>
      </c>
      <c r="I6" s="77">
        <v>174.125</v>
      </c>
      <c r="J6" s="79"/>
      <c r="K6" s="74"/>
      <c r="L6" s="87">
        <f t="shared" ref="L6:L7" si="0">(2.2-0.5)/2.2</f>
        <v>0.77272727272727271</v>
      </c>
      <c r="M6" s="80">
        <v>9</v>
      </c>
      <c r="N6" s="74">
        <v>10</v>
      </c>
      <c r="O6" s="81"/>
    </row>
    <row r="7" spans="2:15">
      <c r="B7" s="76" t="s">
        <v>449</v>
      </c>
      <c r="C7" s="77">
        <v>2.9000000000000001E-2</v>
      </c>
      <c r="D7" s="77">
        <v>2.9000000000000001E-2</v>
      </c>
      <c r="E7" s="77">
        <v>1069</v>
      </c>
      <c r="F7" s="74">
        <v>0.875</v>
      </c>
      <c r="G7" s="78">
        <v>2.5375000000000002E-2</v>
      </c>
      <c r="H7" s="78">
        <v>2.5375000000000002E-2</v>
      </c>
      <c r="I7" s="77">
        <v>935.375</v>
      </c>
      <c r="J7" s="79"/>
      <c r="K7" s="74"/>
      <c r="L7" s="87">
        <f t="shared" si="0"/>
        <v>0.77272727272727271</v>
      </c>
      <c r="M7" s="80">
        <v>9</v>
      </c>
      <c r="N7" s="74">
        <v>10</v>
      </c>
      <c r="O7" s="81"/>
    </row>
    <row r="8" spans="2:15">
      <c r="B8" s="76" t="s">
        <v>450</v>
      </c>
      <c r="C8" s="77">
        <v>0.02</v>
      </c>
      <c r="D8" s="77">
        <v>0.02</v>
      </c>
      <c r="E8" s="77">
        <v>1005</v>
      </c>
      <c r="F8" s="74">
        <v>0.875</v>
      </c>
      <c r="G8" s="78">
        <v>1.7500000000000002E-2</v>
      </c>
      <c r="H8" s="78">
        <v>1.7500000000000002E-2</v>
      </c>
      <c r="I8" s="77">
        <v>879.375</v>
      </c>
      <c r="J8" s="79"/>
      <c r="K8" s="74"/>
      <c r="L8" s="87">
        <f>(2.2-1)/2.2</f>
        <v>0.54545454545454553</v>
      </c>
      <c r="M8" s="80">
        <v>9</v>
      </c>
      <c r="N8" s="74">
        <v>10</v>
      </c>
      <c r="O8" s="81"/>
    </row>
    <row r="9" spans="2:15">
      <c r="B9" s="76" t="s">
        <v>451</v>
      </c>
      <c r="C9" s="77">
        <v>0.02</v>
      </c>
      <c r="D9" s="77">
        <v>1.6095890410958904E-2</v>
      </c>
      <c r="E9" s="77">
        <v>141</v>
      </c>
      <c r="F9" s="74">
        <v>0.875</v>
      </c>
      <c r="G9" s="78">
        <v>1.7500000000000002E-2</v>
      </c>
      <c r="H9" s="78">
        <v>1.408390410958904E-2</v>
      </c>
      <c r="I9" s="77">
        <v>123.375</v>
      </c>
      <c r="J9" s="79"/>
      <c r="K9" s="74"/>
      <c r="L9" s="87">
        <f t="shared" ref="L9:L10" si="1">(2.2-1)/2.2</f>
        <v>0.54545454545454553</v>
      </c>
      <c r="M9" s="80">
        <v>9</v>
      </c>
      <c r="N9" s="74">
        <v>10</v>
      </c>
      <c r="O9" s="81"/>
    </row>
    <row r="10" spans="2:15">
      <c r="B10" s="76" t="s">
        <v>452</v>
      </c>
      <c r="C10" s="77">
        <v>0.02</v>
      </c>
      <c r="D10" s="77">
        <v>0.02</v>
      </c>
      <c r="E10" s="77">
        <v>755</v>
      </c>
      <c r="F10" s="74">
        <v>0.875</v>
      </c>
      <c r="G10" s="78">
        <v>1.7500000000000002E-2</v>
      </c>
      <c r="H10" s="78">
        <v>1.7500000000000002E-2</v>
      </c>
      <c r="I10" s="77">
        <v>660.625</v>
      </c>
      <c r="J10" s="79"/>
      <c r="K10" s="74"/>
      <c r="L10" s="87">
        <f t="shared" si="1"/>
        <v>0.54545454545454553</v>
      </c>
      <c r="M10" s="80">
        <v>9</v>
      </c>
      <c r="N10" s="74">
        <v>10</v>
      </c>
      <c r="O10" s="81"/>
    </row>
    <row r="11" spans="2:15">
      <c r="B11" s="76" t="s">
        <v>453</v>
      </c>
      <c r="C11" s="77">
        <v>2.7E-2</v>
      </c>
      <c r="D11" s="77">
        <v>2.7E-2</v>
      </c>
      <c r="E11" s="77">
        <v>715</v>
      </c>
      <c r="F11" s="74">
        <v>0.875</v>
      </c>
      <c r="G11" s="78">
        <v>2.3625E-2</v>
      </c>
      <c r="H11" s="78">
        <v>2.3625E-2</v>
      </c>
      <c r="I11" s="77">
        <v>625.625</v>
      </c>
      <c r="J11" s="79"/>
      <c r="K11" s="74"/>
      <c r="L11" s="87">
        <f>(2.2-1.5)/2.2</f>
        <v>0.31818181818181823</v>
      </c>
      <c r="M11" s="80">
        <v>25</v>
      </c>
      <c r="N11" s="74">
        <v>10</v>
      </c>
      <c r="O11" s="81"/>
    </row>
    <row r="12" spans="2:15">
      <c r="B12" s="76" t="s">
        <v>454</v>
      </c>
      <c r="C12" s="77">
        <v>2.7E-2</v>
      </c>
      <c r="D12" s="77">
        <v>2.7E-2</v>
      </c>
      <c r="E12" s="77">
        <v>357</v>
      </c>
      <c r="F12" s="74">
        <v>0.875</v>
      </c>
      <c r="G12" s="78">
        <v>2.3625E-2</v>
      </c>
      <c r="H12" s="78">
        <v>2.3625E-2</v>
      </c>
      <c r="I12" s="77">
        <v>312.375</v>
      </c>
      <c r="J12" s="79"/>
      <c r="K12" s="74"/>
      <c r="L12" s="87">
        <f>(2.2-1.5)/2.2</f>
        <v>0.31818181818181823</v>
      </c>
      <c r="M12" s="80">
        <v>25</v>
      </c>
      <c r="N12" s="74">
        <v>10</v>
      </c>
      <c r="O12" s="81"/>
    </row>
    <row r="13" spans="2:15">
      <c r="B13" s="958" t="s">
        <v>470</v>
      </c>
      <c r="C13" s="958"/>
      <c r="D13" s="958"/>
      <c r="E13" s="958"/>
      <c r="F13" s="958"/>
      <c r="G13" s="958"/>
      <c r="H13" s="958"/>
      <c r="I13" s="958"/>
      <c r="J13" s="958"/>
      <c r="K13" s="958"/>
      <c r="L13" s="958"/>
      <c r="M13" s="958"/>
      <c r="N13" s="958"/>
      <c r="O13" s="958"/>
    </row>
    <row r="14" spans="2:15">
      <c r="B14" s="73" t="s">
        <v>443</v>
      </c>
      <c r="C14" s="77">
        <f>C27</f>
        <v>0.108</v>
      </c>
      <c r="D14" s="842">
        <f>D27</f>
        <v>7.5504659759999995E-2</v>
      </c>
      <c r="E14" s="74">
        <v>749</v>
      </c>
      <c r="F14" s="74">
        <v>1.08</v>
      </c>
      <c r="G14" s="77">
        <f>C14*$F$14</f>
        <v>0.11664000000000001</v>
      </c>
      <c r="H14" s="77">
        <f t="shared" ref="H14:I14" si="2">D14*$F$14</f>
        <v>8.1545032540800005E-2</v>
      </c>
      <c r="I14" s="77">
        <f t="shared" si="2"/>
        <v>808.92000000000007</v>
      </c>
      <c r="J14" s="74"/>
      <c r="K14" s="74"/>
      <c r="L14" s="74"/>
      <c r="M14" s="74"/>
      <c r="N14" s="74">
        <v>20</v>
      </c>
      <c r="O14" s="82" t="s">
        <v>828</v>
      </c>
    </row>
    <row r="15" spans="2:15">
      <c r="B15" s="73" t="s">
        <v>444</v>
      </c>
      <c r="C15" s="77">
        <f>C26</f>
        <v>0.13500000000000001</v>
      </c>
      <c r="D15" s="842">
        <f>D26</f>
        <v>9.4380824700000004E-2</v>
      </c>
      <c r="E15" s="74">
        <v>929</v>
      </c>
      <c r="F15" s="74">
        <v>1.08</v>
      </c>
      <c r="G15" s="77">
        <f>C15*$F$14</f>
        <v>0.14580000000000001</v>
      </c>
      <c r="H15" s="77">
        <f t="shared" ref="H15" si="3">D15*$F$14</f>
        <v>0.10193129067600001</v>
      </c>
      <c r="I15" s="77">
        <f t="shared" ref="I15" si="4">E15*$F$14</f>
        <v>1003.32</v>
      </c>
      <c r="J15" s="74"/>
      <c r="K15" s="74"/>
      <c r="L15" s="74"/>
      <c r="M15" s="74"/>
      <c r="N15" s="74">
        <v>20</v>
      </c>
      <c r="O15" s="82"/>
    </row>
    <row r="16" spans="2:15">
      <c r="B16" s="959" t="s">
        <v>471</v>
      </c>
      <c r="C16" s="959"/>
      <c r="D16" s="959"/>
      <c r="E16" s="959"/>
      <c r="F16" s="959"/>
      <c r="G16" s="959"/>
      <c r="H16" s="959"/>
      <c r="I16" s="959"/>
      <c r="J16" s="959"/>
      <c r="K16" s="959"/>
      <c r="L16" s="959"/>
      <c r="M16" s="959"/>
      <c r="N16" s="959"/>
      <c r="O16" s="959"/>
    </row>
    <row r="17" spans="2:16">
      <c r="B17" s="73" t="s">
        <v>455</v>
      </c>
      <c r="C17" s="77">
        <v>2.37</v>
      </c>
      <c r="D17" s="77">
        <f>C17</f>
        <v>2.37</v>
      </c>
      <c r="E17" s="77">
        <v>20781</v>
      </c>
      <c r="F17" s="74">
        <v>1</v>
      </c>
      <c r="G17" s="77">
        <f>C17*$F$17</f>
        <v>2.37</v>
      </c>
      <c r="H17" s="77">
        <f t="shared" ref="H17:I17" si="5">D17*$F$17</f>
        <v>2.37</v>
      </c>
      <c r="I17" s="77">
        <f t="shared" si="5"/>
        <v>20781</v>
      </c>
      <c r="J17" s="74"/>
      <c r="K17" s="74"/>
      <c r="L17" s="86"/>
      <c r="M17" s="83">
        <v>18750</v>
      </c>
      <c r="N17" s="74">
        <v>4</v>
      </c>
      <c r="O17" s="82" t="s">
        <v>513</v>
      </c>
      <c r="P17">
        <v>313</v>
      </c>
    </row>
    <row r="18" spans="2:16">
      <c r="B18" s="960" t="s">
        <v>472</v>
      </c>
      <c r="C18" s="960"/>
      <c r="D18" s="960"/>
      <c r="E18" s="960"/>
      <c r="F18" s="960"/>
      <c r="G18" s="960"/>
      <c r="H18" s="960"/>
      <c r="I18" s="960"/>
      <c r="J18" s="960"/>
      <c r="K18" s="960"/>
      <c r="L18" s="960"/>
      <c r="M18" s="960"/>
      <c r="N18" s="960"/>
      <c r="O18" s="960"/>
    </row>
    <row r="19" spans="2:16">
      <c r="B19" s="73" t="s">
        <v>445</v>
      </c>
      <c r="C19" s="77">
        <f>E19/8760</f>
        <v>2.8538812785388126E-2</v>
      </c>
      <c r="D19" s="77">
        <f>C19</f>
        <v>2.8538812785388126E-2</v>
      </c>
      <c r="E19" s="74">
        <v>250</v>
      </c>
      <c r="F19" s="74">
        <v>1</v>
      </c>
      <c r="G19" s="77">
        <f>C19*$F$19</f>
        <v>2.8538812785388126E-2</v>
      </c>
      <c r="H19" s="77">
        <f t="shared" ref="H19:I19" si="6">D19*$F$19</f>
        <v>2.8538812785388126E-2</v>
      </c>
      <c r="I19" s="77">
        <f t="shared" si="6"/>
        <v>250</v>
      </c>
      <c r="J19" s="74"/>
      <c r="K19" s="74"/>
      <c r="L19" s="74"/>
      <c r="M19" s="84">
        <v>40</v>
      </c>
      <c r="N19" s="74">
        <v>10</v>
      </c>
      <c r="O19" s="82"/>
    </row>
    <row r="21" spans="2:16">
      <c r="D21" t="s">
        <v>503</v>
      </c>
      <c r="F21" t="s">
        <v>504</v>
      </c>
    </row>
    <row r="22" spans="2:16">
      <c r="C22" t="s">
        <v>500</v>
      </c>
      <c r="D22" s="85">
        <v>886190</v>
      </c>
      <c r="F22" s="85">
        <f>(($D$22*I14)+($D$23*I14)+($D$24*I14))/100000</f>
        <v>11751.755173200001</v>
      </c>
      <c r="G22" t="s">
        <v>505</v>
      </c>
      <c r="K22">
        <f>193*1000/8760</f>
        <v>22.031963470319635</v>
      </c>
      <c r="L22" s="61"/>
    </row>
    <row r="23" spans="2:16">
      <c r="C23" t="s">
        <v>501</v>
      </c>
      <c r="D23" s="85">
        <v>392248</v>
      </c>
      <c r="F23" s="85">
        <f>(($D$22*I15)+($D$23*I15)+($D$24*I15))/100000</f>
        <v>14575.9419972</v>
      </c>
      <c r="G23" t="s">
        <v>506</v>
      </c>
    </row>
    <row r="24" spans="2:16">
      <c r="C24" t="s">
        <v>502</v>
      </c>
      <c r="D24" s="85">
        <v>174333</v>
      </c>
    </row>
    <row r="26" spans="2:16">
      <c r="B26" t="s">
        <v>864</v>
      </c>
      <c r="C26" s="74">
        <v>0.13500000000000001</v>
      </c>
      <c r="D26">
        <f>C26*0.9398*0.7439</f>
        <v>9.4380824700000004E-2</v>
      </c>
    </row>
    <row r="27" spans="2:16">
      <c r="B27" t="s">
        <v>863</v>
      </c>
      <c r="C27" s="74">
        <v>0.108</v>
      </c>
      <c r="D27">
        <f>C27*0.9398*0.7439</f>
        <v>7.5504659759999995E-2</v>
      </c>
    </row>
  </sheetData>
  <mergeCells count="5">
    <mergeCell ref="B4:O4"/>
    <mergeCell ref="B13:O13"/>
    <mergeCell ref="B16:O16"/>
    <mergeCell ref="B18:O18"/>
    <mergeCell ref="B2:O2"/>
  </mergeCells>
  <pageMargins left="0.7" right="0.7" top="0.75" bottom="0.75" header="0.3" footer="0.3"/>
  <pageSetup paperSize="17" scale="9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T98"/>
  <sheetViews>
    <sheetView zoomScale="89" zoomScaleNormal="89" workbookViewId="0">
      <selection activeCell="S10" sqref="S10"/>
    </sheetView>
  </sheetViews>
  <sheetFormatPr defaultRowHeight="15"/>
  <cols>
    <col min="1" max="1" width="2.140625" style="239" customWidth="1"/>
    <col min="2" max="2" width="9.140625" style="239"/>
    <col min="3" max="3" width="44.28515625" style="239" bestFit="1" customWidth="1"/>
    <col min="4" max="4" width="9" style="239" customWidth="1"/>
    <col min="5" max="6" width="9.140625" style="239"/>
    <col min="7" max="7" width="8.7109375" style="239" customWidth="1"/>
    <col min="8" max="9" width="9.140625" style="239"/>
    <col min="10" max="10" width="33.7109375" style="239" customWidth="1"/>
    <col min="11" max="11" width="16.42578125" style="239" customWidth="1"/>
    <col min="12" max="12" width="9.140625" style="239"/>
    <col min="13" max="13" width="9.140625" style="239" bestFit="1" customWidth="1"/>
    <col min="14" max="16384" width="9.140625" style="239"/>
  </cols>
  <sheetData>
    <row r="2" spans="2:254" ht="15.75" thickBot="1">
      <c r="B2" s="263" t="s">
        <v>664</v>
      </c>
      <c r="C2" s="263"/>
      <c r="K2" s="228"/>
      <c r="L2" s="228"/>
    </row>
    <row r="3" spans="2:254" ht="15.75" thickBot="1">
      <c r="B3" s="264"/>
      <c r="C3" s="265"/>
      <c r="D3" s="265"/>
      <c r="E3" s="265" t="s">
        <v>473</v>
      </c>
      <c r="F3" s="265" t="s">
        <v>474</v>
      </c>
      <c r="G3" s="265"/>
      <c r="H3" s="265" t="s">
        <v>473</v>
      </c>
      <c r="I3" s="265" t="s">
        <v>474</v>
      </c>
      <c r="J3" s="266"/>
      <c r="K3" s="228"/>
      <c r="L3" s="228"/>
    </row>
    <row r="4" spans="2:254">
      <c r="B4" s="264" t="s">
        <v>87</v>
      </c>
      <c r="C4" s="265"/>
      <c r="D4" s="265" t="s">
        <v>475</v>
      </c>
      <c r="E4" s="265" t="s">
        <v>475</v>
      </c>
      <c r="F4" s="265" t="s">
        <v>475</v>
      </c>
      <c r="G4" s="265" t="s">
        <v>418</v>
      </c>
      <c r="H4" s="265" t="s">
        <v>418</v>
      </c>
      <c r="I4" s="265" t="s">
        <v>418</v>
      </c>
      <c r="J4" s="266"/>
      <c r="K4" s="228"/>
      <c r="L4" s="205"/>
      <c r="IT4" s="267"/>
    </row>
    <row r="5" spans="2:254" ht="15.75" thickBot="1">
      <c r="B5" s="268" t="s">
        <v>417</v>
      </c>
      <c r="C5" s="269" t="s">
        <v>87</v>
      </c>
      <c r="D5" s="269" t="s">
        <v>388</v>
      </c>
      <c r="E5" s="269" t="s">
        <v>389</v>
      </c>
      <c r="F5" s="269" t="s">
        <v>389</v>
      </c>
      <c r="G5" s="269" t="s">
        <v>388</v>
      </c>
      <c r="H5" s="269" t="s">
        <v>389</v>
      </c>
      <c r="I5" s="269" t="s">
        <v>389</v>
      </c>
      <c r="J5" s="270" t="s">
        <v>476</v>
      </c>
      <c r="K5" s="228"/>
      <c r="L5" s="205"/>
    </row>
    <row r="6" spans="2:254">
      <c r="B6" s="271">
        <v>220</v>
      </c>
      <c r="C6" s="272" t="s">
        <v>477</v>
      </c>
      <c r="D6" s="273">
        <f>135.46*(1-(60-43)/60)</f>
        <v>97.079666666666668</v>
      </c>
      <c r="E6" s="273">
        <v>7.09</v>
      </c>
      <c r="F6" s="273"/>
      <c r="G6" s="274"/>
      <c r="H6" s="274"/>
      <c r="I6" s="274"/>
      <c r="J6" s="275" t="s">
        <v>478</v>
      </c>
    </row>
    <row r="7" spans="2:254">
      <c r="B7" s="276">
        <v>221</v>
      </c>
      <c r="C7" s="277" t="s">
        <v>33</v>
      </c>
      <c r="D7" s="278"/>
      <c r="E7" s="278"/>
      <c r="F7" s="278"/>
      <c r="G7" s="278">
        <v>69.89</v>
      </c>
      <c r="H7" s="278">
        <v>3.66</v>
      </c>
      <c r="I7" s="278"/>
      <c r="J7" s="275" t="s">
        <v>479</v>
      </c>
    </row>
    <row r="8" spans="2:254">
      <c r="B8" s="276"/>
      <c r="C8" s="279"/>
      <c r="D8" s="278"/>
      <c r="E8" s="278"/>
      <c r="F8" s="278"/>
      <c r="G8" s="278"/>
      <c r="H8" s="278"/>
      <c r="I8" s="278"/>
      <c r="J8" s="275"/>
    </row>
    <row r="9" spans="2:254">
      <c r="B9" s="276">
        <v>230</v>
      </c>
      <c r="C9" s="277" t="s">
        <v>34</v>
      </c>
      <c r="D9" s="278">
        <f>1185*(1-(60-43)/60)</f>
        <v>849.25</v>
      </c>
      <c r="E9" s="278">
        <v>133.05536048549243</v>
      </c>
      <c r="F9" s="278"/>
      <c r="G9" s="278"/>
      <c r="H9" s="278"/>
      <c r="I9" s="278"/>
      <c r="J9" s="275"/>
    </row>
    <row r="10" spans="2:254">
      <c r="B10" s="276">
        <v>231</v>
      </c>
      <c r="C10" s="277" t="s">
        <v>35</v>
      </c>
      <c r="D10" s="278"/>
      <c r="E10" s="278"/>
      <c r="F10" s="278"/>
      <c r="G10" s="278">
        <v>611.54</v>
      </c>
      <c r="H10" s="278">
        <v>32</v>
      </c>
      <c r="I10" s="278"/>
      <c r="J10" s="275"/>
    </row>
    <row r="11" spans="2:254">
      <c r="B11" s="280"/>
      <c r="C11" s="279"/>
      <c r="D11" s="279"/>
      <c r="E11" s="279"/>
      <c r="F11" s="279"/>
      <c r="G11" s="279"/>
      <c r="H11" s="279"/>
      <c r="I11" s="279"/>
      <c r="J11" s="275"/>
    </row>
    <row r="12" spans="2:254">
      <c r="B12" s="276">
        <v>240</v>
      </c>
      <c r="C12" s="277" t="s">
        <v>36</v>
      </c>
      <c r="D12" s="278">
        <f>609.56*(1-(60-43)/60)</f>
        <v>436.85133333333329</v>
      </c>
      <c r="E12" s="278">
        <v>72.181929880336781</v>
      </c>
      <c r="F12" s="278"/>
      <c r="G12" s="278"/>
      <c r="H12" s="278"/>
      <c r="I12" s="278"/>
      <c r="J12" s="275" t="s">
        <v>478</v>
      </c>
    </row>
    <row r="13" spans="2:254">
      <c r="B13" s="276">
        <v>241</v>
      </c>
      <c r="C13" s="277" t="s">
        <v>37</v>
      </c>
      <c r="D13" s="278"/>
      <c r="E13" s="278"/>
      <c r="F13" s="278"/>
      <c r="G13" s="278">
        <v>314.51</v>
      </c>
      <c r="H13" s="278">
        <v>16.46</v>
      </c>
      <c r="I13" s="278"/>
      <c r="J13" s="275" t="s">
        <v>479</v>
      </c>
    </row>
    <row r="14" spans="2:254">
      <c r="B14" s="281"/>
      <c r="C14" s="279"/>
      <c r="D14" s="279"/>
      <c r="E14" s="279"/>
      <c r="F14" s="279"/>
      <c r="G14" s="279"/>
      <c r="H14" s="279"/>
      <c r="I14" s="279"/>
      <c r="J14" s="275"/>
    </row>
    <row r="15" spans="2:254">
      <c r="B15" s="280"/>
      <c r="C15" s="279"/>
      <c r="D15" s="282"/>
      <c r="E15" s="279"/>
      <c r="F15" s="279"/>
      <c r="G15" s="279"/>
      <c r="H15" s="279"/>
      <c r="I15" s="279"/>
      <c r="J15" s="275"/>
    </row>
    <row r="16" spans="2:254">
      <c r="B16" s="280"/>
      <c r="C16" s="279"/>
      <c r="D16" s="279"/>
      <c r="E16" s="279"/>
      <c r="F16" s="279"/>
      <c r="G16" s="279"/>
      <c r="H16" s="279"/>
      <c r="I16" s="279"/>
      <c r="J16" s="275"/>
    </row>
    <row r="17" spans="2:17" ht="15.75" thickBot="1">
      <c r="B17" s="280"/>
      <c r="C17" s="279"/>
      <c r="D17" s="279"/>
      <c r="E17" s="279"/>
      <c r="F17" s="279"/>
      <c r="G17" s="279"/>
      <c r="H17" s="279"/>
      <c r="I17" s="279"/>
      <c r="J17" s="275"/>
    </row>
    <row r="18" spans="2:17">
      <c r="B18" s="264"/>
      <c r="C18" s="265"/>
      <c r="D18" s="265"/>
      <c r="E18" s="265" t="s">
        <v>473</v>
      </c>
      <c r="F18" s="265" t="s">
        <v>474</v>
      </c>
      <c r="G18" s="265"/>
      <c r="H18" s="265" t="s">
        <v>473</v>
      </c>
      <c r="I18" s="265" t="s">
        <v>474</v>
      </c>
      <c r="J18" s="266"/>
    </row>
    <row r="19" spans="2:17">
      <c r="B19" s="283" t="s">
        <v>87</v>
      </c>
      <c r="C19" s="284"/>
      <c r="D19" s="284" t="s">
        <v>475</v>
      </c>
      <c r="E19" s="284" t="s">
        <v>475</v>
      </c>
      <c r="F19" s="284" t="s">
        <v>475</v>
      </c>
      <c r="G19" s="284" t="s">
        <v>418</v>
      </c>
      <c r="H19" s="284" t="s">
        <v>418</v>
      </c>
      <c r="I19" s="284" t="s">
        <v>418</v>
      </c>
      <c r="J19" s="285"/>
    </row>
    <row r="20" spans="2:17" ht="15.75" thickBot="1">
      <c r="B20" s="268" t="s">
        <v>417</v>
      </c>
      <c r="C20" s="269" t="s">
        <v>87</v>
      </c>
      <c r="D20" s="269" t="s">
        <v>388</v>
      </c>
      <c r="E20" s="269" t="s">
        <v>389</v>
      </c>
      <c r="F20" s="269" t="s">
        <v>389</v>
      </c>
      <c r="G20" s="269" t="s">
        <v>388</v>
      </c>
      <c r="H20" s="269" t="s">
        <v>389</v>
      </c>
      <c r="I20" s="269" t="s">
        <v>389</v>
      </c>
      <c r="J20" s="270" t="s">
        <v>476</v>
      </c>
      <c r="M20" s="286"/>
    </row>
    <row r="21" spans="2:17">
      <c r="B21" s="271">
        <v>220</v>
      </c>
      <c r="C21" s="272" t="s">
        <v>477</v>
      </c>
      <c r="D21" s="273">
        <f>D6</f>
        <v>97.079666666666668</v>
      </c>
      <c r="E21" s="273">
        <f>E6</f>
        <v>7.09</v>
      </c>
      <c r="F21" s="273"/>
      <c r="G21" s="274"/>
      <c r="H21" s="274"/>
      <c r="I21" s="274"/>
      <c r="J21" s="287"/>
      <c r="K21" s="286"/>
      <c r="L21" s="286"/>
      <c r="M21" s="286">
        <f>M25*D21</f>
        <v>69.987666666666669</v>
      </c>
      <c r="N21" s="239" t="s">
        <v>660</v>
      </c>
    </row>
    <row r="22" spans="2:17">
      <c r="B22" s="276">
        <v>221</v>
      </c>
      <c r="C22" s="277" t="s">
        <v>33</v>
      </c>
      <c r="D22" s="278"/>
      <c r="E22" s="278"/>
      <c r="F22" s="278"/>
      <c r="G22" s="278">
        <f>G7*$J$22</f>
        <v>41.601190476190474</v>
      </c>
      <c r="H22" s="278">
        <f>H7*$J$22</f>
        <v>2.1785714285714288</v>
      </c>
      <c r="I22" s="278">
        <f>I7*$J$22</f>
        <v>0</v>
      </c>
      <c r="J22" s="288">
        <f>(43-18)/(60-18)</f>
        <v>0.59523809523809523</v>
      </c>
      <c r="K22" s="239" t="s">
        <v>480</v>
      </c>
      <c r="L22" s="286"/>
      <c r="M22" s="286">
        <f>M21-G22</f>
        <v>28.386476190476195</v>
      </c>
      <c r="N22" s="239" t="s">
        <v>661</v>
      </c>
    </row>
    <row r="23" spans="2:17">
      <c r="B23" s="289"/>
      <c r="C23" s="290" t="s">
        <v>481</v>
      </c>
      <c r="D23" s="291">
        <f>D21-G22</f>
        <v>55.478476190476194</v>
      </c>
      <c r="E23" s="291">
        <f t="shared" ref="E23:F23" si="0">E21-H22</f>
        <v>4.911428571428571</v>
      </c>
      <c r="F23" s="291">
        <f t="shared" si="0"/>
        <v>0</v>
      </c>
      <c r="G23" s="292"/>
      <c r="H23" s="292"/>
      <c r="I23" s="292"/>
      <c r="J23" s="293"/>
    </row>
    <row r="24" spans="2:17">
      <c r="B24" s="478">
        <v>222</v>
      </c>
      <c r="C24" s="479" t="s">
        <v>482</v>
      </c>
      <c r="D24" s="480"/>
      <c r="E24" s="480"/>
      <c r="F24" s="480"/>
      <c r="G24" s="480">
        <f>M22</f>
        <v>28.386476190476195</v>
      </c>
      <c r="H24" s="480">
        <f>E23*J24</f>
        <v>0.68759999999999999</v>
      </c>
      <c r="I24" s="480">
        <f t="shared" ref="I24" si="1">F23*$J$24</f>
        <v>0</v>
      </c>
      <c r="J24" s="294">
        <v>0.14000000000000001</v>
      </c>
      <c r="M24" s="295">
        <f>(43-18)/43</f>
        <v>0.58139534883720934</v>
      </c>
      <c r="N24" s="239" t="s">
        <v>483</v>
      </c>
    </row>
    <row r="25" spans="2:17">
      <c r="B25" s="276"/>
      <c r="C25" s="279"/>
      <c r="D25" s="278">
        <f>D23-G24</f>
        <v>27.091999999999999</v>
      </c>
      <c r="E25" s="278"/>
      <c r="F25" s="278"/>
      <c r="G25" s="278"/>
      <c r="H25" s="278"/>
      <c r="I25" s="278"/>
      <c r="J25" s="293"/>
      <c r="L25" s="286"/>
      <c r="M25" s="295">
        <f>(43-12)/43</f>
        <v>0.72093023255813948</v>
      </c>
      <c r="N25" s="239" t="s">
        <v>484</v>
      </c>
      <c r="Q25" s="286"/>
    </row>
    <row r="26" spans="2:17">
      <c r="B26" s="276"/>
      <c r="C26" s="279"/>
      <c r="D26" s="278"/>
      <c r="E26" s="278"/>
      <c r="F26" s="278"/>
      <c r="G26" s="278"/>
      <c r="H26" s="278"/>
      <c r="I26" s="278"/>
      <c r="J26" s="293"/>
      <c r="M26" s="296">
        <f>M25-M24</f>
        <v>0.13953488372093015</v>
      </c>
      <c r="N26" s="239" t="s">
        <v>485</v>
      </c>
    </row>
    <row r="27" spans="2:17">
      <c r="B27" s="280"/>
      <c r="C27" s="279"/>
      <c r="D27" s="279"/>
      <c r="E27" s="279"/>
      <c r="F27" s="279"/>
      <c r="G27" s="279"/>
      <c r="H27" s="279"/>
      <c r="I27" s="279"/>
      <c r="J27" s="293"/>
    </row>
    <row r="28" spans="2:17" ht="15.75" thickBot="1">
      <c r="B28" s="280"/>
      <c r="C28" s="279"/>
      <c r="D28" s="279"/>
      <c r="E28" s="279"/>
      <c r="F28" s="279"/>
      <c r="G28" s="279"/>
      <c r="H28" s="279"/>
      <c r="I28" s="279"/>
      <c r="J28" s="293"/>
      <c r="M28" s="286"/>
    </row>
    <row r="29" spans="2:17">
      <c r="B29" s="264"/>
      <c r="C29" s="265"/>
      <c r="D29" s="265"/>
      <c r="E29" s="265" t="s">
        <v>473</v>
      </c>
      <c r="F29" s="265" t="s">
        <v>474</v>
      </c>
      <c r="G29" s="265"/>
      <c r="H29" s="265" t="s">
        <v>473</v>
      </c>
      <c r="I29" s="265" t="s">
        <v>474</v>
      </c>
      <c r="J29" s="266"/>
      <c r="M29" s="286"/>
    </row>
    <row r="30" spans="2:17">
      <c r="B30" s="283" t="s">
        <v>87</v>
      </c>
      <c r="C30" s="284"/>
      <c r="D30" s="284" t="s">
        <v>475</v>
      </c>
      <c r="E30" s="284" t="s">
        <v>475</v>
      </c>
      <c r="F30" s="284" t="s">
        <v>475</v>
      </c>
      <c r="G30" s="284" t="s">
        <v>418</v>
      </c>
      <c r="H30" s="284" t="s">
        <v>418</v>
      </c>
      <c r="I30" s="284" t="s">
        <v>418</v>
      </c>
      <c r="J30" s="285"/>
    </row>
    <row r="31" spans="2:17" ht="15.75" thickBot="1">
      <c r="B31" s="268" t="s">
        <v>417</v>
      </c>
      <c r="C31" s="269" t="s">
        <v>87</v>
      </c>
      <c r="D31" s="269" t="s">
        <v>388</v>
      </c>
      <c r="E31" s="269" t="s">
        <v>389</v>
      </c>
      <c r="F31" s="269" t="s">
        <v>389</v>
      </c>
      <c r="G31" s="269" t="s">
        <v>388</v>
      </c>
      <c r="H31" s="269" t="s">
        <v>389</v>
      </c>
      <c r="I31" s="269" t="s">
        <v>389</v>
      </c>
      <c r="J31" s="270" t="s">
        <v>476</v>
      </c>
    </row>
    <row r="32" spans="2:17">
      <c r="B32" s="276">
        <v>230</v>
      </c>
      <c r="C32" s="277" t="s">
        <v>34</v>
      </c>
      <c r="D32" s="273">
        <f>D9</f>
        <v>849.25</v>
      </c>
      <c r="E32" s="273">
        <f>E9</f>
        <v>133.05536048549243</v>
      </c>
      <c r="F32" s="273">
        <f>F9</f>
        <v>0</v>
      </c>
      <c r="G32" s="274"/>
      <c r="H32" s="274"/>
      <c r="I32" s="274"/>
      <c r="J32" s="293"/>
      <c r="M32" s="286">
        <f>M25*$D$32</f>
        <v>612.25</v>
      </c>
      <c r="N32" s="239" t="s">
        <v>660</v>
      </c>
    </row>
    <row r="33" spans="2:14">
      <c r="B33" s="276">
        <v>231</v>
      </c>
      <c r="C33" s="277" t="s">
        <v>35</v>
      </c>
      <c r="D33" s="278"/>
      <c r="E33" s="278"/>
      <c r="F33" s="278"/>
      <c r="G33" s="278">
        <f>G10*$J$33</f>
        <v>364.01190476190476</v>
      </c>
      <c r="H33" s="278">
        <f>H10*$J$33</f>
        <v>19.047619047619047</v>
      </c>
      <c r="I33" s="278">
        <f>I10*$J$33</f>
        <v>0</v>
      </c>
      <c r="J33" s="288">
        <f>(43-18)/(60-18)</f>
        <v>0.59523809523809523</v>
      </c>
      <c r="K33" s="239" t="s">
        <v>480</v>
      </c>
      <c r="M33" s="286">
        <f>M32-G33</f>
        <v>248.23809523809524</v>
      </c>
      <c r="N33" s="239" t="s">
        <v>661</v>
      </c>
    </row>
    <row r="34" spans="2:14">
      <c r="B34" s="289"/>
      <c r="C34" s="290" t="s">
        <v>481</v>
      </c>
      <c r="D34" s="291">
        <f>D32-G33</f>
        <v>485.23809523809524</v>
      </c>
      <c r="E34" s="291">
        <f t="shared" ref="E34:F34" si="2">E32-H33</f>
        <v>114.00774143787338</v>
      </c>
      <c r="F34" s="291">
        <f t="shared" si="2"/>
        <v>0</v>
      </c>
      <c r="G34" s="292"/>
      <c r="H34" s="292"/>
      <c r="I34" s="292"/>
      <c r="J34" s="293"/>
    </row>
    <row r="35" spans="2:14" s="228" customFormat="1">
      <c r="B35" s="478">
        <v>232</v>
      </c>
      <c r="C35" s="479" t="s">
        <v>486</v>
      </c>
      <c r="D35" s="480"/>
      <c r="E35" s="480"/>
      <c r="F35" s="480"/>
      <c r="G35" s="481">
        <f>M33</f>
        <v>248.23809523809524</v>
      </c>
      <c r="H35" s="480">
        <f t="shared" ref="H35:I35" si="3">E34*$J$35</f>
        <v>15.908056944819531</v>
      </c>
      <c r="I35" s="480">
        <f t="shared" si="3"/>
        <v>0</v>
      </c>
      <c r="J35" s="297">
        <f>M26</f>
        <v>0.13953488372093015</v>
      </c>
    </row>
    <row r="36" spans="2:14">
      <c r="B36" s="280"/>
      <c r="C36" s="279"/>
      <c r="D36" s="298">
        <f>D34-G35</f>
        <v>237</v>
      </c>
      <c r="E36" s="279"/>
      <c r="F36" s="279"/>
      <c r="G36" s="279"/>
      <c r="H36" s="279"/>
      <c r="I36" s="279"/>
      <c r="J36" s="293"/>
    </row>
    <row r="37" spans="2:14" ht="15.75" thickBot="1">
      <c r="B37" s="280"/>
      <c r="C37" s="279"/>
      <c r="D37" s="279"/>
      <c r="E37" s="279"/>
      <c r="F37" s="279"/>
      <c r="G37" s="279"/>
      <c r="H37" s="279"/>
      <c r="I37" s="279"/>
      <c r="J37" s="293"/>
    </row>
    <row r="38" spans="2:14">
      <c r="B38" s="264"/>
      <c r="C38" s="265"/>
      <c r="D38" s="265"/>
      <c r="E38" s="265" t="s">
        <v>473</v>
      </c>
      <c r="F38" s="265" t="s">
        <v>474</v>
      </c>
      <c r="G38" s="265"/>
      <c r="H38" s="265" t="s">
        <v>473</v>
      </c>
      <c r="I38" s="265" t="s">
        <v>474</v>
      </c>
      <c r="J38" s="266"/>
    </row>
    <row r="39" spans="2:14">
      <c r="B39" s="283" t="s">
        <v>87</v>
      </c>
      <c r="C39" s="284"/>
      <c r="D39" s="284" t="s">
        <v>475</v>
      </c>
      <c r="E39" s="284" t="s">
        <v>475</v>
      </c>
      <c r="F39" s="284" t="s">
        <v>475</v>
      </c>
      <c r="G39" s="284" t="s">
        <v>418</v>
      </c>
      <c r="H39" s="284" t="s">
        <v>418</v>
      </c>
      <c r="I39" s="284" t="s">
        <v>418</v>
      </c>
      <c r="J39" s="285"/>
    </row>
    <row r="40" spans="2:14" ht="15.75" thickBot="1">
      <c r="B40" s="268" t="s">
        <v>417</v>
      </c>
      <c r="C40" s="269" t="s">
        <v>87</v>
      </c>
      <c r="D40" s="269" t="s">
        <v>388</v>
      </c>
      <c r="E40" s="269" t="s">
        <v>389</v>
      </c>
      <c r="F40" s="269" t="s">
        <v>389</v>
      </c>
      <c r="G40" s="269" t="s">
        <v>388</v>
      </c>
      <c r="H40" s="269" t="s">
        <v>389</v>
      </c>
      <c r="I40" s="269" t="s">
        <v>389</v>
      </c>
      <c r="J40" s="270" t="s">
        <v>476</v>
      </c>
    </row>
    <row r="41" spans="2:14">
      <c r="B41" s="276">
        <v>240</v>
      </c>
      <c r="C41" s="277" t="s">
        <v>36</v>
      </c>
      <c r="D41" s="273">
        <f>D12</f>
        <v>436.85133333333329</v>
      </c>
      <c r="E41" s="273">
        <f>E12</f>
        <v>72.181929880336781</v>
      </c>
      <c r="F41" s="273">
        <f>F12</f>
        <v>0</v>
      </c>
      <c r="G41" s="274"/>
      <c r="H41" s="274"/>
      <c r="I41" s="274"/>
      <c r="J41" s="293"/>
    </row>
    <row r="42" spans="2:14">
      <c r="B42" s="276">
        <v>241</v>
      </c>
      <c r="C42" s="277" t="s">
        <v>37</v>
      </c>
      <c r="D42" s="278"/>
      <c r="E42" s="278"/>
      <c r="F42" s="278"/>
      <c r="G42" s="278">
        <f>G13*$J$42</f>
        <v>187.20833333333331</v>
      </c>
      <c r="H42" s="278">
        <f>H13*$J$42</f>
        <v>9.7976190476190474</v>
      </c>
      <c r="I42" s="278">
        <f>I13*$J$42</f>
        <v>0</v>
      </c>
      <c r="J42" s="288">
        <f>(43-18)/(60-18)</f>
        <v>0.59523809523809523</v>
      </c>
      <c r="K42" s="239" t="s">
        <v>480</v>
      </c>
      <c r="M42" s="286">
        <f>M25*$D$41</f>
        <v>314.93933333333325</v>
      </c>
      <c r="N42" s="239" t="s">
        <v>660</v>
      </c>
    </row>
    <row r="43" spans="2:14">
      <c r="B43" s="289"/>
      <c r="C43" s="290" t="s">
        <v>481</v>
      </c>
      <c r="D43" s="291">
        <f>D41-G42</f>
        <v>249.64299999999997</v>
      </c>
      <c r="E43" s="291">
        <f t="shared" ref="E43:F43" si="4">E41-H42</f>
        <v>62.38431083271773</v>
      </c>
      <c r="F43" s="291">
        <f t="shared" si="4"/>
        <v>0</v>
      </c>
      <c r="G43" s="292"/>
      <c r="H43" s="292"/>
      <c r="I43" s="292"/>
      <c r="J43" s="293"/>
      <c r="M43" s="286">
        <f>M42-G42</f>
        <v>127.73099999999994</v>
      </c>
      <c r="N43" s="239" t="s">
        <v>661</v>
      </c>
    </row>
    <row r="44" spans="2:14">
      <c r="B44" s="478">
        <v>242</v>
      </c>
      <c r="C44" s="479" t="s">
        <v>487</v>
      </c>
      <c r="D44" s="480"/>
      <c r="E44" s="480"/>
      <c r="F44" s="480"/>
      <c r="G44" s="480">
        <f>M43</f>
        <v>127.73099999999994</v>
      </c>
      <c r="H44" s="480">
        <f t="shared" ref="H44:I44" si="5">E43*$J$44</f>
        <v>8.7047875580536314</v>
      </c>
      <c r="I44" s="480">
        <f t="shared" si="5"/>
        <v>0</v>
      </c>
      <c r="J44" s="294">
        <f>M26</f>
        <v>0.13953488372093015</v>
      </c>
    </row>
    <row r="45" spans="2:14">
      <c r="B45" s="280"/>
      <c r="C45" s="279"/>
      <c r="D45" s="299">
        <f>D43-G44</f>
        <v>121.91200000000003</v>
      </c>
      <c r="E45" s="279"/>
      <c r="F45" s="279"/>
      <c r="G45" s="279"/>
      <c r="H45" s="279"/>
      <c r="I45" s="279"/>
      <c r="J45" s="293"/>
    </row>
    <row r="46" spans="2:14">
      <c r="B46" s="280"/>
      <c r="C46" s="279"/>
      <c r="D46" s="279"/>
      <c r="E46" s="279"/>
      <c r="F46" s="279"/>
      <c r="G46" s="279"/>
      <c r="H46" s="279"/>
      <c r="I46" s="279"/>
      <c r="J46" s="293"/>
    </row>
    <row r="47" spans="2:14">
      <c r="B47" s="280"/>
      <c r="C47" s="279"/>
      <c r="D47" s="279"/>
      <c r="E47" s="279"/>
      <c r="F47" s="279"/>
      <c r="G47" s="279"/>
      <c r="H47" s="279"/>
      <c r="I47" s="279"/>
      <c r="J47" s="293"/>
    </row>
    <row r="48" spans="2:14" ht="15.75" thickBot="1">
      <c r="B48" s="280"/>
      <c r="C48" s="279"/>
      <c r="D48" s="279"/>
      <c r="E48" s="279"/>
      <c r="F48" s="279"/>
      <c r="G48" s="279"/>
      <c r="H48" s="279"/>
      <c r="I48" s="279"/>
      <c r="J48" s="293"/>
    </row>
    <row r="49" spans="2:12">
      <c r="B49" s="264"/>
      <c r="C49" s="265"/>
      <c r="D49" s="265"/>
      <c r="E49" s="265" t="s">
        <v>473</v>
      </c>
      <c r="F49" s="265" t="s">
        <v>474</v>
      </c>
      <c r="G49" s="265"/>
      <c r="H49" s="265" t="s">
        <v>473</v>
      </c>
      <c r="I49" s="265" t="s">
        <v>474</v>
      </c>
      <c r="J49" s="266"/>
    </row>
    <row r="50" spans="2:12">
      <c r="B50" s="283" t="s">
        <v>87</v>
      </c>
      <c r="C50" s="284"/>
      <c r="D50" s="284" t="s">
        <v>475</v>
      </c>
      <c r="E50" s="284" t="s">
        <v>475</v>
      </c>
      <c r="F50" s="284" t="s">
        <v>475</v>
      </c>
      <c r="G50" s="284" t="s">
        <v>418</v>
      </c>
      <c r="H50" s="284" t="s">
        <v>418</v>
      </c>
      <c r="I50" s="284" t="s">
        <v>418</v>
      </c>
      <c r="J50" s="285"/>
    </row>
    <row r="51" spans="2:12" ht="15.75" thickBot="1">
      <c r="B51" s="268" t="s">
        <v>417</v>
      </c>
      <c r="C51" s="269" t="s">
        <v>87</v>
      </c>
      <c r="D51" s="269" t="s">
        <v>388</v>
      </c>
      <c r="E51" s="269" t="s">
        <v>389</v>
      </c>
      <c r="F51" s="269" t="s">
        <v>389</v>
      </c>
      <c r="G51" s="269" t="s">
        <v>388</v>
      </c>
      <c r="H51" s="269" t="s">
        <v>389</v>
      </c>
      <c r="I51" s="269" t="s">
        <v>389</v>
      </c>
      <c r="J51" s="270" t="s">
        <v>476</v>
      </c>
    </row>
    <row r="52" spans="2:12">
      <c r="B52" s="300">
        <v>260</v>
      </c>
      <c r="C52" s="301" t="s">
        <v>488</v>
      </c>
      <c r="D52" s="302">
        <v>253.98</v>
      </c>
      <c r="E52" s="302">
        <v>13</v>
      </c>
      <c r="F52" s="302">
        <v>19</v>
      </c>
      <c r="G52" s="302"/>
      <c r="H52" s="302"/>
      <c r="I52" s="302"/>
      <c r="J52" s="293"/>
      <c r="K52" s="239" t="s">
        <v>489</v>
      </c>
      <c r="L52" s="239">
        <v>53</v>
      </c>
    </row>
    <row r="53" spans="2:12">
      <c r="B53" s="478">
        <v>261</v>
      </c>
      <c r="C53" s="479" t="s">
        <v>490</v>
      </c>
      <c r="D53" s="482"/>
      <c r="E53" s="482"/>
      <c r="F53" s="482"/>
      <c r="G53" s="482">
        <f>D52*$J$53</f>
        <v>191.68301886792455</v>
      </c>
      <c r="H53" s="482">
        <v>0</v>
      </c>
      <c r="I53" s="482">
        <v>0</v>
      </c>
      <c r="J53" s="294">
        <f>(L52-13)/L52</f>
        <v>0.75471698113207553</v>
      </c>
      <c r="K53" s="239" t="s">
        <v>491</v>
      </c>
    </row>
    <row r="54" spans="2:12">
      <c r="B54" s="276"/>
      <c r="C54" s="277"/>
      <c r="D54" s="279"/>
      <c r="E54" s="279"/>
      <c r="F54" s="279"/>
      <c r="G54" s="279"/>
      <c r="H54" s="279"/>
      <c r="I54" s="279"/>
      <c r="J54" s="293"/>
    </row>
    <row r="55" spans="2:12">
      <c r="B55" s="280"/>
      <c r="C55" s="279"/>
      <c r="D55" s="279"/>
      <c r="E55" s="279"/>
      <c r="F55" s="279"/>
      <c r="G55" s="279"/>
      <c r="H55" s="279"/>
      <c r="I55" s="279"/>
      <c r="J55" s="293"/>
    </row>
    <row r="56" spans="2:12" ht="15.75" thickBot="1">
      <c r="B56" s="280"/>
      <c r="C56" s="279"/>
      <c r="D56" s="279"/>
      <c r="E56" s="279"/>
      <c r="F56" s="279"/>
      <c r="G56" s="279"/>
      <c r="H56" s="279"/>
      <c r="I56" s="279"/>
      <c r="J56" s="293"/>
    </row>
    <row r="57" spans="2:12">
      <c r="B57" s="264"/>
      <c r="C57" s="265"/>
      <c r="D57" s="265"/>
      <c r="E57" s="265" t="s">
        <v>473</v>
      </c>
      <c r="F57" s="265" t="s">
        <v>474</v>
      </c>
      <c r="G57" s="265"/>
      <c r="H57" s="265" t="s">
        <v>473</v>
      </c>
      <c r="I57" s="265" t="s">
        <v>474</v>
      </c>
      <c r="J57" s="266"/>
      <c r="K57" s="228"/>
    </row>
    <row r="58" spans="2:12">
      <c r="B58" s="283" t="s">
        <v>87</v>
      </c>
      <c r="C58" s="284"/>
      <c r="D58" s="284" t="s">
        <v>475</v>
      </c>
      <c r="E58" s="284" t="s">
        <v>475</v>
      </c>
      <c r="F58" s="284" t="s">
        <v>475</v>
      </c>
      <c r="G58" s="284" t="s">
        <v>418</v>
      </c>
      <c r="H58" s="284" t="s">
        <v>418</v>
      </c>
      <c r="I58" s="284" t="s">
        <v>418</v>
      </c>
      <c r="J58" s="285"/>
      <c r="K58" s="228"/>
    </row>
    <row r="59" spans="2:12" ht="15.75" thickBot="1">
      <c r="B59" s="268" t="s">
        <v>417</v>
      </c>
      <c r="C59" s="269" t="s">
        <v>87</v>
      </c>
      <c r="D59" s="269" t="s">
        <v>388</v>
      </c>
      <c r="E59" s="269" t="s">
        <v>389</v>
      </c>
      <c r="F59" s="269" t="s">
        <v>389</v>
      </c>
      <c r="G59" s="269" t="s">
        <v>388</v>
      </c>
      <c r="H59" s="269" t="s">
        <v>389</v>
      </c>
      <c r="I59" s="269" t="s">
        <v>389</v>
      </c>
      <c r="J59" s="270" t="s">
        <v>476</v>
      </c>
      <c r="K59" s="228"/>
    </row>
    <row r="60" spans="2:12">
      <c r="B60" s="271">
        <v>300</v>
      </c>
      <c r="C60" s="272" t="s">
        <v>492</v>
      </c>
      <c r="D60" s="279">
        <v>1826.72</v>
      </c>
      <c r="E60" s="279">
        <v>242.82</v>
      </c>
      <c r="F60" s="279"/>
      <c r="G60" s="274"/>
      <c r="H60" s="274"/>
      <c r="I60" s="274"/>
      <c r="J60" s="275" t="s">
        <v>478</v>
      </c>
    </row>
    <row r="61" spans="2:12">
      <c r="B61" s="276">
        <v>301</v>
      </c>
      <c r="C61" s="277" t="s">
        <v>496</v>
      </c>
      <c r="D61" s="278"/>
      <c r="E61" s="278"/>
      <c r="F61" s="278"/>
      <c r="G61" s="273">
        <v>231</v>
      </c>
      <c r="H61" s="273">
        <v>31</v>
      </c>
      <c r="I61" s="273"/>
      <c r="J61" s="275" t="s">
        <v>479</v>
      </c>
    </row>
    <row r="62" spans="2:12">
      <c r="B62" s="276"/>
      <c r="C62" s="279"/>
      <c r="D62" s="278"/>
      <c r="E62" s="278"/>
      <c r="F62" s="278"/>
      <c r="G62" s="278"/>
      <c r="H62" s="278"/>
      <c r="I62" s="278"/>
      <c r="J62" s="275"/>
    </row>
    <row r="63" spans="2:12">
      <c r="B63" s="276">
        <v>350</v>
      </c>
      <c r="C63" s="277" t="s">
        <v>493</v>
      </c>
      <c r="D63" s="279">
        <v>247.69</v>
      </c>
      <c r="E63" s="279">
        <v>32.92</v>
      </c>
      <c r="F63" s="279"/>
      <c r="G63" s="278"/>
      <c r="H63" s="278"/>
      <c r="I63" s="278"/>
      <c r="J63" s="275" t="s">
        <v>478</v>
      </c>
    </row>
    <row r="64" spans="2:12">
      <c r="B64" s="276">
        <v>351</v>
      </c>
      <c r="C64" s="277" t="s">
        <v>497</v>
      </c>
      <c r="D64" s="278"/>
      <c r="E64" s="278"/>
      <c r="F64" s="278"/>
      <c r="G64" s="278">
        <v>20</v>
      </c>
      <c r="H64" s="278">
        <v>3</v>
      </c>
      <c r="I64" s="278"/>
      <c r="J64" s="275" t="s">
        <v>479</v>
      </c>
    </row>
    <row r="65" spans="2:15">
      <c r="B65" s="280"/>
      <c r="C65" s="279"/>
      <c r="D65" s="279"/>
      <c r="E65" s="279"/>
      <c r="F65" s="279"/>
      <c r="G65" s="279"/>
      <c r="H65" s="279"/>
      <c r="I65" s="279"/>
      <c r="J65" s="275"/>
    </row>
    <row r="66" spans="2:15" ht="15.75" thickBot="1">
      <c r="B66" s="280"/>
      <c r="C66" s="279"/>
      <c r="D66" s="279"/>
      <c r="E66" s="279"/>
      <c r="F66" s="279"/>
      <c r="G66" s="279"/>
      <c r="H66" s="279"/>
      <c r="I66" s="279"/>
      <c r="J66" s="275"/>
    </row>
    <row r="67" spans="2:15">
      <c r="B67" s="264"/>
      <c r="C67" s="265"/>
      <c r="D67" s="265"/>
      <c r="E67" s="265" t="s">
        <v>473</v>
      </c>
      <c r="F67" s="265" t="s">
        <v>474</v>
      </c>
      <c r="G67" s="265"/>
      <c r="H67" s="265" t="s">
        <v>473</v>
      </c>
      <c r="I67" s="265" t="s">
        <v>474</v>
      </c>
      <c r="J67" s="266"/>
    </row>
    <row r="68" spans="2:15">
      <c r="B68" s="283" t="s">
        <v>87</v>
      </c>
      <c r="C68" s="284"/>
      <c r="D68" s="284" t="s">
        <v>475</v>
      </c>
      <c r="E68" s="284" t="s">
        <v>475</v>
      </c>
      <c r="F68" s="284" t="s">
        <v>475</v>
      </c>
      <c r="G68" s="284" t="s">
        <v>418</v>
      </c>
      <c r="H68" s="284" t="s">
        <v>418</v>
      </c>
      <c r="I68" s="284" t="s">
        <v>418</v>
      </c>
      <c r="J68" s="285"/>
    </row>
    <row r="69" spans="2:15" ht="15.75" thickBot="1">
      <c r="B69" s="268" t="s">
        <v>417</v>
      </c>
      <c r="C69" s="269" t="s">
        <v>87</v>
      </c>
      <c r="D69" s="269" t="s">
        <v>388</v>
      </c>
      <c r="E69" s="269" t="s">
        <v>389</v>
      </c>
      <c r="F69" s="269" t="s">
        <v>389</v>
      </c>
      <c r="G69" s="269" t="s">
        <v>388</v>
      </c>
      <c r="H69" s="269" t="s">
        <v>389</v>
      </c>
      <c r="I69" s="269" t="s">
        <v>389</v>
      </c>
      <c r="J69" s="270" t="s">
        <v>476</v>
      </c>
    </row>
    <row r="70" spans="2:15">
      <c r="B70" s="271">
        <v>300</v>
      </c>
      <c r="C70" s="272" t="s">
        <v>492</v>
      </c>
      <c r="D70" s="279">
        <f>D60</f>
        <v>1826.72</v>
      </c>
      <c r="E70" s="279">
        <f>E60</f>
        <v>242.82</v>
      </c>
      <c r="F70" s="279">
        <f>F60</f>
        <v>0</v>
      </c>
      <c r="G70" s="274"/>
      <c r="H70" s="274"/>
      <c r="I70" s="274"/>
      <c r="J70" s="293"/>
      <c r="M70" s="303">
        <v>1080.3436108676494</v>
      </c>
      <c r="N70" s="239" t="s">
        <v>511</v>
      </c>
      <c r="O70" s="239" t="s">
        <v>509</v>
      </c>
    </row>
    <row r="71" spans="2:15">
      <c r="B71" s="276">
        <v>301</v>
      </c>
      <c r="C71" s="277" t="s">
        <v>496</v>
      </c>
      <c r="D71" s="278"/>
      <c r="E71" s="278"/>
      <c r="F71" s="278"/>
      <c r="G71" s="278">
        <f>G61*$J$71</f>
        <v>207.9</v>
      </c>
      <c r="H71" s="278">
        <f t="shared" ref="H71:I71" si="6">H61*$J$71</f>
        <v>27.900000000000002</v>
      </c>
      <c r="I71" s="278">
        <f t="shared" si="6"/>
        <v>0</v>
      </c>
      <c r="J71" s="288">
        <v>0.9</v>
      </c>
      <c r="K71" s="239" t="s">
        <v>498</v>
      </c>
      <c r="M71" s="303">
        <f>'Duke new Measures'!I15</f>
        <v>1003.32</v>
      </c>
      <c r="N71" s="239" t="s">
        <v>512</v>
      </c>
    </row>
    <row r="72" spans="2:15">
      <c r="B72" s="289"/>
      <c r="C72" s="290" t="s">
        <v>481</v>
      </c>
      <c r="D72" s="291">
        <f>D70-G71</f>
        <v>1618.82</v>
      </c>
      <c r="E72" s="291">
        <f t="shared" ref="E72:F72" si="7">E70-H71</f>
        <v>214.92</v>
      </c>
      <c r="F72" s="291">
        <f t="shared" si="7"/>
        <v>0</v>
      </c>
      <c r="G72" s="292"/>
      <c r="H72" s="292"/>
      <c r="I72" s="292"/>
      <c r="J72" s="293"/>
      <c r="M72" s="304">
        <f>M71/M70</f>
        <v>0.92870452502996714</v>
      </c>
      <c r="N72" s="239" t="s">
        <v>507</v>
      </c>
    </row>
    <row r="73" spans="2:15">
      <c r="B73" s="478">
        <v>302</v>
      </c>
      <c r="C73" s="479" t="s">
        <v>495</v>
      </c>
      <c r="D73" s="480"/>
      <c r="E73" s="480"/>
      <c r="F73" s="480"/>
      <c r="G73" s="480">
        <f>D72*$J$73</f>
        <v>405.9194739864331</v>
      </c>
      <c r="H73" s="480">
        <f t="shared" ref="H73" si="8">E72*$J$73</f>
        <v>53.891237660248947</v>
      </c>
      <c r="I73" s="480">
        <f>H73*'Duke new Measures'!D15/'Duke new Measures'!C15</f>
        <v>37.676292255392546</v>
      </c>
      <c r="J73" s="294">
        <f>M72*M73</f>
        <v>0.25075022175809114</v>
      </c>
      <c r="K73" s="239" t="s">
        <v>499</v>
      </c>
      <c r="M73" s="296">
        <v>0.27</v>
      </c>
      <c r="N73" s="239" t="s">
        <v>514</v>
      </c>
    </row>
    <row r="74" spans="2:15" ht="15.75" thickBot="1">
      <c r="B74" s="276"/>
      <c r="C74" s="279"/>
      <c r="D74" s="278"/>
      <c r="E74" s="278"/>
      <c r="F74" s="278"/>
      <c r="G74" s="278"/>
      <c r="H74" s="278"/>
      <c r="I74" s="278"/>
      <c r="J74" s="293"/>
    </row>
    <row r="75" spans="2:15">
      <c r="B75" s="264"/>
      <c r="C75" s="265"/>
      <c r="D75" s="265"/>
      <c r="E75" s="265" t="s">
        <v>473</v>
      </c>
      <c r="F75" s="265" t="s">
        <v>474</v>
      </c>
      <c r="G75" s="265"/>
      <c r="H75" s="265" t="s">
        <v>473</v>
      </c>
      <c r="I75" s="265" t="s">
        <v>474</v>
      </c>
      <c r="J75" s="266"/>
    </row>
    <row r="76" spans="2:15">
      <c r="B76" s="283" t="s">
        <v>87</v>
      </c>
      <c r="C76" s="284"/>
      <c r="D76" s="284" t="s">
        <v>475</v>
      </c>
      <c r="E76" s="284" t="s">
        <v>475</v>
      </c>
      <c r="F76" s="284" t="s">
        <v>475</v>
      </c>
      <c r="G76" s="284" t="s">
        <v>418</v>
      </c>
      <c r="H76" s="284" t="s">
        <v>418</v>
      </c>
      <c r="I76" s="284" t="s">
        <v>418</v>
      </c>
      <c r="J76" s="285"/>
    </row>
    <row r="77" spans="2:15" ht="15.75" thickBot="1">
      <c r="B77" s="268" t="s">
        <v>417</v>
      </c>
      <c r="C77" s="269" t="s">
        <v>87</v>
      </c>
      <c r="D77" s="269" t="s">
        <v>388</v>
      </c>
      <c r="E77" s="269" t="s">
        <v>389</v>
      </c>
      <c r="F77" s="269" t="s">
        <v>389</v>
      </c>
      <c r="G77" s="269" t="s">
        <v>388</v>
      </c>
      <c r="H77" s="269" t="s">
        <v>389</v>
      </c>
      <c r="I77" s="269" t="s">
        <v>389</v>
      </c>
      <c r="J77" s="270" t="s">
        <v>476</v>
      </c>
    </row>
    <row r="78" spans="2:15">
      <c r="B78" s="276">
        <v>350</v>
      </c>
      <c r="C78" s="277" t="s">
        <v>493</v>
      </c>
      <c r="D78" s="273">
        <f>D63</f>
        <v>247.69</v>
      </c>
      <c r="E78" s="273">
        <f t="shared" ref="E78:F78" si="9">E63</f>
        <v>32.92</v>
      </c>
      <c r="F78" s="273">
        <f t="shared" si="9"/>
        <v>0</v>
      </c>
      <c r="G78" s="274"/>
      <c r="H78" s="274"/>
      <c r="I78" s="274"/>
      <c r="J78" s="293"/>
      <c r="M78" s="303">
        <v>787.65</v>
      </c>
      <c r="N78" s="239" t="s">
        <v>511</v>
      </c>
      <c r="O78" s="239" t="s">
        <v>509</v>
      </c>
    </row>
    <row r="79" spans="2:15">
      <c r="B79" s="276">
        <v>351</v>
      </c>
      <c r="C79" s="277" t="s">
        <v>497</v>
      </c>
      <c r="D79" s="278"/>
      <c r="E79" s="278"/>
      <c r="F79" s="278"/>
      <c r="G79" s="278">
        <f>G64*$J$79</f>
        <v>15</v>
      </c>
      <c r="H79" s="278">
        <f>H64*$J$79</f>
        <v>2.25</v>
      </c>
      <c r="I79" s="278">
        <f>I64*$J$79</f>
        <v>0</v>
      </c>
      <c r="J79" s="288">
        <v>0.75</v>
      </c>
      <c r="K79" s="239" t="s">
        <v>498</v>
      </c>
      <c r="M79" s="303">
        <v>808.92</v>
      </c>
      <c r="N79" s="239" t="s">
        <v>512</v>
      </c>
    </row>
    <row r="80" spans="2:15">
      <c r="B80" s="289"/>
      <c r="C80" s="290" t="s">
        <v>481</v>
      </c>
      <c r="D80" s="291">
        <f>D78-G79</f>
        <v>232.69</v>
      </c>
      <c r="E80" s="291">
        <f t="shared" ref="E80" si="10">E78-H79</f>
        <v>30.67</v>
      </c>
      <c r="F80" s="291">
        <f t="shared" ref="F80" si="11">F78-I79</f>
        <v>0</v>
      </c>
      <c r="G80" s="292"/>
      <c r="H80" s="292"/>
      <c r="I80" s="292"/>
      <c r="J80" s="293"/>
      <c r="M80" s="304">
        <f>M79/M78</f>
        <v>1.0270043801180728</v>
      </c>
      <c r="N80" s="239" t="s">
        <v>508</v>
      </c>
    </row>
    <row r="81" spans="2:15">
      <c r="B81" s="478">
        <v>351</v>
      </c>
      <c r="C81" s="479" t="s">
        <v>494</v>
      </c>
      <c r="D81" s="480"/>
      <c r="E81" s="480"/>
      <c r="F81" s="480"/>
      <c r="G81" s="480">
        <f>D80*$J$81</f>
        <v>11.948682460483719</v>
      </c>
      <c r="H81" s="480">
        <f t="shared" ref="H81" si="12">E80*$J$81</f>
        <v>1.5749112169110648</v>
      </c>
      <c r="I81" s="480">
        <f>H81*'Duke new Measures'!D14/'Duke new Measures'!C14</f>
        <v>1.1010475517136806</v>
      </c>
      <c r="J81" s="294">
        <f>M80*M81</f>
        <v>5.1350219005903641E-2</v>
      </c>
      <c r="K81" s="239" t="s">
        <v>499</v>
      </c>
      <c r="M81" s="296">
        <v>0.05</v>
      </c>
      <c r="N81" s="239" t="s">
        <v>510</v>
      </c>
    </row>
    <row r="82" spans="2:15">
      <c r="B82" s="280"/>
      <c r="C82" s="279"/>
      <c r="D82" s="279"/>
      <c r="E82" s="279"/>
      <c r="F82" s="279"/>
      <c r="G82" s="279"/>
      <c r="H82" s="279"/>
      <c r="I82" s="279"/>
      <c r="J82" s="293"/>
    </row>
    <row r="83" spans="2:15">
      <c r="B83" s="280"/>
      <c r="C83" s="279"/>
      <c r="D83" s="279"/>
      <c r="E83" s="279"/>
      <c r="F83" s="279"/>
      <c r="G83" s="279"/>
      <c r="H83" s="279"/>
      <c r="I83" s="279"/>
      <c r="J83" s="293"/>
    </row>
    <row r="84" spans="2:15" ht="15.75" thickBot="1">
      <c r="B84" s="280"/>
      <c r="C84" s="279"/>
      <c r="D84" s="279"/>
      <c r="E84" s="279"/>
      <c r="F84" s="279"/>
      <c r="G84" s="279"/>
      <c r="H84" s="279"/>
      <c r="I84" s="279"/>
      <c r="J84" s="293"/>
    </row>
    <row r="85" spans="2:15">
      <c r="B85" s="264"/>
      <c r="C85" s="265"/>
      <c r="D85" s="265"/>
      <c r="E85" s="265" t="s">
        <v>473</v>
      </c>
      <c r="F85" s="265" t="s">
        <v>474</v>
      </c>
      <c r="G85" s="265"/>
      <c r="H85" s="265" t="s">
        <v>473</v>
      </c>
      <c r="I85" s="265" t="s">
        <v>474</v>
      </c>
      <c r="J85" s="266"/>
    </row>
    <row r="86" spans="2:15">
      <c r="B86" s="283" t="s">
        <v>87</v>
      </c>
      <c r="C86" s="284"/>
      <c r="D86" s="284" t="s">
        <v>475</v>
      </c>
      <c r="E86" s="284" t="s">
        <v>475</v>
      </c>
      <c r="F86" s="284" t="s">
        <v>475</v>
      </c>
      <c r="G86" s="284" t="s">
        <v>418</v>
      </c>
      <c r="H86" s="284" t="s">
        <v>418</v>
      </c>
      <c r="I86" s="284" t="s">
        <v>418</v>
      </c>
      <c r="J86" s="285"/>
    </row>
    <row r="87" spans="2:15" ht="15.75" thickBot="1">
      <c r="B87" s="268" t="s">
        <v>417</v>
      </c>
      <c r="C87" s="269" t="s">
        <v>87</v>
      </c>
      <c r="D87" s="269" t="s">
        <v>388</v>
      </c>
      <c r="E87" s="269" t="s">
        <v>389</v>
      </c>
      <c r="F87" s="269" t="s">
        <v>389</v>
      </c>
      <c r="G87" s="269" t="s">
        <v>388</v>
      </c>
      <c r="H87" s="269" t="s">
        <v>389</v>
      </c>
      <c r="I87" s="269" t="s">
        <v>389</v>
      </c>
      <c r="J87" s="270" t="s">
        <v>476</v>
      </c>
    </row>
    <row r="88" spans="2:15">
      <c r="B88" s="271">
        <v>950</v>
      </c>
      <c r="C88" s="272" t="s">
        <v>82</v>
      </c>
      <c r="D88" s="279">
        <v>221.01</v>
      </c>
      <c r="E88" s="279">
        <v>27.77</v>
      </c>
      <c r="F88" s="279"/>
      <c r="G88" s="274"/>
      <c r="H88" s="274"/>
      <c r="I88" s="274"/>
      <c r="J88" s="275" t="s">
        <v>478</v>
      </c>
    </row>
    <row r="89" spans="2:15">
      <c r="B89" s="276">
        <v>951</v>
      </c>
      <c r="C89" s="305" t="s">
        <v>83</v>
      </c>
      <c r="D89" s="278"/>
      <c r="E89" s="278"/>
      <c r="F89" s="278"/>
      <c r="G89" s="273">
        <v>26</v>
      </c>
      <c r="H89" s="273">
        <v>3</v>
      </c>
      <c r="I89" s="273"/>
      <c r="J89" s="275" t="s">
        <v>479</v>
      </c>
    </row>
    <row r="90" spans="2:15">
      <c r="B90" s="280"/>
      <c r="C90" s="279"/>
      <c r="D90" s="279"/>
      <c r="E90" s="279"/>
      <c r="F90" s="279"/>
      <c r="G90" s="279"/>
      <c r="H90" s="279"/>
      <c r="I90" s="279"/>
      <c r="J90" s="275"/>
    </row>
    <row r="91" spans="2:15" ht="15.75" thickBot="1">
      <c r="B91" s="280"/>
      <c r="C91" s="279"/>
      <c r="D91" s="279"/>
      <c r="E91" s="279"/>
      <c r="F91" s="279"/>
      <c r="G91" s="279"/>
      <c r="H91" s="279"/>
      <c r="I91" s="279"/>
      <c r="J91" s="275"/>
    </row>
    <row r="92" spans="2:15">
      <c r="B92" s="264"/>
      <c r="C92" s="265"/>
      <c r="D92" s="265"/>
      <c r="E92" s="265" t="s">
        <v>473</v>
      </c>
      <c r="F92" s="265" t="s">
        <v>474</v>
      </c>
      <c r="G92" s="265"/>
      <c r="H92" s="265" t="s">
        <v>473</v>
      </c>
      <c r="I92" s="265" t="s">
        <v>474</v>
      </c>
      <c r="J92" s="266"/>
    </row>
    <row r="93" spans="2:15">
      <c r="B93" s="283" t="s">
        <v>87</v>
      </c>
      <c r="C93" s="284"/>
      <c r="D93" s="284" t="s">
        <v>475</v>
      </c>
      <c r="E93" s="284" t="s">
        <v>475</v>
      </c>
      <c r="F93" s="284" t="s">
        <v>475</v>
      </c>
      <c r="G93" s="284" t="s">
        <v>418</v>
      </c>
      <c r="H93" s="284" t="s">
        <v>418</v>
      </c>
      <c r="I93" s="284" t="s">
        <v>418</v>
      </c>
      <c r="J93" s="285"/>
    </row>
    <row r="94" spans="2:15" ht="15.75" thickBot="1">
      <c r="B94" s="268" t="s">
        <v>417</v>
      </c>
      <c r="C94" s="269" t="s">
        <v>87</v>
      </c>
      <c r="D94" s="269" t="s">
        <v>388</v>
      </c>
      <c r="E94" s="269" t="s">
        <v>389</v>
      </c>
      <c r="F94" s="269" t="s">
        <v>389</v>
      </c>
      <c r="G94" s="269" t="s">
        <v>388</v>
      </c>
      <c r="H94" s="269" t="s">
        <v>389</v>
      </c>
      <c r="I94" s="269" t="s">
        <v>389</v>
      </c>
      <c r="J94" s="270" t="s">
        <v>476</v>
      </c>
    </row>
    <row r="95" spans="2:15">
      <c r="B95" s="276">
        <v>950</v>
      </c>
      <c r="C95" s="272" t="s">
        <v>82</v>
      </c>
      <c r="D95" s="273">
        <f>D88</f>
        <v>221.01</v>
      </c>
      <c r="E95" s="273">
        <f t="shared" ref="E95:F95" si="13">E88</f>
        <v>27.77</v>
      </c>
      <c r="F95" s="273">
        <f t="shared" si="13"/>
        <v>0</v>
      </c>
      <c r="G95" s="274"/>
      <c r="H95" s="274"/>
      <c r="I95" s="274"/>
      <c r="J95" s="293"/>
      <c r="M95" s="303">
        <v>252</v>
      </c>
      <c r="N95" s="239" t="s">
        <v>511</v>
      </c>
      <c r="O95" s="239" t="s">
        <v>509</v>
      </c>
    </row>
    <row r="96" spans="2:15">
      <c r="B96" s="276">
        <v>951</v>
      </c>
      <c r="C96" s="305" t="s">
        <v>83</v>
      </c>
      <c r="D96" s="278"/>
      <c r="E96" s="278"/>
      <c r="F96" s="278"/>
      <c r="G96" s="278">
        <f>G89*$J$96</f>
        <v>26</v>
      </c>
      <c r="H96" s="278">
        <f t="shared" ref="H96:I96" si="14">H89*$J$96</f>
        <v>3</v>
      </c>
      <c r="I96" s="278">
        <f t="shared" si="14"/>
        <v>0</v>
      </c>
      <c r="J96" s="288">
        <v>1</v>
      </c>
      <c r="K96" s="239" t="s">
        <v>498</v>
      </c>
      <c r="M96" s="303">
        <v>250</v>
      </c>
      <c r="N96" s="239" t="s">
        <v>512</v>
      </c>
    </row>
    <row r="97" spans="2:14">
      <c r="B97" s="289"/>
      <c r="C97" s="290" t="s">
        <v>481</v>
      </c>
      <c r="D97" s="291">
        <f>D95-G96</f>
        <v>195.01</v>
      </c>
      <c r="E97" s="291">
        <f t="shared" ref="E97" si="15">E95-H96</f>
        <v>24.77</v>
      </c>
      <c r="F97" s="291">
        <f t="shared" ref="F97" si="16">F95-I96</f>
        <v>0</v>
      </c>
      <c r="G97" s="292"/>
      <c r="H97" s="292"/>
      <c r="I97" s="292"/>
      <c r="J97" s="293"/>
      <c r="M97" s="304">
        <f>M96/M95</f>
        <v>0.99206349206349209</v>
      </c>
      <c r="N97" s="239" t="s">
        <v>508</v>
      </c>
    </row>
    <row r="98" spans="2:14" ht="15.75" thickBot="1">
      <c r="B98" s="483">
        <v>351</v>
      </c>
      <c r="C98" s="484" t="s">
        <v>445</v>
      </c>
      <c r="D98" s="485"/>
      <c r="E98" s="485"/>
      <c r="F98" s="485"/>
      <c r="G98" s="485">
        <f>D97*$J$98</f>
        <v>193.4623015873016</v>
      </c>
      <c r="H98" s="485">
        <f t="shared" ref="H98:I98" si="17">E97*$J$98</f>
        <v>24.573412698412699</v>
      </c>
      <c r="I98" s="485">
        <f t="shared" si="17"/>
        <v>0</v>
      </c>
      <c r="J98" s="306">
        <f>M97</f>
        <v>0.99206349206349209</v>
      </c>
      <c r="K98" s="239" t="s">
        <v>499</v>
      </c>
    </row>
  </sheetData>
  <pageMargins left="0.7" right="0.7" top="0.75" bottom="0.75" header="0.3" footer="0.3"/>
  <pageSetup paperSize="17" scale="70" fitToHeight="41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75"/>
  <sheetViews>
    <sheetView zoomScale="80" zoomScaleNormal="80" workbookViewId="0">
      <selection activeCell="C36" sqref="C36"/>
    </sheetView>
  </sheetViews>
  <sheetFormatPr defaultRowHeight="15.75"/>
  <cols>
    <col min="1" max="1" width="2.85546875" style="486" customWidth="1"/>
    <col min="2" max="2" width="42.140625" style="465" customWidth="1"/>
    <col min="3" max="3" width="55.7109375" style="465" bestFit="1" customWidth="1"/>
    <col min="4" max="5" width="9.140625" style="465"/>
    <col min="6" max="6" width="9.5703125" style="465" bestFit="1" customWidth="1"/>
    <col min="7" max="7" width="10.28515625" style="465" bestFit="1" customWidth="1"/>
    <col min="8" max="8" width="9.28515625" style="465" bestFit="1" customWidth="1"/>
    <col min="9" max="9" width="42" style="465" bestFit="1" customWidth="1"/>
    <col min="10" max="10" width="28.5703125" style="465" hidden="1" customWidth="1"/>
    <col min="11" max="11" width="11.28515625" style="465" bestFit="1" customWidth="1"/>
    <col min="12" max="12" width="10" style="465" bestFit="1" customWidth="1"/>
    <col min="13" max="13" width="17.140625" style="465" bestFit="1" customWidth="1"/>
    <col min="14" max="14" width="12" style="465" customWidth="1"/>
    <col min="15" max="16384" width="9.140625" style="465"/>
  </cols>
  <sheetData>
    <row r="2" spans="2:16" ht="16.5" thickBot="1">
      <c r="B2" s="136" t="s">
        <v>665</v>
      </c>
    </row>
    <row r="3" spans="2:16">
      <c r="B3" s="487"/>
      <c r="C3" s="488"/>
      <c r="D3" s="488"/>
      <c r="E3" s="488" t="s">
        <v>473</v>
      </c>
      <c r="F3" s="488" t="s">
        <v>474</v>
      </c>
      <c r="G3" s="488"/>
      <c r="H3" s="488" t="s">
        <v>473</v>
      </c>
      <c r="I3" s="489" t="s">
        <v>474</v>
      </c>
      <c r="J3" s="490"/>
    </row>
    <row r="4" spans="2:16">
      <c r="B4" s="491" t="s">
        <v>87</v>
      </c>
      <c r="C4" s="492"/>
      <c r="D4" s="492"/>
      <c r="E4" s="492" t="s">
        <v>475</v>
      </c>
      <c r="F4" s="492" t="s">
        <v>475</v>
      </c>
      <c r="G4" s="492" t="s">
        <v>418</v>
      </c>
      <c r="H4" s="492" t="s">
        <v>418</v>
      </c>
      <c r="I4" s="493" t="s">
        <v>418</v>
      </c>
      <c r="J4" s="494"/>
    </row>
    <row r="5" spans="2:16" ht="16.5" thickBot="1">
      <c r="B5" s="495" t="s">
        <v>417</v>
      </c>
      <c r="C5" s="496" t="s">
        <v>87</v>
      </c>
      <c r="D5" s="496" t="s">
        <v>388</v>
      </c>
      <c r="E5" s="496" t="s">
        <v>389</v>
      </c>
      <c r="F5" s="496" t="s">
        <v>389</v>
      </c>
      <c r="G5" s="496" t="s">
        <v>388</v>
      </c>
      <c r="H5" s="496" t="s">
        <v>389</v>
      </c>
      <c r="I5" s="497" t="s">
        <v>389</v>
      </c>
      <c r="J5" s="498" t="s">
        <v>476</v>
      </c>
    </row>
    <row r="6" spans="2:16" ht="15.75" customHeight="1">
      <c r="B6" s="499">
        <v>600</v>
      </c>
      <c r="C6" s="500" t="s">
        <v>113</v>
      </c>
      <c r="D6" s="501">
        <f>197.51*Commercial!K88</f>
        <v>194.71692929292928</v>
      </c>
      <c r="E6" s="502">
        <f>0.2/1.62*D6</f>
        <v>24.039127073201144</v>
      </c>
      <c r="F6" s="503">
        <f>0.3/1.62*D6</f>
        <v>36.058690609801715</v>
      </c>
      <c r="G6" s="504"/>
      <c r="H6" s="505"/>
      <c r="I6" s="506"/>
      <c r="J6" s="311" t="s">
        <v>579</v>
      </c>
    </row>
    <row r="7" spans="2:16" ht="15.75" customHeight="1">
      <c r="B7" s="499">
        <v>603</v>
      </c>
      <c r="C7" s="500" t="s">
        <v>111</v>
      </c>
      <c r="D7" s="501"/>
      <c r="E7" s="454"/>
      <c r="F7" s="454"/>
      <c r="G7" s="504">
        <f>Commercial!M88</f>
        <v>49.708076852023147</v>
      </c>
      <c r="H7" s="504">
        <f>Commercial!N88</f>
        <v>6.108576033872283E-2</v>
      </c>
      <c r="I7" s="507">
        <f>Commercial!O88</f>
        <v>5.0535109242232714</v>
      </c>
      <c r="J7" s="311"/>
      <c r="L7" s="962" t="s">
        <v>447</v>
      </c>
      <c r="M7" s="962"/>
      <c r="N7" s="962"/>
      <c r="O7" s="962"/>
      <c r="P7" s="962"/>
    </row>
    <row r="8" spans="2:16" ht="15.75" customHeight="1">
      <c r="B8" s="499">
        <v>604</v>
      </c>
      <c r="C8" s="500" t="s">
        <v>110</v>
      </c>
      <c r="D8" s="501"/>
      <c r="E8" s="454"/>
      <c r="F8" s="454"/>
      <c r="G8" s="504">
        <f>Commercial!M89</f>
        <v>0.91684848484848491</v>
      </c>
      <c r="H8" s="504">
        <f>Commercial!N89</f>
        <v>0.22309214164922903</v>
      </c>
      <c r="I8" s="507">
        <f>Commercial!O89</f>
        <v>4.7036035460816576E-2</v>
      </c>
      <c r="J8" s="311"/>
      <c r="L8" s="508">
        <v>2.2000000000000002</v>
      </c>
      <c r="M8" s="311" t="s">
        <v>577</v>
      </c>
      <c r="N8" s="465">
        <v>60</v>
      </c>
      <c r="O8" s="465" t="s">
        <v>574</v>
      </c>
    </row>
    <row r="9" spans="2:16" ht="15.75" customHeight="1">
      <c r="B9" s="499">
        <v>606</v>
      </c>
      <c r="C9" s="500" t="s">
        <v>109</v>
      </c>
      <c r="D9" s="501"/>
      <c r="E9" s="454"/>
      <c r="F9" s="454"/>
      <c r="G9" s="504">
        <f>Commercial!M90</f>
        <v>1.8219752675992031</v>
      </c>
      <c r="H9" s="504">
        <f>Commercial!N90</f>
        <v>9.4217205430255664</v>
      </c>
      <c r="I9" s="507">
        <f>Commercial!O90</f>
        <v>0.19096801614180994</v>
      </c>
      <c r="J9" s="311"/>
      <c r="L9" s="508">
        <v>0.5</v>
      </c>
      <c r="M9" s="311" t="s">
        <v>578</v>
      </c>
      <c r="N9" s="465">
        <v>70</v>
      </c>
      <c r="O9" s="465" t="s">
        <v>575</v>
      </c>
    </row>
    <row r="10" spans="2:16" ht="15.75" customHeight="1">
      <c r="B10" s="499">
        <v>608</v>
      </c>
      <c r="C10" s="500" t="s">
        <v>108</v>
      </c>
      <c r="D10" s="501"/>
      <c r="E10" s="454"/>
      <c r="F10" s="454"/>
      <c r="G10" s="504">
        <f>Commercial!M91</f>
        <v>72.669984961636885</v>
      </c>
      <c r="H10" s="504">
        <f>Commercial!N91</f>
        <v>1.3288823047484137</v>
      </c>
      <c r="I10" s="507">
        <f>Commercial!O91</f>
        <v>6.3199994845312402</v>
      </c>
      <c r="J10" s="311"/>
      <c r="L10" s="509">
        <f>(L8-L9)/L8</f>
        <v>0.77272727272727271</v>
      </c>
      <c r="M10" s="311" t="s">
        <v>573</v>
      </c>
      <c r="N10" s="510">
        <f>N8/N9</f>
        <v>0.8571428571428571</v>
      </c>
      <c r="O10" s="465" t="s">
        <v>576</v>
      </c>
    </row>
    <row r="11" spans="2:16">
      <c r="B11" s="499">
        <v>609</v>
      </c>
      <c r="C11" s="500" t="s">
        <v>59</v>
      </c>
      <c r="D11" s="454"/>
      <c r="E11" s="454"/>
      <c r="F11" s="454"/>
      <c r="G11" s="504">
        <f>Commercial!M92</f>
        <v>9.9270602391163241</v>
      </c>
      <c r="H11" s="504">
        <f>Commercial!N92</f>
        <v>5.1095088312984739E-2</v>
      </c>
      <c r="I11" s="507">
        <f>Commercial!O92</f>
        <v>1.0072612126013119</v>
      </c>
      <c r="L11" s="511">
        <f>L10*N10</f>
        <v>0.66233766233766234</v>
      </c>
      <c r="M11" s="512" t="s">
        <v>581</v>
      </c>
    </row>
    <row r="12" spans="2:16" ht="16.5" thickBot="1">
      <c r="B12" s="499">
        <v>610</v>
      </c>
      <c r="C12" s="500" t="s">
        <v>107</v>
      </c>
      <c r="D12" s="454"/>
      <c r="E12" s="454"/>
      <c r="F12" s="454"/>
      <c r="G12" s="504">
        <f>Commercial!M93</f>
        <v>0.38437543867589019</v>
      </c>
      <c r="H12" s="504">
        <f>Commercial!N93</f>
        <v>3.6216746883958915</v>
      </c>
      <c r="I12" s="507">
        <f>Commercial!O93</f>
        <v>3.9343218000998249E-2</v>
      </c>
    </row>
    <row r="13" spans="2:16">
      <c r="B13" s="487"/>
      <c r="C13" s="488"/>
      <c r="D13" s="488"/>
      <c r="E13" s="488" t="s">
        <v>473</v>
      </c>
      <c r="F13" s="488" t="s">
        <v>474</v>
      </c>
      <c r="G13" s="488"/>
      <c r="H13" s="488" t="s">
        <v>473</v>
      </c>
      <c r="I13" s="489" t="s">
        <v>474</v>
      </c>
      <c r="J13" s="490"/>
      <c r="L13" s="962" t="s">
        <v>451</v>
      </c>
      <c r="M13" s="962"/>
      <c r="N13" s="962"/>
      <c r="O13" s="962"/>
      <c r="P13" s="962"/>
    </row>
    <row r="14" spans="2:16">
      <c r="B14" s="491" t="s">
        <v>87</v>
      </c>
      <c r="C14" s="492"/>
      <c r="D14" s="492" t="s">
        <v>475</v>
      </c>
      <c r="E14" s="492" t="s">
        <v>475</v>
      </c>
      <c r="F14" s="492" t="s">
        <v>475</v>
      </c>
      <c r="G14" s="492" t="s">
        <v>418</v>
      </c>
      <c r="H14" s="492" t="s">
        <v>418</v>
      </c>
      <c r="I14" s="493" t="s">
        <v>418</v>
      </c>
      <c r="J14" s="494"/>
      <c r="L14" s="508">
        <v>2.2000000000000002</v>
      </c>
      <c r="M14" s="311" t="s">
        <v>577</v>
      </c>
      <c r="N14" s="465">
        <v>60</v>
      </c>
      <c r="O14" s="465" t="s">
        <v>574</v>
      </c>
    </row>
    <row r="15" spans="2:16" ht="16.5" thickBot="1">
      <c r="B15" s="495" t="s">
        <v>417</v>
      </c>
      <c r="C15" s="496" t="s">
        <v>87</v>
      </c>
      <c r="D15" s="496" t="s">
        <v>388</v>
      </c>
      <c r="E15" s="496" t="s">
        <v>389</v>
      </c>
      <c r="F15" s="496" t="s">
        <v>389</v>
      </c>
      <c r="G15" s="496" t="s">
        <v>388</v>
      </c>
      <c r="H15" s="496" t="s">
        <v>389</v>
      </c>
      <c r="I15" s="497" t="s">
        <v>389</v>
      </c>
      <c r="J15" s="498" t="s">
        <v>476</v>
      </c>
      <c r="L15" s="508">
        <v>1</v>
      </c>
      <c r="M15" s="311" t="s">
        <v>578</v>
      </c>
      <c r="N15" s="465">
        <v>70</v>
      </c>
      <c r="O15" s="465" t="s">
        <v>575</v>
      </c>
    </row>
    <row r="16" spans="2:16">
      <c r="B16" s="499" t="s">
        <v>580</v>
      </c>
      <c r="C16" s="500" t="s">
        <v>585</v>
      </c>
      <c r="D16" s="504">
        <f>D6-G7-G8-G9-G10-G11-G12</f>
        <v>59.288608049029342</v>
      </c>
      <c r="E16" s="504">
        <f>E6-H7-H8-H9-H10-H11-H12</f>
        <v>9.331576546730334</v>
      </c>
      <c r="F16" s="504">
        <f t="shared" ref="F16" si="0">F6-I7-I8-I9-I10-I11-I12</f>
        <v>23.400571718842269</v>
      </c>
      <c r="G16" s="505"/>
      <c r="H16" s="505"/>
      <c r="I16" s="592"/>
      <c r="L16" s="509">
        <f>(L14-L15)/L14</f>
        <v>0.54545454545454553</v>
      </c>
      <c r="M16" s="311" t="s">
        <v>573</v>
      </c>
      <c r="N16" s="510">
        <f>N14/N15</f>
        <v>0.8571428571428571</v>
      </c>
      <c r="O16" s="465" t="s">
        <v>576</v>
      </c>
    </row>
    <row r="17" spans="2:17">
      <c r="B17" s="513">
        <v>611</v>
      </c>
      <c r="C17" s="514" t="s">
        <v>855</v>
      </c>
      <c r="D17" s="515"/>
      <c r="E17" s="515"/>
      <c r="F17" s="515"/>
      <c r="G17" s="516">
        <f>D16*L23</f>
        <v>16.169620377008005</v>
      </c>
      <c r="H17" s="516">
        <f t="shared" ref="H17:I17" si="1">E16*$L$11</f>
        <v>6.1806545958863248</v>
      </c>
      <c r="I17" s="593">
        <f t="shared" si="1"/>
        <v>15.499079969622802</v>
      </c>
      <c r="J17" s="517"/>
      <c r="L17" s="511">
        <f>L16*N16</f>
        <v>0.46753246753246758</v>
      </c>
      <c r="M17" s="512" t="s">
        <v>581</v>
      </c>
    </row>
    <row r="18" spans="2:17">
      <c r="B18" s="499" t="s">
        <v>580</v>
      </c>
      <c r="C18" s="500" t="s">
        <v>585</v>
      </c>
      <c r="D18" s="504">
        <f>D16-G17</f>
        <v>43.118987672021333</v>
      </c>
      <c r="E18" s="504">
        <f>E16-H17</f>
        <v>3.1509219508440092</v>
      </c>
      <c r="F18" s="504">
        <f t="shared" ref="F18" si="2">F16-I17</f>
        <v>7.901491749219467</v>
      </c>
      <c r="G18" s="504"/>
      <c r="H18" s="505"/>
      <c r="I18" s="592"/>
      <c r="J18" s="517"/>
      <c r="L18" s="511"/>
      <c r="M18" s="512"/>
    </row>
    <row r="19" spans="2:17">
      <c r="B19" s="513">
        <v>612</v>
      </c>
      <c r="C19" s="514" t="s">
        <v>583</v>
      </c>
      <c r="D19" s="515"/>
      <c r="E19" s="515"/>
      <c r="F19" s="515"/>
      <c r="G19" s="516">
        <f>D18*L17</f>
        <v>20.159526703802182</v>
      </c>
      <c r="H19" s="516">
        <f t="shared" ref="H19:I19" si="3">E18*$L$17</f>
        <v>1.4731583146803162</v>
      </c>
      <c r="I19" s="593">
        <f t="shared" si="3"/>
        <v>3.6942039347000111</v>
      </c>
      <c r="J19" s="517"/>
      <c r="L19" s="962" t="s">
        <v>856</v>
      </c>
      <c r="M19" s="962"/>
      <c r="N19" s="962"/>
      <c r="O19" s="962"/>
      <c r="P19" s="962"/>
    </row>
    <row r="20" spans="2:17">
      <c r="B20" s="499" t="s">
        <v>580</v>
      </c>
      <c r="C20" s="500" t="s">
        <v>585</v>
      </c>
      <c r="D20" s="504">
        <f>D18-G19</f>
        <v>22.959460968219151</v>
      </c>
      <c r="E20" s="504">
        <f t="shared" ref="E20:F20" si="4">E18-H19</f>
        <v>1.677763636163693</v>
      </c>
      <c r="F20" s="504">
        <f t="shared" si="4"/>
        <v>4.2072878145194554</v>
      </c>
      <c r="G20" s="504"/>
      <c r="H20" s="504"/>
      <c r="I20" s="594"/>
      <c r="J20" s="517"/>
      <c r="L20" s="508">
        <v>2.2000000000000002</v>
      </c>
      <c r="M20" s="311" t="s">
        <v>577</v>
      </c>
      <c r="N20" s="465">
        <v>60</v>
      </c>
      <c r="O20" s="465" t="s">
        <v>574</v>
      </c>
    </row>
    <row r="21" spans="2:17">
      <c r="B21" s="513">
        <v>613</v>
      </c>
      <c r="C21" s="514" t="s">
        <v>654</v>
      </c>
      <c r="D21" s="515"/>
      <c r="E21" s="515"/>
      <c r="F21" s="515"/>
      <c r="G21" s="516">
        <f>D20*L11</f>
        <v>15.206915706223073</v>
      </c>
      <c r="H21" s="516">
        <f t="shared" ref="H21:I21" si="5">E20*$L$23</f>
        <v>0.45757190077191634</v>
      </c>
      <c r="I21" s="593">
        <f t="shared" si="5"/>
        <v>1.1474421312325789</v>
      </c>
      <c r="J21" s="517"/>
      <c r="L21" s="508">
        <v>1.5</v>
      </c>
      <c r="M21" s="311" t="s">
        <v>578</v>
      </c>
      <c r="N21" s="465">
        <v>70</v>
      </c>
      <c r="O21" s="465" t="s">
        <v>575</v>
      </c>
    </row>
    <row r="22" spans="2:17">
      <c r="B22" s="518"/>
      <c r="C22" s="454"/>
      <c r="D22" s="505"/>
      <c r="E22" s="505"/>
      <c r="F22" s="505"/>
      <c r="G22" s="505"/>
      <c r="H22" s="505"/>
      <c r="I22" s="592"/>
      <c r="L22" s="509">
        <f>(L20-L21)/L20</f>
        <v>0.31818181818181823</v>
      </c>
      <c r="M22" s="311" t="s">
        <v>573</v>
      </c>
      <c r="N22" s="510">
        <f>N20/N21</f>
        <v>0.8571428571428571</v>
      </c>
      <c r="O22" s="465" t="s">
        <v>576</v>
      </c>
    </row>
    <row r="23" spans="2:17" ht="16.5" thickBot="1">
      <c r="B23" s="518"/>
      <c r="C23" s="454"/>
      <c r="D23" s="505"/>
      <c r="E23" s="505"/>
      <c r="F23" s="505"/>
      <c r="G23" s="505"/>
      <c r="H23" s="505"/>
      <c r="I23" s="592"/>
      <c r="L23" s="511">
        <f>L22*N22</f>
        <v>0.27272727272727276</v>
      </c>
      <c r="M23" s="512" t="s">
        <v>581</v>
      </c>
    </row>
    <row r="24" spans="2:17">
      <c r="B24" s="487"/>
      <c r="C24" s="488"/>
      <c r="D24" s="488"/>
      <c r="E24" s="488" t="s">
        <v>473</v>
      </c>
      <c r="F24" s="488" t="s">
        <v>474</v>
      </c>
      <c r="G24" s="488"/>
      <c r="H24" s="488" t="s">
        <v>473</v>
      </c>
      <c r="I24" s="489" t="s">
        <v>474</v>
      </c>
      <c r="J24" s="490"/>
    </row>
    <row r="25" spans="2:17">
      <c r="B25" s="491" t="s">
        <v>87</v>
      </c>
      <c r="C25" s="492"/>
      <c r="D25" s="492" t="s">
        <v>475</v>
      </c>
      <c r="E25" s="492" t="s">
        <v>475</v>
      </c>
      <c r="F25" s="492" t="s">
        <v>475</v>
      </c>
      <c r="G25" s="492" t="s">
        <v>418</v>
      </c>
      <c r="H25" s="492" t="s">
        <v>418</v>
      </c>
      <c r="I25" s="493" t="s">
        <v>418</v>
      </c>
      <c r="J25" s="494"/>
    </row>
    <row r="26" spans="2:17" ht="16.5" thickBot="1">
      <c r="B26" s="495" t="s">
        <v>417</v>
      </c>
      <c r="C26" s="496" t="s">
        <v>87</v>
      </c>
      <c r="D26" s="496" t="s">
        <v>388</v>
      </c>
      <c r="E26" s="496" t="s">
        <v>389</v>
      </c>
      <c r="F26" s="496" t="s">
        <v>389</v>
      </c>
      <c r="G26" s="496" t="s">
        <v>388</v>
      </c>
      <c r="H26" s="496" t="s">
        <v>389</v>
      </c>
      <c r="I26" s="497" t="s">
        <v>389</v>
      </c>
      <c r="J26" s="498" t="s">
        <v>476</v>
      </c>
    </row>
    <row r="27" spans="2:17">
      <c r="B27" s="499"/>
      <c r="C27" s="500" t="s">
        <v>667</v>
      </c>
      <c r="D27" s="519">
        <f>G28/K28</f>
        <v>119.27651161047351</v>
      </c>
      <c r="E27" s="504">
        <f>3.4/40.75*D27</f>
        <v>9.9519052632051519</v>
      </c>
      <c r="F27" s="519">
        <f>6.6/40.75*D27</f>
        <v>19.318404334457057</v>
      </c>
      <c r="G27" s="505"/>
      <c r="H27" s="505"/>
      <c r="I27" s="506"/>
      <c r="J27" s="465" t="s">
        <v>655</v>
      </c>
    </row>
    <row r="28" spans="2:17">
      <c r="B28" s="499">
        <v>702</v>
      </c>
      <c r="C28" s="500" t="s">
        <v>104</v>
      </c>
      <c r="D28" s="505"/>
      <c r="E28" s="505"/>
      <c r="F28" s="505"/>
      <c r="G28" s="520">
        <f>Commercial!M95</f>
        <v>81.108027895121992</v>
      </c>
      <c r="H28" s="520">
        <f>Commercial!N95</f>
        <v>1.3433721364794422</v>
      </c>
      <c r="I28" s="521">
        <f>Commercial!O95</f>
        <v>16.888223367243445</v>
      </c>
      <c r="K28" s="465">
        <v>0.68</v>
      </c>
      <c r="L28" s="508"/>
      <c r="M28" s="508"/>
      <c r="N28" s="508"/>
      <c r="O28" s="508"/>
      <c r="P28" s="508"/>
      <c r="Q28" s="508"/>
    </row>
    <row r="29" spans="2:17">
      <c r="B29" s="518"/>
      <c r="C29" s="500" t="s">
        <v>585</v>
      </c>
      <c r="D29" s="519">
        <f>D27-G28</f>
        <v>38.168483715351513</v>
      </c>
      <c r="E29" s="504">
        <f>3.4/40.75*D29</f>
        <v>3.1846096842256477</v>
      </c>
      <c r="F29" s="519">
        <f>6.6/40.75*D29</f>
        <v>6.1818893870262563</v>
      </c>
      <c r="G29" s="520"/>
      <c r="H29" s="505"/>
      <c r="I29" s="506"/>
      <c r="J29" s="465" t="s">
        <v>656</v>
      </c>
      <c r="L29" s="508"/>
      <c r="M29" s="508"/>
      <c r="N29" s="508"/>
      <c r="O29" s="508"/>
      <c r="P29" s="508"/>
      <c r="Q29" s="508"/>
    </row>
    <row r="30" spans="2:17">
      <c r="B30" s="522">
        <v>703</v>
      </c>
      <c r="C30" s="523" t="s">
        <v>586</v>
      </c>
      <c r="D30" s="505"/>
      <c r="E30" s="505"/>
      <c r="F30" s="505"/>
      <c r="G30" s="519">
        <f>D29*0.9</f>
        <v>34.351635343816362</v>
      </c>
      <c r="H30" s="519">
        <f t="shared" ref="H30:I30" si="6">E29*0.9</f>
        <v>2.8661487158030829</v>
      </c>
      <c r="I30" s="524">
        <f t="shared" si="6"/>
        <v>5.5637004483236305</v>
      </c>
      <c r="L30" s="508"/>
      <c r="M30" s="508"/>
      <c r="N30" s="508"/>
      <c r="O30" s="508"/>
      <c r="P30" s="508"/>
      <c r="Q30" s="508"/>
    </row>
    <row r="31" spans="2:17" ht="16.5" thickBot="1">
      <c r="B31" s="525"/>
      <c r="C31" s="526"/>
      <c r="D31" s="527"/>
      <c r="E31" s="527"/>
      <c r="F31" s="527"/>
      <c r="G31" s="527"/>
      <c r="H31" s="527"/>
      <c r="I31" s="591"/>
      <c r="L31" s="508"/>
      <c r="M31" s="508"/>
      <c r="N31" s="508"/>
      <c r="O31" s="508"/>
      <c r="P31" s="508"/>
      <c r="Q31" s="508"/>
    </row>
    <row r="32" spans="2:17">
      <c r="L32" s="508"/>
      <c r="M32" s="508"/>
      <c r="N32" s="508"/>
      <c r="O32" s="508"/>
      <c r="P32" s="508"/>
      <c r="Q32" s="508"/>
    </row>
    <row r="33" spans="12:17">
      <c r="L33" s="508"/>
      <c r="M33" s="508"/>
      <c r="N33" s="508"/>
      <c r="O33" s="508"/>
      <c r="P33" s="508"/>
      <c r="Q33" s="508"/>
    </row>
    <row r="34" spans="12:17">
      <c r="L34" s="508"/>
      <c r="M34" s="508"/>
      <c r="N34" s="508"/>
      <c r="O34" s="508"/>
      <c r="P34" s="508"/>
      <c r="Q34" s="508"/>
    </row>
    <row r="35" spans="12:17">
      <c r="L35" s="508"/>
      <c r="M35" s="508"/>
      <c r="N35" s="508"/>
      <c r="O35" s="508"/>
      <c r="P35" s="508"/>
      <c r="Q35" s="508"/>
    </row>
    <row r="36" spans="12:17">
      <c r="L36" s="508"/>
      <c r="M36" s="508"/>
      <c r="N36" s="508"/>
      <c r="O36" s="508"/>
      <c r="P36" s="508"/>
      <c r="Q36" s="508"/>
    </row>
    <row r="37" spans="12:17">
      <c r="L37" s="508"/>
      <c r="M37" s="508"/>
      <c r="N37" s="508"/>
      <c r="O37" s="508"/>
      <c r="P37" s="508"/>
      <c r="Q37" s="508"/>
    </row>
    <row r="38" spans="12:17">
      <c r="L38" s="508"/>
      <c r="M38" s="508"/>
      <c r="N38" s="508"/>
      <c r="O38" s="508"/>
      <c r="P38" s="508"/>
      <c r="Q38" s="508"/>
    </row>
    <row r="39" spans="12:17">
      <c r="L39" s="508"/>
      <c r="M39" s="508"/>
      <c r="N39" s="508"/>
      <c r="O39" s="508"/>
      <c r="P39" s="508"/>
      <c r="Q39" s="508"/>
    </row>
    <row r="40" spans="12:17">
      <c r="L40" s="508"/>
      <c r="M40" s="508"/>
      <c r="N40" s="508"/>
      <c r="O40" s="508"/>
      <c r="P40" s="508"/>
      <c r="Q40" s="508"/>
    </row>
    <row r="41" spans="12:17">
      <c r="L41" s="508"/>
      <c r="M41" s="508"/>
      <c r="N41" s="508"/>
      <c r="O41" s="508"/>
      <c r="P41" s="508"/>
      <c r="Q41" s="508"/>
    </row>
    <row r="42" spans="12:17">
      <c r="L42" s="508"/>
      <c r="M42" s="508"/>
      <c r="N42" s="508"/>
      <c r="O42" s="508"/>
      <c r="P42" s="508"/>
      <c r="Q42" s="508"/>
    </row>
    <row r="43" spans="12:17">
      <c r="L43" s="508"/>
      <c r="M43" s="508"/>
      <c r="N43" s="508"/>
      <c r="O43" s="508"/>
      <c r="P43" s="508"/>
      <c r="Q43" s="508"/>
    </row>
    <row r="44" spans="12:17">
      <c r="L44" s="508"/>
      <c r="M44" s="508"/>
      <c r="N44" s="508"/>
      <c r="O44" s="508"/>
      <c r="P44" s="508"/>
      <c r="Q44" s="508"/>
    </row>
    <row r="45" spans="12:17">
      <c r="L45" s="508"/>
      <c r="M45" s="508"/>
      <c r="N45" s="508"/>
      <c r="O45" s="508"/>
      <c r="P45" s="508"/>
      <c r="Q45" s="508"/>
    </row>
    <row r="46" spans="12:17">
      <c r="L46" s="508"/>
      <c r="M46" s="508"/>
      <c r="N46" s="508"/>
      <c r="O46" s="508"/>
      <c r="P46" s="508"/>
      <c r="Q46" s="508"/>
    </row>
    <row r="47" spans="12:17">
      <c r="L47" s="508"/>
      <c r="M47" s="508"/>
      <c r="N47" s="508"/>
      <c r="O47" s="508"/>
      <c r="P47" s="508"/>
      <c r="Q47" s="508"/>
    </row>
    <row r="48" spans="12:17">
      <c r="L48" s="508"/>
      <c r="M48" s="508"/>
      <c r="N48" s="508"/>
      <c r="O48" s="508"/>
      <c r="P48" s="508"/>
      <c r="Q48" s="508"/>
    </row>
    <row r="49" spans="1:17">
      <c r="L49" s="508"/>
      <c r="M49" s="508"/>
      <c r="N49" s="508"/>
      <c r="O49" s="508"/>
      <c r="P49" s="508"/>
      <c r="Q49" s="508"/>
    </row>
    <row r="50" spans="1:17">
      <c r="L50" s="508"/>
      <c r="M50" s="508"/>
      <c r="N50" s="508"/>
      <c r="O50" s="508"/>
      <c r="P50" s="508"/>
      <c r="Q50" s="508"/>
    </row>
    <row r="51" spans="1:17">
      <c r="L51" s="508"/>
      <c r="M51" s="508"/>
      <c r="N51" s="508"/>
      <c r="O51" s="508"/>
      <c r="P51" s="508"/>
      <c r="Q51" s="508"/>
    </row>
    <row r="52" spans="1:17">
      <c r="L52" s="508"/>
      <c r="M52" s="508"/>
      <c r="N52" s="508"/>
      <c r="O52" s="508"/>
      <c r="P52" s="508"/>
      <c r="Q52" s="508"/>
    </row>
    <row r="53" spans="1:17">
      <c r="L53" s="508"/>
      <c r="M53" s="311"/>
    </row>
    <row r="54" spans="1:17">
      <c r="L54" s="508"/>
      <c r="M54" s="311"/>
    </row>
    <row r="55" spans="1:17">
      <c r="L55" s="509"/>
      <c r="M55" s="311"/>
      <c r="N55" s="510"/>
    </row>
    <row r="56" spans="1:17">
      <c r="L56" s="511"/>
      <c r="M56" s="512"/>
    </row>
    <row r="57" spans="1:17" ht="16.5" thickBot="1">
      <c r="A57" s="528"/>
      <c r="B57" s="529"/>
      <c r="C57" s="530" t="s">
        <v>566</v>
      </c>
      <c r="D57" s="529"/>
      <c r="E57" s="529"/>
      <c r="F57" s="529"/>
      <c r="G57" s="529"/>
      <c r="H57" s="529"/>
      <c r="I57" s="529"/>
      <c r="J57" s="529"/>
      <c r="K57" s="529"/>
      <c r="L57" s="529"/>
      <c r="M57" s="529"/>
      <c r="N57" s="529"/>
      <c r="O57" s="529"/>
      <c r="P57" s="529"/>
      <c r="Q57" s="529"/>
    </row>
    <row r="58" spans="1:17">
      <c r="A58" s="531"/>
      <c r="B58" s="532"/>
      <c r="C58" s="532"/>
      <c r="D58" s="532" t="s">
        <v>473</v>
      </c>
      <c r="E58" s="532" t="s">
        <v>474</v>
      </c>
      <c r="F58" s="532"/>
      <c r="G58" s="532" t="s">
        <v>473</v>
      </c>
      <c r="H58" s="532" t="s">
        <v>474</v>
      </c>
      <c r="I58" s="533"/>
      <c r="J58" s="311"/>
      <c r="K58" s="311"/>
      <c r="L58" s="311"/>
      <c r="M58" s="311"/>
      <c r="N58" s="311"/>
      <c r="O58" s="311"/>
    </row>
    <row r="59" spans="1:17">
      <c r="A59" s="534" t="s">
        <v>87</v>
      </c>
      <c r="B59" s="535"/>
      <c r="C59" s="535" t="s">
        <v>475</v>
      </c>
      <c r="D59" s="535" t="s">
        <v>475</v>
      </c>
      <c r="E59" s="535" t="s">
        <v>475</v>
      </c>
      <c r="F59" s="535" t="s">
        <v>418</v>
      </c>
      <c r="G59" s="535" t="s">
        <v>418</v>
      </c>
      <c r="H59" s="535" t="s">
        <v>418</v>
      </c>
      <c r="I59" s="536"/>
      <c r="J59" s="311"/>
      <c r="K59" s="311"/>
      <c r="L59" s="311"/>
      <c r="M59" s="311"/>
      <c r="N59" s="311"/>
      <c r="O59" s="311"/>
    </row>
    <row r="60" spans="1:17" ht="16.5" thickBot="1">
      <c r="A60" s="537" t="s">
        <v>417</v>
      </c>
      <c r="B60" s="538" t="s">
        <v>87</v>
      </c>
      <c r="C60" s="538" t="s">
        <v>388</v>
      </c>
      <c r="D60" s="538" t="s">
        <v>389</v>
      </c>
      <c r="E60" s="538" t="s">
        <v>389</v>
      </c>
      <c r="F60" s="538" t="s">
        <v>388</v>
      </c>
      <c r="G60" s="538" t="s">
        <v>389</v>
      </c>
      <c r="H60" s="538" t="s">
        <v>389</v>
      </c>
      <c r="I60" s="539" t="s">
        <v>476</v>
      </c>
      <c r="J60" s="311"/>
      <c r="K60" s="311"/>
      <c r="L60" s="311"/>
      <c r="M60" s="540"/>
      <c r="N60" s="311"/>
      <c r="O60" s="311"/>
    </row>
    <row r="61" spans="1:17">
      <c r="A61" s="541">
        <v>150</v>
      </c>
      <c r="B61" s="542" t="s">
        <v>173</v>
      </c>
      <c r="C61" s="311">
        <v>163.98</v>
      </c>
      <c r="D61" s="512">
        <v>24.1</v>
      </c>
      <c r="E61" s="512">
        <v>22</v>
      </c>
      <c r="F61" s="311"/>
      <c r="G61" s="311"/>
      <c r="H61" s="311"/>
      <c r="I61" s="311" t="s">
        <v>539</v>
      </c>
      <c r="J61" s="311"/>
      <c r="K61" s="543"/>
      <c r="L61" s="311"/>
      <c r="M61" s="311"/>
      <c r="N61" s="311"/>
      <c r="O61" s="311"/>
    </row>
    <row r="62" spans="1:17">
      <c r="A62" s="541">
        <v>151</v>
      </c>
      <c r="B62" s="542" t="s">
        <v>172</v>
      </c>
      <c r="C62" s="544"/>
      <c r="D62" s="311"/>
      <c r="E62" s="311"/>
      <c r="F62" s="545">
        <f>Commercial!M21</f>
        <v>58.248507852956493</v>
      </c>
      <c r="G62" s="545">
        <f>Commercial!N21</f>
        <v>11.627309529667869</v>
      </c>
      <c r="H62" s="545">
        <f>Commercial!O21</f>
        <v>6.5926845033216814</v>
      </c>
      <c r="I62" s="311" t="s">
        <v>538</v>
      </c>
      <c r="J62" s="311"/>
      <c r="K62" s="543"/>
      <c r="L62" s="311"/>
      <c r="M62" s="546"/>
      <c r="N62" s="311"/>
      <c r="O62" s="311"/>
    </row>
    <row r="63" spans="1:17">
      <c r="A63" s="541">
        <v>153</v>
      </c>
      <c r="B63" s="542" t="s">
        <v>562</v>
      </c>
      <c r="C63" s="311"/>
      <c r="D63" s="311"/>
      <c r="E63" s="311"/>
      <c r="F63" s="545">
        <f>Commercial!M22</f>
        <v>50</v>
      </c>
      <c r="G63" s="545">
        <f>Commercial!N22</f>
        <v>5.2165909120949649</v>
      </c>
      <c r="H63" s="545">
        <f>Commercial!O22</f>
        <v>0</v>
      </c>
      <c r="I63" s="311" t="s">
        <v>538</v>
      </c>
      <c r="J63" s="311"/>
      <c r="K63" s="543" t="s">
        <v>659</v>
      </c>
      <c r="L63" s="311"/>
      <c r="M63" s="311">
        <f>(200-83)/400</f>
        <v>0.29249999999999998</v>
      </c>
      <c r="N63" s="311">
        <f>M63*C61</f>
        <v>47.964149999999997</v>
      </c>
      <c r="O63" s="311"/>
    </row>
    <row r="64" spans="1:17">
      <c r="A64" s="541"/>
      <c r="B64" s="547" t="s">
        <v>481</v>
      </c>
      <c r="C64" s="544">
        <f>C61-F62-F63</f>
        <v>55.731492147043497</v>
      </c>
      <c r="D64" s="544">
        <f>D61-G62-G63</f>
        <v>7.2560995582371675</v>
      </c>
      <c r="E64" s="544">
        <f>E61-H62-H63</f>
        <v>15.407315496678319</v>
      </c>
      <c r="F64" s="545"/>
      <c r="G64" s="545"/>
      <c r="H64" s="545"/>
      <c r="I64" s="311"/>
      <c r="J64" s="311"/>
      <c r="K64" s="543" t="s">
        <v>657</v>
      </c>
      <c r="L64" s="311"/>
      <c r="M64" s="311"/>
      <c r="N64" s="311"/>
      <c r="O64" s="311"/>
    </row>
    <row r="65" spans="1:16">
      <c r="A65" s="548">
        <v>154</v>
      </c>
      <c r="B65" s="549" t="s">
        <v>553</v>
      </c>
      <c r="C65" s="550"/>
      <c r="D65" s="550"/>
      <c r="E65" s="550"/>
      <c r="F65" s="550">
        <f>C64*$M$63</f>
        <v>16.301461453010223</v>
      </c>
      <c r="G65" s="550">
        <f t="shared" ref="G65:H65" si="7">D64*$M$63</f>
        <v>2.1224091207843712</v>
      </c>
      <c r="H65" s="550">
        <f t="shared" si="7"/>
        <v>4.5066397827784082</v>
      </c>
      <c r="I65" s="543"/>
      <c r="J65" s="543"/>
      <c r="K65" s="543" t="s">
        <v>658</v>
      </c>
      <c r="L65" s="311"/>
      <c r="M65" s="311"/>
      <c r="N65" s="311"/>
      <c r="O65" s="311"/>
    </row>
    <row r="66" spans="1:16">
      <c r="A66" s="548"/>
      <c r="B66" s="549"/>
      <c r="C66" s="544">
        <f>C64-F65</f>
        <v>39.430030694033277</v>
      </c>
      <c r="D66" s="311"/>
      <c r="E66" s="311"/>
      <c r="F66" s="311"/>
      <c r="G66" s="311"/>
      <c r="H66" s="311"/>
      <c r="I66" s="311"/>
      <c r="J66" s="311"/>
      <c r="K66" s="311"/>
      <c r="L66" s="311"/>
      <c r="M66" s="311"/>
      <c r="N66" s="311"/>
      <c r="O66" s="311"/>
    </row>
    <row r="67" spans="1:16" ht="16.5" thickBot="1">
      <c r="A67" s="541"/>
      <c r="B67" s="311"/>
      <c r="C67" s="311"/>
      <c r="D67" s="311"/>
      <c r="E67" s="311"/>
      <c r="F67" s="311"/>
      <c r="G67" s="311"/>
      <c r="H67" s="311"/>
      <c r="I67" s="311"/>
      <c r="J67" s="311"/>
      <c r="K67" s="311"/>
      <c r="L67" s="311"/>
      <c r="M67" s="311"/>
      <c r="N67" s="311"/>
      <c r="O67" s="311"/>
    </row>
    <row r="68" spans="1:16">
      <c r="A68" s="531"/>
      <c r="B68" s="532"/>
      <c r="C68" s="532"/>
      <c r="D68" s="532" t="s">
        <v>473</v>
      </c>
      <c r="E68" s="532" t="s">
        <v>474</v>
      </c>
      <c r="F68" s="532"/>
      <c r="G68" s="532" t="s">
        <v>473</v>
      </c>
      <c r="H68" s="532" t="s">
        <v>474</v>
      </c>
      <c r="I68" s="533"/>
      <c r="J68" s="311"/>
      <c r="K68" s="311"/>
      <c r="L68" s="311"/>
      <c r="M68" s="311"/>
      <c r="N68" s="311"/>
      <c r="O68" s="311"/>
    </row>
    <row r="69" spans="1:16">
      <c r="A69" s="534" t="s">
        <v>87</v>
      </c>
      <c r="B69" s="535"/>
      <c r="C69" s="535" t="s">
        <v>475</v>
      </c>
      <c r="D69" s="535" t="s">
        <v>475</v>
      </c>
      <c r="E69" s="535" t="s">
        <v>475</v>
      </c>
      <c r="F69" s="535" t="s">
        <v>418</v>
      </c>
      <c r="G69" s="535" t="s">
        <v>418</v>
      </c>
      <c r="H69" s="535" t="s">
        <v>418</v>
      </c>
      <c r="I69" s="536"/>
      <c r="J69" s="311"/>
      <c r="K69" s="311"/>
      <c r="L69" s="311"/>
      <c r="M69" s="311"/>
      <c r="N69" s="311"/>
      <c r="O69" s="311"/>
    </row>
    <row r="70" spans="1:16" ht="16.5" thickBot="1">
      <c r="A70" s="537" t="s">
        <v>417</v>
      </c>
      <c r="B70" s="538" t="s">
        <v>87</v>
      </c>
      <c r="C70" s="538" t="s">
        <v>388</v>
      </c>
      <c r="D70" s="538" t="s">
        <v>389</v>
      </c>
      <c r="E70" s="538" t="s">
        <v>389</v>
      </c>
      <c r="F70" s="538" t="s">
        <v>388</v>
      </c>
      <c r="G70" s="538" t="s">
        <v>389</v>
      </c>
      <c r="H70" s="538" t="s">
        <v>389</v>
      </c>
      <c r="I70" s="539" t="s">
        <v>476</v>
      </c>
      <c r="J70" s="311"/>
      <c r="K70" s="551" t="s">
        <v>530</v>
      </c>
      <c r="L70" s="543"/>
      <c r="M70" s="543">
        <f>(17-14)/75</f>
        <v>0.04</v>
      </c>
      <c r="N70" s="311"/>
      <c r="O70" s="546"/>
      <c r="P70" s="552"/>
    </row>
    <row r="71" spans="1:16">
      <c r="A71" s="541">
        <v>130</v>
      </c>
      <c r="B71" s="542" t="s">
        <v>178</v>
      </c>
      <c r="C71" s="311">
        <v>988.2</v>
      </c>
      <c r="D71" s="512">
        <v>118.3</v>
      </c>
      <c r="E71" s="512">
        <v>110.1</v>
      </c>
      <c r="F71" s="311"/>
      <c r="G71" s="311"/>
      <c r="H71" s="311"/>
      <c r="I71" s="311" t="s">
        <v>560</v>
      </c>
      <c r="J71" s="311"/>
      <c r="K71" s="543" t="s">
        <v>489</v>
      </c>
      <c r="L71" s="543" t="s">
        <v>559</v>
      </c>
      <c r="M71" s="543"/>
      <c r="N71" s="311"/>
      <c r="O71" s="311"/>
    </row>
    <row r="72" spans="1:16">
      <c r="A72" s="541">
        <v>131</v>
      </c>
      <c r="B72" s="542" t="s">
        <v>177</v>
      </c>
      <c r="C72" s="311"/>
      <c r="D72" s="311"/>
      <c r="E72" s="311"/>
      <c r="F72" s="545">
        <v>326.63</v>
      </c>
      <c r="G72" s="545">
        <v>62.9</v>
      </c>
      <c r="H72" s="553">
        <v>33.700000000000003</v>
      </c>
      <c r="I72" s="311" t="s">
        <v>558</v>
      </c>
      <c r="J72" s="311"/>
      <c r="K72" s="543"/>
      <c r="L72" s="543" t="s">
        <v>557</v>
      </c>
      <c r="M72" s="543"/>
      <c r="N72" s="311"/>
      <c r="O72" s="311"/>
    </row>
    <row r="73" spans="1:16">
      <c r="A73" s="541"/>
      <c r="B73" s="554" t="s">
        <v>481</v>
      </c>
      <c r="C73" s="555">
        <f>C71-F72</f>
        <v>661.57</v>
      </c>
      <c r="D73" s="555">
        <f>D71-G72</f>
        <v>55.4</v>
      </c>
      <c r="E73" s="555">
        <f>E71-H72</f>
        <v>76.399999999999991</v>
      </c>
      <c r="F73" s="545"/>
      <c r="G73" s="545"/>
      <c r="H73" s="545"/>
      <c r="I73" s="311"/>
      <c r="J73" s="311"/>
      <c r="K73" s="543"/>
      <c r="L73" s="543" t="s">
        <v>556</v>
      </c>
      <c r="M73" s="543"/>
      <c r="N73" s="311"/>
      <c r="O73" s="311"/>
    </row>
    <row r="74" spans="1:16">
      <c r="A74" s="548">
        <v>132</v>
      </c>
      <c r="B74" s="549" t="s">
        <v>555</v>
      </c>
      <c r="C74" s="556"/>
      <c r="D74" s="556"/>
      <c r="E74" s="556"/>
      <c r="F74" s="550">
        <f>C73*$M$70</f>
        <v>26.462800000000001</v>
      </c>
      <c r="G74" s="550">
        <f t="shared" ref="G74:H74" si="8">D73*$M$70</f>
        <v>2.2160000000000002</v>
      </c>
      <c r="H74" s="550">
        <f t="shared" si="8"/>
        <v>3.0559999999999996</v>
      </c>
      <c r="I74" s="543"/>
      <c r="J74" s="543"/>
      <c r="K74" s="543"/>
      <c r="L74" s="543" t="s">
        <v>554</v>
      </c>
      <c r="M74" s="543"/>
      <c r="N74" s="311"/>
      <c r="O74" s="311"/>
    </row>
    <row r="75" spans="1:16" ht="16.5" thickBot="1">
      <c r="A75" s="541"/>
      <c r="B75" s="311"/>
      <c r="C75" s="311"/>
      <c r="D75" s="311"/>
      <c r="E75" s="311"/>
      <c r="F75" s="311"/>
      <c r="G75" s="311"/>
      <c r="H75" s="311"/>
      <c r="I75" s="311"/>
      <c r="J75" s="311"/>
      <c r="K75" s="311"/>
      <c r="L75" s="311"/>
      <c r="M75" s="311"/>
      <c r="N75" s="311"/>
      <c r="O75" s="311"/>
    </row>
    <row r="76" spans="1:16">
      <c r="A76" s="531"/>
      <c r="B76" s="532"/>
      <c r="C76" s="532"/>
      <c r="D76" s="532" t="s">
        <v>473</v>
      </c>
      <c r="E76" s="532" t="s">
        <v>474</v>
      </c>
      <c r="F76" s="532"/>
      <c r="G76" s="532" t="s">
        <v>473</v>
      </c>
      <c r="H76" s="532" t="s">
        <v>474</v>
      </c>
      <c r="I76" s="533"/>
      <c r="J76" s="311"/>
      <c r="K76" s="311"/>
      <c r="L76" s="311"/>
      <c r="M76" s="311"/>
      <c r="N76" s="311"/>
      <c r="O76" s="311"/>
    </row>
    <row r="77" spans="1:16">
      <c r="A77" s="534" t="s">
        <v>87</v>
      </c>
      <c r="B77" s="535"/>
      <c r="C77" s="535" t="s">
        <v>475</v>
      </c>
      <c r="D77" s="535" t="s">
        <v>475</v>
      </c>
      <c r="E77" s="535" t="s">
        <v>475</v>
      </c>
      <c r="F77" s="535" t="s">
        <v>418</v>
      </c>
      <c r="G77" s="535" t="s">
        <v>418</v>
      </c>
      <c r="H77" s="535" t="s">
        <v>418</v>
      </c>
      <c r="I77" s="536"/>
      <c r="J77" s="311"/>
      <c r="K77" s="311"/>
      <c r="L77" s="311"/>
      <c r="M77" s="311"/>
      <c r="N77" s="311"/>
      <c r="O77" s="311"/>
    </row>
    <row r="78" spans="1:16" ht="16.5" thickBot="1">
      <c r="A78" s="537" t="s">
        <v>417</v>
      </c>
      <c r="B78" s="538" t="s">
        <v>87</v>
      </c>
      <c r="C78" s="538" t="s">
        <v>388</v>
      </c>
      <c r="D78" s="538" t="s">
        <v>389</v>
      </c>
      <c r="E78" s="538" t="s">
        <v>389</v>
      </c>
      <c r="F78" s="538" t="s">
        <v>388</v>
      </c>
      <c r="G78" s="538" t="s">
        <v>389</v>
      </c>
      <c r="H78" s="538" t="s">
        <v>389</v>
      </c>
      <c r="I78" s="539" t="s">
        <v>476</v>
      </c>
      <c r="J78" s="311"/>
      <c r="K78" s="311"/>
      <c r="L78" s="311"/>
      <c r="M78" s="311"/>
      <c r="N78" s="311"/>
      <c r="O78" s="311"/>
    </row>
    <row r="79" spans="1:16">
      <c r="A79" s="541">
        <v>200</v>
      </c>
      <c r="B79" s="542" t="s">
        <v>167</v>
      </c>
      <c r="C79" s="555">
        <v>249.68</v>
      </c>
      <c r="D79" s="512">
        <v>14.1</v>
      </c>
      <c r="E79" s="512">
        <v>6</v>
      </c>
      <c r="F79" s="311"/>
      <c r="G79" s="311"/>
      <c r="H79" s="311"/>
      <c r="I79" s="311" t="s">
        <v>539</v>
      </c>
      <c r="J79" s="311"/>
      <c r="K79" s="311"/>
      <c r="L79" s="311"/>
      <c r="M79" s="311"/>
      <c r="N79" s="311"/>
      <c r="O79" s="311"/>
    </row>
    <row r="80" spans="1:16">
      <c r="A80" s="541">
        <v>202</v>
      </c>
      <c r="B80" s="542" t="s">
        <v>164</v>
      </c>
      <c r="C80" s="311"/>
      <c r="D80" s="311"/>
      <c r="E80" s="311"/>
      <c r="F80" s="553">
        <v>5.49</v>
      </c>
      <c r="G80" s="553">
        <v>0.4</v>
      </c>
      <c r="H80" s="553">
        <v>0.2</v>
      </c>
      <c r="I80" s="311" t="s">
        <v>538</v>
      </c>
      <c r="J80" s="311"/>
      <c r="K80" s="551" t="s">
        <v>530</v>
      </c>
      <c r="L80" s="543"/>
      <c r="M80" s="543"/>
      <c r="N80" s="311"/>
      <c r="O80" s="311"/>
    </row>
    <row r="81" spans="1:15">
      <c r="A81" s="541">
        <v>201</v>
      </c>
      <c r="B81" s="542" t="s">
        <v>166</v>
      </c>
      <c r="C81" s="311"/>
      <c r="D81" s="311"/>
      <c r="E81" s="311"/>
      <c r="F81" s="553">
        <v>68.2</v>
      </c>
      <c r="G81" s="553">
        <v>4.8</v>
      </c>
      <c r="H81" s="553">
        <v>2.1</v>
      </c>
      <c r="I81" s="311" t="s">
        <v>538</v>
      </c>
      <c r="J81" s="311"/>
      <c r="K81" s="557">
        <f>(400-250)/400</f>
        <v>0.375</v>
      </c>
      <c r="L81" s="543"/>
      <c r="M81" s="543"/>
      <c r="N81" s="311"/>
      <c r="O81" s="311"/>
    </row>
    <row r="82" spans="1:15">
      <c r="A82" s="541"/>
      <c r="B82" s="554" t="s">
        <v>481</v>
      </c>
      <c r="C82" s="544">
        <f>C79-F80-F81</f>
        <v>175.99</v>
      </c>
      <c r="D82" s="544">
        <f>D79-G80-G81</f>
        <v>8.8999999999999986</v>
      </c>
      <c r="E82" s="544">
        <f>E79-H80-H81</f>
        <v>3.6999999999999997</v>
      </c>
      <c r="F82" s="311"/>
      <c r="G82" s="311"/>
      <c r="H82" s="311"/>
      <c r="I82" s="311"/>
      <c r="J82" s="311"/>
      <c r="K82" s="557">
        <f>(400-104)/400</f>
        <v>0.74</v>
      </c>
      <c r="L82" s="543"/>
      <c r="M82" s="543"/>
      <c r="N82" s="311"/>
      <c r="O82" s="311"/>
    </row>
    <row r="83" spans="1:15">
      <c r="A83" s="548">
        <v>203</v>
      </c>
      <c r="B83" s="551" t="s">
        <v>561</v>
      </c>
      <c r="C83" s="556"/>
      <c r="D83" s="556"/>
      <c r="E83" s="556"/>
      <c r="F83" s="558">
        <f>C82*$K$83</f>
        <v>64.236350000000002</v>
      </c>
      <c r="G83" s="558">
        <f>D82*$K$83</f>
        <v>3.2484999999999995</v>
      </c>
      <c r="H83" s="558">
        <f>E82*$K$83</f>
        <v>1.3504999999999998</v>
      </c>
      <c r="I83" s="543"/>
      <c r="J83" s="543"/>
      <c r="K83" s="559">
        <f>K82-K81</f>
        <v>0.36499999999999999</v>
      </c>
      <c r="L83" s="543"/>
      <c r="M83" s="543"/>
      <c r="N83" s="311"/>
      <c r="O83" s="311"/>
    </row>
    <row r="84" spans="1:15">
      <c r="A84" s="541"/>
      <c r="B84" s="311"/>
      <c r="C84" s="311"/>
      <c r="D84" s="311"/>
      <c r="E84" s="311"/>
      <c r="F84" s="311"/>
      <c r="G84" s="311"/>
      <c r="H84" s="311"/>
      <c r="I84" s="311"/>
      <c r="J84" s="311"/>
      <c r="K84" s="311"/>
      <c r="L84" s="311"/>
      <c r="M84" s="311"/>
      <c r="N84" s="311"/>
      <c r="O84" s="311"/>
    </row>
    <row r="85" spans="1:15" ht="16.5" thickBot="1">
      <c r="A85" s="541"/>
      <c r="B85" s="311"/>
      <c r="C85" s="311"/>
      <c r="D85" s="311"/>
      <c r="E85" s="311"/>
      <c r="F85" s="311"/>
      <c r="G85" s="311"/>
      <c r="H85" s="311"/>
      <c r="I85" s="311"/>
      <c r="J85" s="311"/>
      <c r="K85" s="311"/>
      <c r="L85" s="311"/>
      <c r="M85" s="311"/>
      <c r="N85" s="311"/>
      <c r="O85" s="311"/>
    </row>
    <row r="86" spans="1:15">
      <c r="A86" s="531"/>
      <c r="B86" s="532"/>
      <c r="C86" s="532"/>
      <c r="D86" s="532" t="s">
        <v>473</v>
      </c>
      <c r="E86" s="532" t="s">
        <v>474</v>
      </c>
      <c r="F86" s="532"/>
      <c r="G86" s="532" t="s">
        <v>473</v>
      </c>
      <c r="H86" s="532" t="s">
        <v>474</v>
      </c>
      <c r="I86" s="533"/>
      <c r="J86" s="311"/>
      <c r="K86" s="311"/>
      <c r="L86" s="311"/>
      <c r="M86" s="311"/>
      <c r="N86" s="311"/>
      <c r="O86" s="311"/>
    </row>
    <row r="87" spans="1:15">
      <c r="A87" s="534" t="s">
        <v>87</v>
      </c>
      <c r="B87" s="535"/>
      <c r="C87" s="535" t="s">
        <v>475</v>
      </c>
      <c r="D87" s="535" t="s">
        <v>475</v>
      </c>
      <c r="E87" s="535" t="s">
        <v>475</v>
      </c>
      <c r="F87" s="535" t="s">
        <v>418</v>
      </c>
      <c r="G87" s="535" t="s">
        <v>418</v>
      </c>
      <c r="H87" s="535" t="s">
        <v>418</v>
      </c>
      <c r="I87" s="536"/>
      <c r="J87" s="311"/>
      <c r="K87" s="311"/>
      <c r="L87" s="311"/>
      <c r="M87" s="311"/>
      <c r="N87" s="311"/>
      <c r="O87" s="311"/>
    </row>
    <row r="88" spans="1:15" ht="16.5" thickBot="1">
      <c r="A88" s="537" t="s">
        <v>417</v>
      </c>
      <c r="B88" s="538" t="s">
        <v>87</v>
      </c>
      <c r="C88" s="538" t="s">
        <v>388</v>
      </c>
      <c r="D88" s="538" t="s">
        <v>389</v>
      </c>
      <c r="E88" s="538" t="s">
        <v>389</v>
      </c>
      <c r="F88" s="538" t="s">
        <v>388</v>
      </c>
      <c r="G88" s="538" t="s">
        <v>389</v>
      </c>
      <c r="H88" s="538" t="s">
        <v>389</v>
      </c>
      <c r="I88" s="539" t="s">
        <v>476</v>
      </c>
      <c r="J88" s="311"/>
      <c r="K88" s="311"/>
      <c r="L88" s="311"/>
      <c r="M88" s="311"/>
      <c r="N88" s="311"/>
      <c r="O88" s="311"/>
    </row>
    <row r="89" spans="1:15">
      <c r="A89" s="541">
        <v>145</v>
      </c>
      <c r="B89" s="542" t="s">
        <v>551</v>
      </c>
      <c r="C89" s="545">
        <v>116.16</v>
      </c>
      <c r="D89" s="512">
        <v>13.9</v>
      </c>
      <c r="E89" s="512">
        <v>12.9</v>
      </c>
      <c r="F89" s="311"/>
      <c r="G89" s="311"/>
      <c r="H89" s="311"/>
      <c r="I89" s="311" t="s">
        <v>539</v>
      </c>
      <c r="J89" s="311"/>
      <c r="K89" s="311"/>
      <c r="L89" s="311"/>
      <c r="M89" s="311"/>
      <c r="N89" s="311"/>
      <c r="O89" s="311"/>
    </row>
    <row r="90" spans="1:15">
      <c r="A90" s="541"/>
      <c r="B90" s="547" t="s">
        <v>481</v>
      </c>
      <c r="C90" s="545">
        <f>C89</f>
        <v>116.16</v>
      </c>
      <c r="D90" s="311">
        <f>D89</f>
        <v>13.9</v>
      </c>
      <c r="E90" s="311">
        <f>E89</f>
        <v>12.9</v>
      </c>
      <c r="F90" s="311"/>
      <c r="G90" s="311"/>
      <c r="H90" s="311"/>
      <c r="I90" s="311"/>
      <c r="J90" s="311"/>
      <c r="K90" s="551" t="s">
        <v>530</v>
      </c>
      <c r="L90" s="543"/>
      <c r="M90" s="543"/>
      <c r="N90" s="311"/>
      <c r="O90" s="311"/>
    </row>
    <row r="91" spans="1:15">
      <c r="A91" s="548">
        <v>146</v>
      </c>
      <c r="B91" s="560" t="s">
        <v>550</v>
      </c>
      <c r="C91" s="556"/>
      <c r="D91" s="556"/>
      <c r="E91" s="556"/>
      <c r="F91" s="550">
        <f>C90*$K$91</f>
        <v>38.72</v>
      </c>
      <c r="G91" s="550">
        <f>D90*$K$91</f>
        <v>4.6333333333333329</v>
      </c>
      <c r="H91" s="550">
        <f>E90*$K$91</f>
        <v>4.3</v>
      </c>
      <c r="I91" s="543"/>
      <c r="J91" s="543"/>
      <c r="K91" s="561">
        <f>(18-12)/18</f>
        <v>0.33333333333333331</v>
      </c>
      <c r="L91" s="543"/>
      <c r="M91" s="543"/>
      <c r="N91" s="311"/>
      <c r="O91" s="311"/>
    </row>
    <row r="92" spans="1:15">
      <c r="A92" s="541"/>
      <c r="B92" s="311"/>
      <c r="C92" s="311"/>
      <c r="D92" s="311"/>
      <c r="E92" s="311"/>
      <c r="F92" s="311"/>
      <c r="G92" s="311"/>
      <c r="H92" s="311"/>
      <c r="I92" s="311"/>
      <c r="J92" s="311"/>
      <c r="K92" s="311"/>
      <c r="L92" s="311"/>
      <c r="M92" s="311"/>
      <c r="N92" s="311"/>
      <c r="O92" s="311"/>
    </row>
    <row r="93" spans="1:15">
      <c r="A93" s="541"/>
      <c r="B93" s="311"/>
      <c r="C93" s="311"/>
      <c r="D93" s="311"/>
      <c r="E93" s="311"/>
      <c r="F93" s="311"/>
      <c r="G93" s="311"/>
      <c r="H93" s="311"/>
      <c r="I93" s="311"/>
      <c r="J93" s="311"/>
      <c r="K93" s="311"/>
      <c r="L93" s="311"/>
      <c r="M93" s="311"/>
      <c r="N93" s="311"/>
      <c r="O93" s="311"/>
    </row>
    <row r="94" spans="1:15" ht="16.5" thickBot="1">
      <c r="A94" s="541"/>
      <c r="B94" s="311"/>
      <c r="C94" s="311"/>
      <c r="D94" s="311"/>
      <c r="E94" s="311"/>
      <c r="F94" s="311"/>
      <c r="G94" s="311"/>
      <c r="H94" s="311"/>
      <c r="I94" s="311"/>
      <c r="J94" s="311"/>
      <c r="K94" s="311"/>
      <c r="L94" s="311"/>
      <c r="M94" s="311"/>
      <c r="N94" s="311"/>
      <c r="O94" s="311"/>
    </row>
    <row r="95" spans="1:15">
      <c r="A95" s="531"/>
      <c r="B95" s="532"/>
      <c r="C95" s="532"/>
      <c r="D95" s="532" t="s">
        <v>473</v>
      </c>
      <c r="E95" s="532" t="s">
        <v>474</v>
      </c>
      <c r="F95" s="532"/>
      <c r="G95" s="532" t="s">
        <v>473</v>
      </c>
      <c r="H95" s="532" t="s">
        <v>474</v>
      </c>
      <c r="I95" s="533"/>
      <c r="J95" s="311"/>
      <c r="K95" s="311"/>
      <c r="L95" s="311"/>
      <c r="M95" s="311"/>
      <c r="N95" s="311"/>
      <c r="O95" s="311"/>
    </row>
    <row r="96" spans="1:15">
      <c r="A96" s="534" t="s">
        <v>87</v>
      </c>
      <c r="B96" s="535"/>
      <c r="C96" s="535" t="s">
        <v>475</v>
      </c>
      <c r="D96" s="535" t="s">
        <v>475</v>
      </c>
      <c r="E96" s="535" t="s">
        <v>475</v>
      </c>
      <c r="F96" s="535" t="s">
        <v>418</v>
      </c>
      <c r="G96" s="535" t="s">
        <v>418</v>
      </c>
      <c r="H96" s="535" t="s">
        <v>418</v>
      </c>
      <c r="I96" s="536"/>
      <c r="J96" s="311"/>
      <c r="K96" s="311"/>
      <c r="L96" s="311"/>
      <c r="M96" s="311"/>
      <c r="N96" s="311"/>
      <c r="O96" s="311"/>
    </row>
    <row r="97" spans="1:15" ht="16.5" thickBot="1">
      <c r="A97" s="537" t="s">
        <v>417</v>
      </c>
      <c r="B97" s="538" t="s">
        <v>87</v>
      </c>
      <c r="C97" s="538" t="s">
        <v>388</v>
      </c>
      <c r="D97" s="538" t="s">
        <v>389</v>
      </c>
      <c r="E97" s="538" t="s">
        <v>389</v>
      </c>
      <c r="F97" s="538" t="s">
        <v>388</v>
      </c>
      <c r="G97" s="538" t="s">
        <v>389</v>
      </c>
      <c r="H97" s="538" t="s">
        <v>389</v>
      </c>
      <c r="I97" s="539" t="s">
        <v>476</v>
      </c>
      <c r="J97" s="311"/>
      <c r="K97" s="311"/>
      <c r="L97" s="311"/>
      <c r="M97" s="311"/>
      <c r="N97" s="311"/>
      <c r="O97" s="311"/>
    </row>
    <row r="98" spans="1:15">
      <c r="A98" s="541">
        <v>120</v>
      </c>
      <c r="B98" s="542" t="s">
        <v>183</v>
      </c>
      <c r="C98" s="311">
        <v>470.01</v>
      </c>
      <c r="D98" s="512">
        <v>34.799999999999997</v>
      </c>
      <c r="E98" s="512">
        <v>33.4</v>
      </c>
      <c r="F98" s="311"/>
      <c r="G98" s="311"/>
      <c r="H98" s="311"/>
      <c r="I98" s="311" t="s">
        <v>539</v>
      </c>
      <c r="J98" s="311"/>
      <c r="K98" s="551" t="s">
        <v>530</v>
      </c>
      <c r="L98" s="543"/>
      <c r="M98" s="543"/>
      <c r="N98" s="543"/>
      <c r="O98" s="543"/>
    </row>
    <row r="99" spans="1:15">
      <c r="A99" s="541">
        <v>124</v>
      </c>
      <c r="B99" s="542" t="s">
        <v>179</v>
      </c>
      <c r="C99" s="311"/>
      <c r="D99" s="311"/>
      <c r="E99" s="311"/>
      <c r="F99" s="545">
        <v>1.08</v>
      </c>
      <c r="G99" s="553">
        <v>0.2</v>
      </c>
      <c r="H99" s="553">
        <v>0.1</v>
      </c>
      <c r="I99" s="311" t="s">
        <v>538</v>
      </c>
      <c r="J99" s="311"/>
      <c r="K99" s="543"/>
      <c r="L99" s="562" t="s">
        <v>549</v>
      </c>
      <c r="M99" s="562" t="s">
        <v>548</v>
      </c>
      <c r="N99" s="543" t="s">
        <v>547</v>
      </c>
      <c r="O99" s="543" t="s">
        <v>546</v>
      </c>
    </row>
    <row r="100" spans="1:15">
      <c r="A100" s="541">
        <v>121</v>
      </c>
      <c r="B100" s="542" t="s">
        <v>182</v>
      </c>
      <c r="C100" s="311"/>
      <c r="D100" s="311"/>
      <c r="E100" s="311"/>
      <c r="F100" s="545">
        <v>35.5</v>
      </c>
      <c r="G100" s="553">
        <v>7.1</v>
      </c>
      <c r="H100" s="553">
        <v>3.8</v>
      </c>
      <c r="I100" s="311" t="s">
        <v>538</v>
      </c>
      <c r="J100" s="311"/>
      <c r="K100" s="563" t="s">
        <v>545</v>
      </c>
      <c r="L100" s="562">
        <v>32</v>
      </c>
      <c r="M100" s="562">
        <v>4</v>
      </c>
      <c r="N100" s="562">
        <f>M100*L100</f>
        <v>128</v>
      </c>
      <c r="O100" s="562"/>
    </row>
    <row r="101" spans="1:15">
      <c r="A101" s="541">
        <v>122</v>
      </c>
      <c r="B101" s="542" t="s">
        <v>181</v>
      </c>
      <c r="C101" s="311"/>
      <c r="D101" s="311"/>
      <c r="E101" s="311"/>
      <c r="F101" s="545">
        <v>22.98</v>
      </c>
      <c r="G101" s="553">
        <v>4.5999999999999996</v>
      </c>
      <c r="H101" s="553">
        <v>2.4</v>
      </c>
      <c r="I101" s="311" t="s">
        <v>538</v>
      </c>
      <c r="J101" s="311"/>
      <c r="K101" s="564" t="s">
        <v>544</v>
      </c>
      <c r="L101" s="562">
        <v>28</v>
      </c>
      <c r="M101" s="562">
        <v>4</v>
      </c>
      <c r="N101" s="562">
        <f>M101*L101</f>
        <v>112</v>
      </c>
      <c r="O101" s="565">
        <f>(N100-N101)/N100</f>
        <v>0.125</v>
      </c>
    </row>
    <row r="102" spans="1:15">
      <c r="A102" s="541">
        <v>123</v>
      </c>
      <c r="B102" s="542" t="s">
        <v>180</v>
      </c>
      <c r="C102" s="311"/>
      <c r="D102" s="311"/>
      <c r="E102" s="311"/>
      <c r="F102" s="545">
        <v>9.86</v>
      </c>
      <c r="G102" s="553">
        <v>1.9</v>
      </c>
      <c r="H102" s="553">
        <v>1.2</v>
      </c>
      <c r="I102" s="311" t="s">
        <v>538</v>
      </c>
      <c r="J102" s="311"/>
      <c r="K102" s="564" t="s">
        <v>543</v>
      </c>
      <c r="L102" s="562">
        <v>28</v>
      </c>
      <c r="M102" s="562">
        <v>2</v>
      </c>
      <c r="N102" s="562">
        <f>M102*L102</f>
        <v>56</v>
      </c>
      <c r="O102" s="565">
        <f>(N100-N102)/N100</f>
        <v>0.5625</v>
      </c>
    </row>
    <row r="103" spans="1:15">
      <c r="A103" s="541"/>
      <c r="B103" s="547" t="s">
        <v>481</v>
      </c>
      <c r="C103" s="544">
        <f>C98-F99-F100-F101-F102</f>
        <v>400.59</v>
      </c>
      <c r="D103" s="544">
        <f>D98-G99-G100-G101-G102</f>
        <v>20.999999999999993</v>
      </c>
      <c r="E103" s="544">
        <f>E98-H99-H100-H101-H102</f>
        <v>25.9</v>
      </c>
      <c r="F103" s="311"/>
      <c r="G103" s="311"/>
      <c r="H103" s="311"/>
      <c r="I103" s="311"/>
      <c r="J103" s="311"/>
      <c r="K103" s="566" t="s">
        <v>542</v>
      </c>
      <c r="L103" s="562">
        <v>22</v>
      </c>
      <c r="M103" s="562">
        <v>2</v>
      </c>
      <c r="N103" s="562">
        <f>M103*L103</f>
        <v>44</v>
      </c>
      <c r="O103" s="565">
        <f>(N100-N103)/N100</f>
        <v>0.65625</v>
      </c>
    </row>
    <row r="104" spans="1:15">
      <c r="A104" s="548">
        <v>125</v>
      </c>
      <c r="B104" s="560" t="s">
        <v>541</v>
      </c>
      <c r="C104" s="556"/>
      <c r="D104" s="556"/>
      <c r="E104" s="556"/>
      <c r="F104" s="550">
        <f>C103*$O$104</f>
        <v>37.555312499999999</v>
      </c>
      <c r="G104" s="550">
        <f>D103*$O$104</f>
        <v>1.9687499999999993</v>
      </c>
      <c r="H104" s="550">
        <f>E103*$O$104</f>
        <v>2.4281249999999996</v>
      </c>
      <c r="I104" s="543"/>
      <c r="J104" s="543"/>
      <c r="K104" s="557"/>
      <c r="L104" s="543"/>
      <c r="M104" s="543" t="s">
        <v>540</v>
      </c>
      <c r="N104" s="543"/>
      <c r="O104" s="559">
        <f>O103-O102</f>
        <v>9.375E-2</v>
      </c>
    </row>
    <row r="105" spans="1:15">
      <c r="A105" s="541"/>
      <c r="B105" s="311"/>
      <c r="C105" s="311"/>
      <c r="D105" s="311"/>
      <c r="E105" s="311"/>
      <c r="F105" s="311"/>
      <c r="G105" s="311"/>
      <c r="H105" s="311"/>
      <c r="I105" s="311"/>
      <c r="J105" s="311"/>
      <c r="K105" s="311"/>
      <c r="L105" s="311"/>
      <c r="M105" s="311"/>
      <c r="N105" s="311"/>
      <c r="O105" s="311"/>
    </row>
    <row r="106" spans="1:15">
      <c r="A106" s="541"/>
      <c r="B106" s="311"/>
      <c r="C106" s="311"/>
      <c r="D106" s="311"/>
      <c r="E106" s="311"/>
      <c r="F106" s="311"/>
      <c r="G106" s="311"/>
      <c r="H106" s="311"/>
      <c r="I106" s="311"/>
      <c r="J106" s="311"/>
      <c r="K106" s="311"/>
      <c r="L106" s="311"/>
      <c r="M106" s="311"/>
      <c r="N106" s="311"/>
      <c r="O106" s="311"/>
    </row>
    <row r="107" spans="1:15">
      <c r="A107" s="541"/>
      <c r="B107" s="311"/>
      <c r="C107" s="311"/>
      <c r="D107" s="311"/>
      <c r="E107" s="311"/>
      <c r="F107" s="311"/>
      <c r="G107" s="311"/>
      <c r="H107" s="311"/>
      <c r="I107" s="311"/>
      <c r="J107" s="311"/>
      <c r="K107" s="311"/>
      <c r="L107" s="311"/>
      <c r="M107" s="311"/>
      <c r="N107" s="311"/>
      <c r="O107" s="311"/>
    </row>
    <row r="108" spans="1:15">
      <c r="A108" s="541"/>
      <c r="B108" s="311"/>
      <c r="C108" s="311"/>
      <c r="D108" s="311"/>
      <c r="E108" s="311"/>
      <c r="F108" s="311"/>
      <c r="G108" s="311"/>
      <c r="H108" s="311"/>
      <c r="I108" s="311"/>
      <c r="J108" s="311"/>
      <c r="K108" s="311"/>
      <c r="L108" s="311"/>
      <c r="M108" s="311"/>
      <c r="N108" s="311"/>
      <c r="O108" s="311"/>
    </row>
    <row r="109" spans="1:15">
      <c r="A109" s="541"/>
      <c r="B109" s="311"/>
      <c r="C109" s="311"/>
      <c r="D109" s="311"/>
      <c r="E109" s="311"/>
      <c r="F109" s="311"/>
      <c r="G109" s="311"/>
      <c r="H109" s="311"/>
      <c r="I109" s="311"/>
      <c r="J109" s="311"/>
      <c r="K109" s="311"/>
      <c r="L109" s="311"/>
      <c r="M109" s="311"/>
      <c r="N109" s="311"/>
      <c r="O109" s="311"/>
    </row>
    <row r="110" spans="1:15">
      <c r="A110" s="541"/>
      <c r="B110" s="311"/>
      <c r="C110" s="311"/>
      <c r="D110" s="311"/>
      <c r="E110" s="311"/>
      <c r="F110" s="311"/>
      <c r="G110" s="311"/>
      <c r="H110" s="311"/>
      <c r="I110" s="311"/>
      <c r="J110" s="311"/>
      <c r="K110" s="311"/>
      <c r="L110" s="311"/>
      <c r="M110" s="311"/>
      <c r="N110" s="311"/>
      <c r="O110" s="311"/>
    </row>
    <row r="111" spans="1:15" ht="16.5" thickBot="1">
      <c r="A111" s="541"/>
      <c r="B111" s="311"/>
      <c r="C111" s="311"/>
      <c r="D111" s="311"/>
      <c r="E111" s="311"/>
      <c r="F111" s="311"/>
      <c r="G111" s="311"/>
      <c r="H111" s="311"/>
      <c r="I111" s="311"/>
      <c r="J111" s="311"/>
      <c r="K111" s="311"/>
      <c r="L111" s="311"/>
      <c r="M111" s="311"/>
      <c r="N111" s="311"/>
      <c r="O111" s="311"/>
    </row>
    <row r="112" spans="1:15">
      <c r="A112" s="531"/>
      <c r="B112" s="532"/>
      <c r="C112" s="532"/>
      <c r="D112" s="532" t="s">
        <v>473</v>
      </c>
      <c r="E112" s="532" t="s">
        <v>474</v>
      </c>
      <c r="F112" s="532"/>
      <c r="G112" s="532" t="s">
        <v>473</v>
      </c>
      <c r="H112" s="532" t="s">
        <v>474</v>
      </c>
      <c r="I112" s="533"/>
      <c r="J112" s="311"/>
      <c r="K112" s="311"/>
      <c r="L112" s="311"/>
      <c r="M112" s="311"/>
      <c r="N112" s="311"/>
      <c r="O112" s="311"/>
    </row>
    <row r="113" spans="1:15">
      <c r="A113" s="534" t="s">
        <v>87</v>
      </c>
      <c r="B113" s="535"/>
      <c r="C113" s="535" t="s">
        <v>475</v>
      </c>
      <c r="D113" s="535" t="s">
        <v>475</v>
      </c>
      <c r="E113" s="535" t="s">
        <v>475</v>
      </c>
      <c r="F113" s="535" t="s">
        <v>418</v>
      </c>
      <c r="G113" s="535" t="s">
        <v>418</v>
      </c>
      <c r="H113" s="535" t="s">
        <v>418</v>
      </c>
      <c r="I113" s="536"/>
      <c r="J113" s="311"/>
      <c r="K113" s="311"/>
      <c r="L113" s="311"/>
      <c r="M113" s="311"/>
      <c r="N113" s="311"/>
      <c r="O113" s="311"/>
    </row>
    <row r="114" spans="1:15" ht="16.5" thickBot="1">
      <c r="A114" s="537" t="s">
        <v>417</v>
      </c>
      <c r="B114" s="538" t="s">
        <v>87</v>
      </c>
      <c r="C114" s="538" t="s">
        <v>388</v>
      </c>
      <c r="D114" s="538" t="s">
        <v>389</v>
      </c>
      <c r="E114" s="538" t="s">
        <v>389</v>
      </c>
      <c r="F114" s="538" t="s">
        <v>388</v>
      </c>
      <c r="G114" s="538" t="s">
        <v>389</v>
      </c>
      <c r="H114" s="538" t="s">
        <v>389</v>
      </c>
      <c r="I114" s="539" t="s">
        <v>476</v>
      </c>
      <c r="J114" s="311"/>
      <c r="K114" s="311"/>
      <c r="L114" s="311"/>
      <c r="M114" s="311"/>
      <c r="N114" s="311"/>
      <c r="O114" s="311"/>
    </row>
    <row r="115" spans="1:15">
      <c r="A115" s="541">
        <v>320</v>
      </c>
      <c r="B115" s="541" t="s">
        <v>154</v>
      </c>
      <c r="C115" s="311">
        <v>2175.2600000000002</v>
      </c>
      <c r="D115" s="512">
        <v>333.4</v>
      </c>
      <c r="E115" s="512">
        <v>25.4</v>
      </c>
      <c r="F115" s="311"/>
      <c r="G115" s="512"/>
      <c r="H115" s="512"/>
      <c r="I115" s="311" t="s">
        <v>539</v>
      </c>
      <c r="J115" s="311"/>
      <c r="K115" s="311"/>
      <c r="L115" s="311"/>
      <c r="M115" s="311"/>
      <c r="N115" s="311"/>
      <c r="O115" s="311"/>
    </row>
    <row r="116" spans="1:15">
      <c r="A116" s="567" t="s">
        <v>437</v>
      </c>
      <c r="B116" s="568" t="s">
        <v>436</v>
      </c>
      <c r="C116" s="311"/>
      <c r="D116" s="311"/>
      <c r="E116" s="311"/>
      <c r="F116" s="569">
        <v>43.53</v>
      </c>
      <c r="G116" s="569">
        <v>12.001314518423836</v>
      </c>
      <c r="H116" s="569">
        <v>0</v>
      </c>
      <c r="I116" s="311" t="s">
        <v>538</v>
      </c>
      <c r="J116" s="570"/>
      <c r="K116" s="311"/>
      <c r="L116" s="311"/>
      <c r="M116" s="311"/>
      <c r="N116" s="311"/>
      <c r="O116" s="311"/>
    </row>
    <row r="117" spans="1:15">
      <c r="A117" s="571">
        <v>322</v>
      </c>
      <c r="B117" s="572" t="s">
        <v>152</v>
      </c>
      <c r="C117" s="311"/>
      <c r="D117" s="311"/>
      <c r="E117" s="311"/>
      <c r="F117" s="569">
        <v>210.87</v>
      </c>
      <c r="G117" s="569">
        <v>30.5</v>
      </c>
      <c r="H117" s="569">
        <v>0</v>
      </c>
      <c r="I117" s="311" t="s">
        <v>538</v>
      </c>
      <c r="J117" s="570"/>
      <c r="K117" s="311"/>
      <c r="L117" s="311"/>
      <c r="M117" s="311"/>
      <c r="N117" s="311"/>
      <c r="O117" s="311"/>
    </row>
    <row r="118" spans="1:15">
      <c r="A118" s="567">
        <v>323</v>
      </c>
      <c r="B118" s="568" t="s">
        <v>146</v>
      </c>
      <c r="C118" s="311"/>
      <c r="D118" s="311"/>
      <c r="E118" s="311"/>
      <c r="F118" s="569">
        <v>36.96</v>
      </c>
      <c r="G118" s="569">
        <v>11</v>
      </c>
      <c r="H118" s="569">
        <v>0</v>
      </c>
      <c r="I118" s="311" t="s">
        <v>538</v>
      </c>
      <c r="J118" s="570"/>
      <c r="K118" s="311"/>
      <c r="L118" s="311"/>
      <c r="M118" s="311"/>
      <c r="N118" s="311"/>
      <c r="O118" s="311"/>
    </row>
    <row r="119" spans="1:15">
      <c r="A119" s="571">
        <v>326</v>
      </c>
      <c r="B119" s="568" t="s">
        <v>151</v>
      </c>
      <c r="C119" s="311"/>
      <c r="D119" s="311"/>
      <c r="E119" s="311"/>
      <c r="F119" s="569">
        <v>20.84</v>
      </c>
      <c r="G119" s="569">
        <v>6</v>
      </c>
      <c r="H119" s="569">
        <v>0</v>
      </c>
      <c r="I119" s="311" t="s">
        <v>538</v>
      </c>
      <c r="J119" s="570"/>
      <c r="K119" s="311"/>
      <c r="L119" s="311"/>
      <c r="M119" s="311"/>
      <c r="N119" s="311"/>
      <c r="O119" s="311"/>
    </row>
    <row r="120" spans="1:15">
      <c r="A120" s="567">
        <v>327</v>
      </c>
      <c r="B120" s="568" t="s">
        <v>150</v>
      </c>
      <c r="C120" s="311"/>
      <c r="D120" s="311"/>
      <c r="E120" s="311"/>
      <c r="F120" s="569">
        <v>17.97</v>
      </c>
      <c r="G120" s="569">
        <v>1</v>
      </c>
      <c r="H120" s="569">
        <v>0</v>
      </c>
      <c r="I120" s="311" t="s">
        <v>538</v>
      </c>
      <c r="J120" s="570"/>
      <c r="K120" s="311"/>
      <c r="L120" s="311"/>
      <c r="M120" s="311"/>
      <c r="N120" s="311"/>
      <c r="O120" s="311"/>
    </row>
    <row r="121" spans="1:15">
      <c r="A121" s="571">
        <v>328</v>
      </c>
      <c r="B121" s="568" t="s">
        <v>402</v>
      </c>
      <c r="C121" s="311"/>
      <c r="D121" s="311"/>
      <c r="E121" s="311"/>
      <c r="F121" s="569">
        <v>101.1</v>
      </c>
      <c r="G121" s="569">
        <v>21</v>
      </c>
      <c r="H121" s="569">
        <v>0</v>
      </c>
      <c r="I121" s="311" t="s">
        <v>538</v>
      </c>
      <c r="J121" s="570"/>
      <c r="K121" s="311"/>
      <c r="L121" s="311"/>
      <c r="M121" s="311"/>
      <c r="N121" s="311"/>
      <c r="O121" s="311"/>
    </row>
    <row r="122" spans="1:15">
      <c r="A122" s="567">
        <v>329</v>
      </c>
      <c r="B122" s="572" t="s">
        <v>145</v>
      </c>
      <c r="C122" s="311"/>
      <c r="D122" s="311"/>
      <c r="E122" s="311"/>
      <c r="F122" s="569">
        <v>5.08</v>
      </c>
      <c r="G122" s="569">
        <v>1</v>
      </c>
      <c r="H122" s="569">
        <v>0</v>
      </c>
      <c r="I122" s="311" t="s">
        <v>538</v>
      </c>
      <c r="J122" s="570"/>
      <c r="K122" s="311"/>
      <c r="L122" s="311"/>
      <c r="M122" s="311"/>
      <c r="N122" s="311"/>
      <c r="O122" s="311"/>
    </row>
    <row r="123" spans="1:15">
      <c r="A123" s="571">
        <v>330</v>
      </c>
      <c r="B123" s="572" t="s">
        <v>144</v>
      </c>
      <c r="C123" s="311"/>
      <c r="D123" s="311"/>
      <c r="E123" s="311"/>
      <c r="F123" s="569">
        <v>59.95</v>
      </c>
      <c r="G123" s="569">
        <v>8</v>
      </c>
      <c r="H123" s="569">
        <v>-5</v>
      </c>
      <c r="I123" s="311" t="s">
        <v>538</v>
      </c>
      <c r="J123" s="570"/>
      <c r="K123" s="311"/>
      <c r="L123" s="311"/>
      <c r="M123" s="311"/>
      <c r="N123" s="311"/>
      <c r="O123" s="311"/>
    </row>
    <row r="124" spans="1:15">
      <c r="A124" s="571">
        <v>332</v>
      </c>
      <c r="B124" s="568" t="s">
        <v>143</v>
      </c>
      <c r="C124" s="311"/>
      <c r="D124" s="311"/>
      <c r="E124" s="311"/>
      <c r="F124" s="569">
        <v>142.13999999999999</v>
      </c>
      <c r="G124" s="569">
        <v>85</v>
      </c>
      <c r="H124" s="569">
        <v>41</v>
      </c>
      <c r="I124" s="311" t="s">
        <v>538</v>
      </c>
      <c r="J124" s="570"/>
      <c r="K124" s="311"/>
      <c r="L124" s="311"/>
      <c r="M124" s="311"/>
      <c r="N124" s="311"/>
      <c r="O124" s="311"/>
    </row>
    <row r="125" spans="1:15">
      <c r="A125" s="571">
        <v>334</v>
      </c>
      <c r="B125" s="572" t="s">
        <v>142</v>
      </c>
      <c r="C125" s="311"/>
      <c r="D125" s="311"/>
      <c r="E125" s="311"/>
      <c r="F125" s="569">
        <v>26.04</v>
      </c>
      <c r="G125" s="569">
        <v>14</v>
      </c>
      <c r="H125" s="569">
        <v>7</v>
      </c>
      <c r="I125" s="311" t="s">
        <v>538</v>
      </c>
      <c r="J125" s="570"/>
      <c r="K125" s="311"/>
      <c r="L125" s="311"/>
      <c r="M125" s="311"/>
      <c r="N125" s="311"/>
      <c r="O125" s="311"/>
    </row>
    <row r="126" spans="1:15">
      <c r="A126" s="567">
        <v>335</v>
      </c>
      <c r="B126" s="572" t="s">
        <v>141</v>
      </c>
      <c r="C126" s="311"/>
      <c r="D126" s="311"/>
      <c r="E126" s="311"/>
      <c r="F126" s="569">
        <v>306.23</v>
      </c>
      <c r="G126" s="569">
        <v>110</v>
      </c>
      <c r="H126" s="569">
        <v>0</v>
      </c>
      <c r="I126" s="311" t="s">
        <v>538</v>
      </c>
      <c r="J126" s="311"/>
      <c r="K126" s="311"/>
      <c r="L126" s="311"/>
      <c r="M126" s="311"/>
      <c r="N126" s="311"/>
      <c r="O126" s="311"/>
    </row>
    <row r="127" spans="1:15">
      <c r="A127" s="571">
        <v>336</v>
      </c>
      <c r="B127" s="568" t="s">
        <v>140</v>
      </c>
      <c r="C127" s="311"/>
      <c r="D127" s="311"/>
      <c r="E127" s="311"/>
      <c r="F127" s="569">
        <v>4.38</v>
      </c>
      <c r="G127" s="569">
        <v>1</v>
      </c>
      <c r="H127" s="569">
        <v>0</v>
      </c>
      <c r="I127" s="311" t="s">
        <v>538</v>
      </c>
      <c r="J127" s="573" t="s">
        <v>537</v>
      </c>
      <c r="K127" s="573"/>
      <c r="L127" s="311"/>
      <c r="M127" s="311"/>
      <c r="N127" s="311"/>
      <c r="O127" s="311"/>
    </row>
    <row r="128" spans="1:15">
      <c r="A128" s="541"/>
      <c r="B128" s="547" t="s">
        <v>481</v>
      </c>
      <c r="C128" s="574">
        <f>C115-SUM(F116:F127)</f>
        <v>1200.1700000000003</v>
      </c>
      <c r="D128" s="574">
        <f>D115-SUM(G116:G127)</f>
        <v>32.898685481576138</v>
      </c>
      <c r="E128" s="574">
        <f>E115-SUM(H116:H127)</f>
        <v>-17.600000000000001</v>
      </c>
      <c r="F128" s="311"/>
      <c r="G128" s="311"/>
      <c r="H128" s="311"/>
      <c r="I128" s="311"/>
      <c r="J128" s="573" t="s">
        <v>533</v>
      </c>
      <c r="K128" s="573" t="s">
        <v>531</v>
      </c>
      <c r="L128" s="311"/>
      <c r="M128" s="311"/>
      <c r="N128" s="311"/>
      <c r="O128" s="311"/>
    </row>
    <row r="129" spans="1:17">
      <c r="A129" s="575">
        <v>337</v>
      </c>
      <c r="B129" s="576" t="s">
        <v>536</v>
      </c>
      <c r="C129" s="556"/>
      <c r="D129" s="556"/>
      <c r="E129" s="556"/>
      <c r="F129" s="550">
        <f>C128*J129</f>
        <v>106.81513000000002</v>
      </c>
      <c r="G129" s="550" t="e">
        <f>D128*#REF!</f>
        <v>#REF!</v>
      </c>
      <c r="H129" s="550">
        <f>E128*K129</f>
        <v>0</v>
      </c>
      <c r="I129" s="543"/>
      <c r="J129" s="577">
        <v>8.8999999999999996E-2</v>
      </c>
      <c r="K129" s="577">
        <v>0</v>
      </c>
      <c r="L129" s="311"/>
      <c r="M129" s="311"/>
      <c r="N129" s="311"/>
      <c r="O129" s="311"/>
    </row>
    <row r="130" spans="1:17">
      <c r="A130" s="541"/>
      <c r="B130" s="547" t="s">
        <v>481</v>
      </c>
      <c r="C130" s="555">
        <f>C128-F129</f>
        <v>1093.3548700000003</v>
      </c>
      <c r="D130" s="555" t="e">
        <f>D128-G129</f>
        <v>#REF!</v>
      </c>
      <c r="E130" s="555">
        <f>E128-H129</f>
        <v>-17.600000000000001</v>
      </c>
      <c r="F130" s="311"/>
      <c r="G130" s="311"/>
      <c r="H130" s="311"/>
      <c r="I130" s="311"/>
      <c r="J130" s="311"/>
      <c r="K130" s="311"/>
      <c r="L130" s="311"/>
      <c r="M130" s="311"/>
      <c r="N130" s="311"/>
      <c r="O130" s="311"/>
    </row>
    <row r="131" spans="1:17">
      <c r="A131" s="548">
        <v>338</v>
      </c>
      <c r="B131" s="551" t="s">
        <v>535</v>
      </c>
      <c r="C131" s="556"/>
      <c r="D131" s="556"/>
      <c r="E131" s="556"/>
      <c r="F131" s="550">
        <f>C130*J133</f>
        <v>251.47162010000008</v>
      </c>
      <c r="G131" s="550" t="e">
        <f>D130*#REF!</f>
        <v>#REF!</v>
      </c>
      <c r="H131" s="550">
        <f>E130*K133</f>
        <v>-4.0480000000000009</v>
      </c>
      <c r="I131" s="543"/>
      <c r="J131" s="573" t="s">
        <v>534</v>
      </c>
      <c r="K131" s="573"/>
      <c r="L131" s="543"/>
      <c r="M131" s="311"/>
      <c r="N131" s="311"/>
      <c r="O131" s="311"/>
    </row>
    <row r="132" spans="1:17">
      <c r="A132" s="541"/>
      <c r="B132" s="311"/>
      <c r="C132" s="311"/>
      <c r="D132" s="311"/>
      <c r="E132" s="311"/>
      <c r="F132" s="311"/>
      <c r="G132" s="311"/>
      <c r="H132" s="311"/>
      <c r="I132" s="311"/>
      <c r="J132" s="573" t="s">
        <v>533</v>
      </c>
      <c r="K132" s="573" t="s">
        <v>531</v>
      </c>
      <c r="L132" s="543"/>
      <c r="M132" s="311"/>
      <c r="N132" s="311"/>
      <c r="O132" s="311"/>
    </row>
    <row r="133" spans="1:17">
      <c r="A133" s="541"/>
      <c r="B133" s="311"/>
      <c r="C133" s="311"/>
      <c r="D133" s="311"/>
      <c r="E133" s="311"/>
      <c r="F133" s="311"/>
      <c r="G133" s="311"/>
      <c r="H133" s="311"/>
      <c r="I133" s="311"/>
      <c r="J133" s="577">
        <v>0.23</v>
      </c>
      <c r="K133" s="577">
        <v>0.23</v>
      </c>
      <c r="L133" s="543"/>
      <c r="M133" s="311"/>
      <c r="N133" s="311"/>
      <c r="O133" s="311"/>
    </row>
    <row r="134" spans="1:17">
      <c r="A134" s="541"/>
      <c r="B134" s="311"/>
      <c r="C134" s="311"/>
      <c r="D134" s="311"/>
      <c r="E134" s="311"/>
      <c r="F134" s="311"/>
      <c r="G134" s="311"/>
      <c r="H134" s="311"/>
      <c r="I134" s="311"/>
      <c r="J134" s="311"/>
      <c r="K134" s="311"/>
      <c r="L134" s="311"/>
      <c r="M134" s="311"/>
      <c r="N134" s="311"/>
      <c r="O134" s="311"/>
    </row>
    <row r="135" spans="1:17" ht="16.5" thickBot="1">
      <c r="A135" s="578"/>
      <c r="B135" s="579"/>
      <c r="C135" s="579" t="s">
        <v>652</v>
      </c>
      <c r="D135" s="579"/>
      <c r="E135" s="579"/>
      <c r="F135" s="579"/>
      <c r="G135" s="579"/>
      <c r="H135" s="579"/>
      <c r="I135" s="579"/>
      <c r="J135" s="579"/>
      <c r="K135" s="579"/>
      <c r="L135" s="579"/>
      <c r="M135" s="579"/>
      <c r="N135" s="579"/>
      <c r="O135" s="579"/>
      <c r="P135" s="579"/>
      <c r="Q135" s="579"/>
    </row>
    <row r="136" spans="1:17">
      <c r="A136" s="531"/>
      <c r="B136" s="532"/>
      <c r="C136" s="532"/>
      <c r="D136" s="532" t="s">
        <v>473</v>
      </c>
      <c r="E136" s="532" t="s">
        <v>474</v>
      </c>
      <c r="F136" s="532"/>
      <c r="G136" s="532" t="s">
        <v>473</v>
      </c>
      <c r="H136" s="532" t="s">
        <v>474</v>
      </c>
      <c r="I136" s="533"/>
      <c r="J136" s="311"/>
      <c r="K136" s="311"/>
      <c r="L136" s="311"/>
      <c r="M136" s="311"/>
      <c r="N136" s="311"/>
      <c r="O136" s="311"/>
    </row>
    <row r="137" spans="1:17">
      <c r="A137" s="534" t="s">
        <v>87</v>
      </c>
      <c r="B137" s="535"/>
      <c r="C137" s="535" t="s">
        <v>475</v>
      </c>
      <c r="D137" s="535" t="s">
        <v>475</v>
      </c>
      <c r="E137" s="535" t="s">
        <v>475</v>
      </c>
      <c r="F137" s="535" t="s">
        <v>418</v>
      </c>
      <c r="G137" s="535" t="s">
        <v>418</v>
      </c>
      <c r="H137" s="535" t="s">
        <v>418</v>
      </c>
      <c r="I137" s="536"/>
      <c r="J137" s="311"/>
    </row>
    <row r="138" spans="1:17" ht="16.5" thickBot="1">
      <c r="A138" s="537" t="s">
        <v>417</v>
      </c>
      <c r="B138" s="538" t="s">
        <v>87</v>
      </c>
      <c r="C138" s="538" t="s">
        <v>388</v>
      </c>
      <c r="D138" s="538" t="s">
        <v>389</v>
      </c>
      <c r="E138" s="538" t="s">
        <v>389</v>
      </c>
      <c r="F138" s="538" t="s">
        <v>388</v>
      </c>
      <c r="G138" s="538" t="s">
        <v>389</v>
      </c>
      <c r="H138" s="538" t="s">
        <v>389</v>
      </c>
      <c r="I138" s="539" t="s">
        <v>476</v>
      </c>
      <c r="J138" s="311"/>
    </row>
    <row r="139" spans="1:17">
      <c r="A139" s="541">
        <v>800</v>
      </c>
      <c r="B139" s="542" t="s">
        <v>567</v>
      </c>
      <c r="C139" s="311">
        <v>64.540000000000006</v>
      </c>
      <c r="D139" s="512">
        <v>8.9</v>
      </c>
      <c r="E139" s="512">
        <v>7.7</v>
      </c>
      <c r="F139" s="311"/>
      <c r="G139" s="311"/>
      <c r="H139" s="311"/>
      <c r="I139" s="311" t="s">
        <v>539</v>
      </c>
      <c r="J139" s="311"/>
    </row>
    <row r="140" spans="1:17">
      <c r="A140" s="580">
        <v>801</v>
      </c>
      <c r="B140" s="581" t="s">
        <v>93</v>
      </c>
      <c r="C140" s="543"/>
      <c r="D140" s="543"/>
      <c r="E140" s="543"/>
      <c r="F140" s="582">
        <v>14.96</v>
      </c>
      <c r="G140" s="582">
        <v>1.7</v>
      </c>
      <c r="H140" s="582">
        <v>0.4</v>
      </c>
      <c r="I140" s="543" t="s">
        <v>538</v>
      </c>
      <c r="J140" s="311"/>
    </row>
    <row r="141" spans="1:17">
      <c r="A141" s="541"/>
      <c r="B141" s="547"/>
      <c r="C141" s="555">
        <f>C139-F140</f>
        <v>49.580000000000005</v>
      </c>
      <c r="D141" s="555">
        <f t="shared" ref="D141:E141" si="9">D139-G140</f>
        <v>7.2</v>
      </c>
      <c r="E141" s="555">
        <f t="shared" si="9"/>
        <v>7.3</v>
      </c>
      <c r="F141" s="545"/>
      <c r="G141" s="545"/>
      <c r="H141" s="545"/>
      <c r="I141" s="311"/>
      <c r="J141" s="311"/>
    </row>
    <row r="142" spans="1:17">
      <c r="A142" s="541"/>
      <c r="B142" s="311"/>
      <c r="C142" s="311"/>
      <c r="D142" s="311"/>
      <c r="E142" s="311"/>
      <c r="F142" s="311"/>
      <c r="G142" s="311"/>
      <c r="H142" s="311"/>
      <c r="I142" s="311"/>
      <c r="J142" s="311"/>
    </row>
    <row r="143" spans="1:17" ht="16.5" thickBot="1">
      <c r="A143" s="541"/>
      <c r="B143" s="311"/>
      <c r="C143" s="311"/>
      <c r="D143" s="311"/>
      <c r="E143" s="311"/>
      <c r="F143" s="311"/>
      <c r="G143" s="311"/>
      <c r="H143" s="311"/>
      <c r="I143" s="311"/>
      <c r="J143" s="311"/>
    </row>
    <row r="144" spans="1:17">
      <c r="A144" s="531"/>
      <c r="B144" s="532"/>
      <c r="C144" s="532"/>
      <c r="D144" s="532" t="s">
        <v>473</v>
      </c>
      <c r="E144" s="532" t="s">
        <v>474</v>
      </c>
      <c r="F144" s="532"/>
      <c r="G144" s="532" t="s">
        <v>473</v>
      </c>
      <c r="H144" s="532" t="s">
        <v>474</v>
      </c>
      <c r="I144" s="533"/>
      <c r="J144" s="311"/>
    </row>
    <row r="145" spans="1:10">
      <c r="A145" s="534" t="s">
        <v>87</v>
      </c>
      <c r="B145" s="535"/>
      <c r="C145" s="535" t="s">
        <v>475</v>
      </c>
      <c r="D145" s="535" t="s">
        <v>475</v>
      </c>
      <c r="E145" s="535" t="s">
        <v>475</v>
      </c>
      <c r="F145" s="535" t="s">
        <v>418</v>
      </c>
      <c r="G145" s="535" t="s">
        <v>418</v>
      </c>
      <c r="H145" s="535" t="s">
        <v>418</v>
      </c>
      <c r="I145" s="536"/>
      <c r="J145" s="311"/>
    </row>
    <row r="146" spans="1:10" ht="16.5" thickBot="1">
      <c r="A146" s="537" t="s">
        <v>417</v>
      </c>
      <c r="B146" s="538" t="s">
        <v>87</v>
      </c>
      <c r="C146" s="538" t="s">
        <v>388</v>
      </c>
      <c r="D146" s="538" t="s">
        <v>389</v>
      </c>
      <c r="E146" s="538" t="s">
        <v>389</v>
      </c>
      <c r="F146" s="538" t="s">
        <v>388</v>
      </c>
      <c r="G146" s="538" t="s">
        <v>389</v>
      </c>
      <c r="H146" s="538" t="s">
        <v>389</v>
      </c>
      <c r="I146" s="539" t="s">
        <v>476</v>
      </c>
      <c r="J146" s="311"/>
    </row>
    <row r="147" spans="1:10">
      <c r="A147" s="541">
        <v>810</v>
      </c>
      <c r="B147" s="465" t="s">
        <v>568</v>
      </c>
      <c r="C147" s="311">
        <v>114.23</v>
      </c>
      <c r="D147" s="512">
        <v>16.7</v>
      </c>
      <c r="E147" s="512">
        <v>10.6</v>
      </c>
      <c r="F147" s="311"/>
      <c r="G147" s="311"/>
      <c r="H147" s="311"/>
      <c r="I147" s="311" t="s">
        <v>539</v>
      </c>
      <c r="J147" s="311"/>
    </row>
    <row r="148" spans="1:10">
      <c r="A148" s="580">
        <v>811</v>
      </c>
      <c r="B148" s="581" t="s">
        <v>522</v>
      </c>
      <c r="C148" s="543"/>
      <c r="D148" s="543"/>
      <c r="E148" s="543"/>
      <c r="F148" s="582">
        <v>16.54</v>
      </c>
      <c r="G148" s="582">
        <v>1.8</v>
      </c>
      <c r="H148" s="582">
        <v>0.4</v>
      </c>
      <c r="I148" s="543" t="s">
        <v>538</v>
      </c>
      <c r="J148" s="311"/>
    </row>
    <row r="149" spans="1:10">
      <c r="A149" s="541"/>
      <c r="B149" s="554"/>
      <c r="C149" s="555">
        <f>C147-F148</f>
        <v>97.69</v>
      </c>
      <c r="D149" s="555">
        <f t="shared" ref="D149:E149" si="10">D147-G148</f>
        <v>14.899999999999999</v>
      </c>
      <c r="E149" s="555">
        <f t="shared" si="10"/>
        <v>10.199999999999999</v>
      </c>
      <c r="F149" s="545"/>
      <c r="G149" s="545"/>
      <c r="H149" s="545"/>
      <c r="I149" s="311"/>
      <c r="J149" s="311"/>
    </row>
    <row r="150" spans="1:10">
      <c r="A150" s="541"/>
      <c r="B150" s="554"/>
      <c r="C150" s="555"/>
      <c r="D150" s="555"/>
      <c r="E150" s="555"/>
      <c r="F150" s="545"/>
      <c r="G150" s="545"/>
      <c r="H150" s="545"/>
      <c r="I150" s="311"/>
      <c r="J150" s="311"/>
    </row>
    <row r="151" spans="1:10">
      <c r="A151" s="583"/>
      <c r="B151" s="584"/>
      <c r="C151" s="579" t="s">
        <v>651</v>
      </c>
      <c r="D151" s="585"/>
      <c r="E151" s="585"/>
      <c r="F151" s="586"/>
      <c r="G151" s="586"/>
      <c r="H151" s="586"/>
      <c r="I151" s="587"/>
      <c r="J151" s="311"/>
    </row>
    <row r="152" spans="1:10" ht="16.5" thickBot="1">
      <c r="A152" s="541"/>
      <c r="B152" s="311"/>
      <c r="C152" s="311"/>
      <c r="D152" s="311"/>
      <c r="E152" s="311"/>
      <c r="F152" s="311"/>
      <c r="G152" s="311"/>
      <c r="H152" s="311"/>
      <c r="I152" s="311"/>
      <c r="J152" s="311"/>
    </row>
    <row r="153" spans="1:10">
      <c r="A153" s="531"/>
      <c r="B153" s="532"/>
      <c r="C153" s="532"/>
      <c r="D153" s="532" t="s">
        <v>473</v>
      </c>
      <c r="E153" s="532" t="s">
        <v>474</v>
      </c>
      <c r="F153" s="532"/>
      <c r="G153" s="532" t="s">
        <v>473</v>
      </c>
      <c r="H153" s="532" t="s">
        <v>474</v>
      </c>
      <c r="I153" s="533"/>
      <c r="J153" s="311"/>
    </row>
    <row r="154" spans="1:10">
      <c r="A154" s="534" t="s">
        <v>87</v>
      </c>
      <c r="B154" s="535"/>
      <c r="C154" s="535" t="s">
        <v>475</v>
      </c>
      <c r="D154" s="535" t="s">
        <v>475</v>
      </c>
      <c r="E154" s="535" t="s">
        <v>475</v>
      </c>
      <c r="F154" s="535" t="s">
        <v>418</v>
      </c>
      <c r="G154" s="535" t="s">
        <v>418</v>
      </c>
      <c r="H154" s="535" t="s">
        <v>418</v>
      </c>
      <c r="I154" s="536"/>
      <c r="J154" s="311"/>
    </row>
    <row r="155" spans="1:10" ht="16.5" thickBot="1">
      <c r="A155" s="537" t="s">
        <v>417</v>
      </c>
      <c r="B155" s="538" t="s">
        <v>87</v>
      </c>
      <c r="C155" s="538" t="s">
        <v>388</v>
      </c>
      <c r="D155" s="538" t="s">
        <v>389</v>
      </c>
      <c r="E155" s="538" t="s">
        <v>389</v>
      </c>
      <c r="F155" s="538" t="s">
        <v>388</v>
      </c>
      <c r="G155" s="538" t="s">
        <v>389</v>
      </c>
      <c r="H155" s="538" t="s">
        <v>389</v>
      </c>
      <c r="I155" s="539" t="s">
        <v>476</v>
      </c>
      <c r="J155" s="311"/>
    </row>
    <row r="156" spans="1:10">
      <c r="A156" s="541">
        <v>810</v>
      </c>
      <c r="B156" s="542" t="s">
        <v>616</v>
      </c>
      <c r="C156" s="555">
        <f>C149</f>
        <v>97.69</v>
      </c>
      <c r="D156" s="555">
        <f t="shared" ref="D156:E156" si="11">D149</f>
        <v>14.899999999999999</v>
      </c>
      <c r="E156" s="555">
        <f t="shared" si="11"/>
        <v>10.199999999999999</v>
      </c>
      <c r="F156" s="311"/>
      <c r="G156" s="311"/>
      <c r="H156" s="311"/>
      <c r="I156" s="311"/>
      <c r="J156" s="311"/>
    </row>
    <row r="157" spans="1:10">
      <c r="A157" s="580">
        <v>812</v>
      </c>
      <c r="B157" s="581" t="s">
        <v>524</v>
      </c>
      <c r="C157" s="543"/>
      <c r="D157" s="543"/>
      <c r="E157" s="543"/>
      <c r="F157" s="588">
        <f>F148</f>
        <v>16.54</v>
      </c>
      <c r="G157" s="588">
        <f t="shared" ref="G157:H157" si="12">G148</f>
        <v>1.8</v>
      </c>
      <c r="H157" s="588">
        <f t="shared" si="12"/>
        <v>0.4</v>
      </c>
      <c r="I157" s="543" t="s">
        <v>650</v>
      </c>
    </row>
    <row r="158" spans="1:10" ht="16.5" thickBot="1">
      <c r="A158" s="541"/>
      <c r="B158" s="311"/>
      <c r="C158" s="311"/>
      <c r="D158" s="311"/>
      <c r="E158" s="311"/>
      <c r="F158" s="311"/>
      <c r="G158" s="311"/>
      <c r="H158" s="311"/>
      <c r="I158" s="311"/>
      <c r="J158" s="311"/>
    </row>
    <row r="159" spans="1:10">
      <c r="A159" s="531"/>
      <c r="B159" s="532"/>
      <c r="C159" s="532"/>
      <c r="D159" s="532" t="s">
        <v>473</v>
      </c>
      <c r="E159" s="532" t="s">
        <v>474</v>
      </c>
      <c r="F159" s="532"/>
      <c r="G159" s="532" t="s">
        <v>473</v>
      </c>
      <c r="H159" s="532" t="s">
        <v>474</v>
      </c>
      <c r="I159" s="533"/>
      <c r="J159" s="311"/>
    </row>
    <row r="160" spans="1:10">
      <c r="A160" s="534" t="s">
        <v>87</v>
      </c>
      <c r="B160" s="535"/>
      <c r="C160" s="535" t="s">
        <v>475</v>
      </c>
      <c r="D160" s="535" t="s">
        <v>475</v>
      </c>
      <c r="E160" s="535" t="s">
        <v>475</v>
      </c>
      <c r="F160" s="535" t="s">
        <v>418</v>
      </c>
      <c r="G160" s="535" t="s">
        <v>418</v>
      </c>
      <c r="H160" s="535" t="s">
        <v>418</v>
      </c>
      <c r="I160" s="536"/>
      <c r="J160" s="311"/>
    </row>
    <row r="161" spans="1:10" ht="16.5" thickBot="1">
      <c r="A161" s="537" t="s">
        <v>417</v>
      </c>
      <c r="B161" s="538" t="s">
        <v>87</v>
      </c>
      <c r="C161" s="538" t="s">
        <v>388</v>
      </c>
      <c r="D161" s="538" t="s">
        <v>389</v>
      </c>
      <c r="E161" s="538" t="s">
        <v>389</v>
      </c>
      <c r="F161" s="538" t="s">
        <v>388</v>
      </c>
      <c r="G161" s="538" t="s">
        <v>389</v>
      </c>
      <c r="H161" s="538" t="s">
        <v>389</v>
      </c>
      <c r="I161" s="539" t="s">
        <v>476</v>
      </c>
      <c r="J161" s="311"/>
    </row>
    <row r="162" spans="1:10">
      <c r="A162" s="541">
        <v>800</v>
      </c>
      <c r="B162" s="542" t="s">
        <v>617</v>
      </c>
      <c r="C162" s="555">
        <f>C141</f>
        <v>49.580000000000005</v>
      </c>
      <c r="D162" s="555">
        <f t="shared" ref="D162:E162" si="13">D141</f>
        <v>7.2</v>
      </c>
      <c r="E162" s="555">
        <f t="shared" si="13"/>
        <v>7.3</v>
      </c>
      <c r="F162" s="311"/>
      <c r="G162" s="311"/>
      <c r="H162" s="311"/>
      <c r="I162" s="311"/>
      <c r="J162" s="311"/>
    </row>
    <row r="163" spans="1:10">
      <c r="A163" s="580">
        <v>813</v>
      </c>
      <c r="B163" s="581" t="s">
        <v>526</v>
      </c>
      <c r="C163" s="543"/>
      <c r="D163" s="543"/>
      <c r="E163" s="543"/>
      <c r="F163" s="588">
        <f>F140:H140</f>
        <v>14.96</v>
      </c>
      <c r="G163" s="588">
        <f t="shared" ref="G163:H163" si="14">G140:I140</f>
        <v>1.7</v>
      </c>
      <c r="H163" s="588">
        <f t="shared" si="14"/>
        <v>0.4</v>
      </c>
      <c r="I163" s="543" t="s">
        <v>613</v>
      </c>
    </row>
    <row r="164" spans="1:10" ht="16.5" thickBot="1">
      <c r="A164" s="541"/>
      <c r="B164" s="311"/>
      <c r="C164" s="311"/>
      <c r="D164" s="311"/>
      <c r="E164" s="311"/>
      <c r="F164" s="311"/>
      <c r="G164" s="311"/>
      <c r="H164" s="311"/>
      <c r="I164" s="311"/>
      <c r="J164" s="311"/>
    </row>
    <row r="165" spans="1:10">
      <c r="A165" s="531"/>
      <c r="B165" s="532"/>
      <c r="C165" s="532"/>
      <c r="D165" s="532" t="s">
        <v>473</v>
      </c>
      <c r="E165" s="532" t="s">
        <v>474</v>
      </c>
      <c r="F165" s="532"/>
      <c r="G165" s="532" t="s">
        <v>473</v>
      </c>
      <c r="H165" s="532" t="s">
        <v>474</v>
      </c>
      <c r="I165" s="533"/>
      <c r="J165" s="311"/>
    </row>
    <row r="166" spans="1:10">
      <c r="A166" s="534" t="s">
        <v>87</v>
      </c>
      <c r="B166" s="535"/>
      <c r="C166" s="535" t="s">
        <v>475</v>
      </c>
      <c r="D166" s="535" t="s">
        <v>475</v>
      </c>
      <c r="E166" s="535" t="s">
        <v>475</v>
      </c>
      <c r="F166" s="535" t="s">
        <v>418</v>
      </c>
      <c r="G166" s="535" t="s">
        <v>418</v>
      </c>
      <c r="H166" s="535" t="s">
        <v>418</v>
      </c>
      <c r="I166" s="536"/>
      <c r="J166" s="311"/>
    </row>
    <row r="167" spans="1:10" ht="16.5" thickBot="1">
      <c r="A167" s="537" t="s">
        <v>417</v>
      </c>
      <c r="B167" s="538" t="s">
        <v>87</v>
      </c>
      <c r="C167" s="538" t="s">
        <v>388</v>
      </c>
      <c r="D167" s="538" t="s">
        <v>389</v>
      </c>
      <c r="E167" s="538" t="s">
        <v>389</v>
      </c>
      <c r="F167" s="538" t="s">
        <v>388</v>
      </c>
      <c r="G167" s="538" t="s">
        <v>389</v>
      </c>
      <c r="H167" s="538" t="s">
        <v>389</v>
      </c>
      <c r="I167" s="539" t="s">
        <v>476</v>
      </c>
      <c r="J167" s="311"/>
    </row>
    <row r="168" spans="1:10">
      <c r="A168" s="541">
        <v>800</v>
      </c>
      <c r="B168" s="542" t="s">
        <v>617</v>
      </c>
      <c r="C168" s="555">
        <f>C141</f>
        <v>49.580000000000005</v>
      </c>
      <c r="D168" s="555">
        <f t="shared" ref="D168:E168" si="15">D141</f>
        <v>7.2</v>
      </c>
      <c r="E168" s="555">
        <f t="shared" si="15"/>
        <v>7.3</v>
      </c>
      <c r="F168" s="311"/>
      <c r="G168" s="311"/>
      <c r="H168" s="311"/>
      <c r="I168" s="311"/>
      <c r="J168" s="311"/>
    </row>
    <row r="169" spans="1:10">
      <c r="A169" s="580">
        <v>813</v>
      </c>
      <c r="B169" s="581" t="s">
        <v>527</v>
      </c>
      <c r="C169" s="543"/>
      <c r="D169" s="543"/>
      <c r="E169" s="543"/>
      <c r="F169" s="588">
        <f>F140</f>
        <v>14.96</v>
      </c>
      <c r="G169" s="588">
        <f t="shared" ref="G169:H169" si="16">G140</f>
        <v>1.7</v>
      </c>
      <c r="H169" s="588">
        <f t="shared" si="16"/>
        <v>0.4</v>
      </c>
      <c r="I169" s="543" t="s">
        <v>613</v>
      </c>
      <c r="J169" s="311"/>
    </row>
    <row r="170" spans="1:10" ht="16.5" thickBot="1"/>
    <row r="171" spans="1:10">
      <c r="A171" s="531"/>
      <c r="B171" s="532"/>
      <c r="C171" s="532"/>
      <c r="D171" s="532" t="s">
        <v>473</v>
      </c>
      <c r="E171" s="532" t="s">
        <v>474</v>
      </c>
      <c r="F171" s="532"/>
      <c r="G171" s="532" t="s">
        <v>473</v>
      </c>
      <c r="H171" s="532" t="s">
        <v>474</v>
      </c>
      <c r="I171" s="533"/>
      <c r="J171" s="311"/>
    </row>
    <row r="172" spans="1:10">
      <c r="A172" s="534" t="s">
        <v>87</v>
      </c>
      <c r="B172" s="535"/>
      <c r="C172" s="535" t="s">
        <v>475</v>
      </c>
      <c r="D172" s="535" t="s">
        <v>475</v>
      </c>
      <c r="E172" s="535" t="s">
        <v>475</v>
      </c>
      <c r="F172" s="535" t="s">
        <v>418</v>
      </c>
      <c r="G172" s="535" t="s">
        <v>418</v>
      </c>
      <c r="H172" s="535" t="s">
        <v>418</v>
      </c>
      <c r="I172" s="536"/>
      <c r="J172" s="311"/>
    </row>
    <row r="173" spans="1:10" ht="16.5" thickBot="1">
      <c r="A173" s="537" t="s">
        <v>417</v>
      </c>
      <c r="B173" s="538" t="s">
        <v>87</v>
      </c>
      <c r="C173" s="538" t="s">
        <v>388</v>
      </c>
      <c r="D173" s="538" t="s">
        <v>389</v>
      </c>
      <c r="E173" s="538" t="s">
        <v>389</v>
      </c>
      <c r="F173" s="538" t="s">
        <v>388</v>
      </c>
      <c r="G173" s="538" t="s">
        <v>389</v>
      </c>
      <c r="H173" s="538" t="s">
        <v>389</v>
      </c>
      <c r="I173" s="539" t="s">
        <v>476</v>
      </c>
      <c r="J173" s="311"/>
    </row>
    <row r="174" spans="1:10">
      <c r="A174" s="486">
        <v>500</v>
      </c>
      <c r="B174" s="589" t="s">
        <v>130</v>
      </c>
      <c r="C174" s="590">
        <v>557.8264766584432</v>
      </c>
      <c r="D174" s="512">
        <v>413</v>
      </c>
      <c r="E174" s="512">
        <v>398</v>
      </c>
      <c r="F174" s="311"/>
      <c r="G174" s="311"/>
      <c r="H174" s="311"/>
      <c r="I174" s="311"/>
      <c r="J174" s="311"/>
    </row>
    <row r="175" spans="1:10">
      <c r="A175" s="580">
        <v>518</v>
      </c>
      <c r="B175" s="581" t="s">
        <v>528</v>
      </c>
      <c r="C175" s="543"/>
      <c r="D175" s="543"/>
      <c r="E175" s="543"/>
      <c r="F175" s="588">
        <f>Commercial!M78</f>
        <v>8.9114626297459498</v>
      </c>
      <c r="G175" s="588">
        <f>Commercial!N78</f>
        <v>0.4502216218290942</v>
      </c>
      <c r="H175" s="588">
        <f>Commercial!O78</f>
        <v>0.90588641406085391</v>
      </c>
      <c r="I175" s="543" t="s">
        <v>615</v>
      </c>
      <c r="J175" s="311"/>
    </row>
  </sheetData>
  <mergeCells count="3">
    <mergeCell ref="L7:P7"/>
    <mergeCell ref="L13:P13"/>
    <mergeCell ref="L19:P19"/>
  </mergeCells>
  <pageMargins left="0.7" right="0.7" top="0.75" bottom="0.75" header="0.3" footer="0.3"/>
  <pageSetup paperSize="17" scale="7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62"/>
  <sheetViews>
    <sheetView topLeftCell="F27" workbookViewId="0"/>
  </sheetViews>
  <sheetFormatPr defaultRowHeight="15"/>
  <cols>
    <col min="1" max="1" width="2" style="239" customWidth="1"/>
    <col min="2" max="2" width="8.140625" style="239" bestFit="1" customWidth="1"/>
    <col min="3" max="3" width="66.85546875" style="239" bestFit="1" customWidth="1"/>
    <col min="4" max="6" width="10.7109375" style="239" customWidth="1"/>
    <col min="7" max="8" width="9.140625" style="239"/>
    <col min="9" max="9" width="9.140625" style="240"/>
    <col min="10" max="10" width="29" style="239" customWidth="1"/>
    <col min="11" max="11" width="2.28515625" style="239" customWidth="1"/>
    <col min="12" max="12" width="15.140625" style="239" customWidth="1"/>
    <col min="13" max="13" width="21" style="239" customWidth="1"/>
    <col min="14" max="14" width="10.42578125" style="239" bestFit="1" customWidth="1"/>
    <col min="15" max="15" width="15.140625" style="239" bestFit="1" customWidth="1"/>
    <col min="16" max="16" width="14.140625" style="239" customWidth="1"/>
    <col min="17" max="17" width="20.85546875" style="239" bestFit="1" customWidth="1"/>
    <col min="18" max="19" width="18" style="239" bestFit="1" customWidth="1"/>
    <col min="20" max="20" width="18.85546875" style="239" bestFit="1" customWidth="1"/>
    <col min="21" max="22" width="14.42578125" style="239" bestFit="1" customWidth="1"/>
    <col min="23" max="23" width="15.140625" style="239" bestFit="1" customWidth="1"/>
    <col min="24" max="16384" width="9.140625" style="239"/>
  </cols>
  <sheetData>
    <row r="1" spans="2:23">
      <c r="M1" s="263" t="s">
        <v>612</v>
      </c>
    </row>
    <row r="2" spans="2:23">
      <c r="N2" s="963" t="s">
        <v>607</v>
      </c>
      <c r="O2" s="964"/>
      <c r="P2" s="965"/>
      <c r="Q2" s="277"/>
      <c r="R2" s="963" t="s">
        <v>611</v>
      </c>
      <c r="S2" s="964"/>
      <c r="T2" s="965"/>
    </row>
    <row r="3" spans="2:23">
      <c r="M3" s="248" t="s">
        <v>610</v>
      </c>
      <c r="N3" s="248" t="s">
        <v>605</v>
      </c>
      <c r="O3" s="248" t="s">
        <v>532</v>
      </c>
      <c r="P3" s="248" t="s">
        <v>531</v>
      </c>
      <c r="Q3" s="248" t="s">
        <v>609</v>
      </c>
      <c r="R3" s="248" t="s">
        <v>605</v>
      </c>
      <c r="S3" s="248" t="s">
        <v>532</v>
      </c>
      <c r="T3" s="248" t="s">
        <v>531</v>
      </c>
    </row>
    <row r="4" spans="2:23" ht="12" customHeight="1">
      <c r="B4" s="239" t="s">
        <v>666</v>
      </c>
      <c r="M4" s="36">
        <v>801</v>
      </c>
      <c r="N4" s="312">
        <v>103.30839521753801</v>
      </c>
      <c r="O4" s="312">
        <v>15.137926024020015</v>
      </c>
      <c r="P4" s="312">
        <v>13.203846521475525</v>
      </c>
      <c r="Q4" s="313">
        <f>(32-28)/(34-28)</f>
        <v>0.66666666666666663</v>
      </c>
      <c r="R4" s="314">
        <f t="shared" ref="R4:T7" si="0">N4*$Q4</f>
        <v>68.872263478358661</v>
      </c>
      <c r="S4" s="314">
        <f t="shared" si="0"/>
        <v>10.091950682680009</v>
      </c>
      <c r="T4" s="314">
        <f t="shared" si="0"/>
        <v>8.8025643476503497</v>
      </c>
    </row>
    <row r="5" spans="2:23" ht="15.75" thickBot="1">
      <c r="G5" s="966"/>
      <c r="H5" s="966"/>
      <c r="I5" s="966"/>
      <c r="M5" s="36">
        <v>802</v>
      </c>
      <c r="N5" s="312">
        <v>12.687949369019545</v>
      </c>
      <c r="O5" s="312">
        <v>1.8375936272115612</v>
      </c>
      <c r="P5" s="312">
        <v>1.620558013621191</v>
      </c>
      <c r="Q5" s="313">
        <f>(53-18)/(75-18)</f>
        <v>0.61403508771929827</v>
      </c>
      <c r="R5" s="314">
        <f t="shared" si="0"/>
        <v>7.7908461037839318</v>
      </c>
      <c r="S5" s="314">
        <f t="shared" si="0"/>
        <v>1.1283469640772745</v>
      </c>
      <c r="T5" s="314">
        <f t="shared" si="0"/>
        <v>0.99507948204809982</v>
      </c>
    </row>
    <row r="6" spans="2:23">
      <c r="B6" s="315"/>
      <c r="C6" s="316"/>
      <c r="D6" s="316"/>
      <c r="E6" s="316" t="s">
        <v>473</v>
      </c>
      <c r="F6" s="316" t="s">
        <v>474</v>
      </c>
      <c r="G6" s="316"/>
      <c r="H6" s="316" t="s">
        <v>473</v>
      </c>
      <c r="I6" s="317" t="s">
        <v>474</v>
      </c>
      <c r="J6" s="318"/>
      <c r="K6" s="205"/>
      <c r="M6" s="36">
        <v>803</v>
      </c>
      <c r="N6" s="312">
        <v>16.304332369504607</v>
      </c>
      <c r="O6" s="312">
        <v>2.3599400449680785</v>
      </c>
      <c r="P6" s="312">
        <v>2.0818249220220117</v>
      </c>
      <c r="Q6" s="313">
        <f>(53-18)/(75-18)</f>
        <v>0.61403508771929827</v>
      </c>
      <c r="R6" s="314">
        <f t="shared" si="0"/>
        <v>10.011432156713356</v>
      </c>
      <c r="S6" s="314">
        <f t="shared" si="0"/>
        <v>1.4490859925242587</v>
      </c>
      <c r="T6" s="314">
        <f t="shared" si="0"/>
        <v>1.2783135486100072</v>
      </c>
    </row>
    <row r="7" spans="2:23">
      <c r="B7" s="319" t="s">
        <v>87</v>
      </c>
      <c r="C7" s="320"/>
      <c r="D7" s="320" t="s">
        <v>475</v>
      </c>
      <c r="E7" s="320" t="s">
        <v>475</v>
      </c>
      <c r="F7" s="320" t="s">
        <v>475</v>
      </c>
      <c r="G7" s="320" t="s">
        <v>418</v>
      </c>
      <c r="H7" s="320" t="s">
        <v>418</v>
      </c>
      <c r="I7" s="321" t="s">
        <v>418</v>
      </c>
      <c r="J7" s="322"/>
      <c r="K7" s="205"/>
      <c r="M7" s="36">
        <v>804</v>
      </c>
      <c r="N7" s="312">
        <v>8.554263895560215</v>
      </c>
      <c r="O7" s="312">
        <v>1.2470464144700564</v>
      </c>
      <c r="P7" s="312">
        <v>1.103007354097397</v>
      </c>
      <c r="Q7" s="313">
        <v>1</v>
      </c>
      <c r="R7" s="314">
        <f t="shared" si="0"/>
        <v>8.554263895560215</v>
      </c>
      <c r="S7" s="314">
        <f t="shared" si="0"/>
        <v>1.2470464144700564</v>
      </c>
      <c r="T7" s="314">
        <f t="shared" si="0"/>
        <v>1.103007354097397</v>
      </c>
    </row>
    <row r="8" spans="2:23" ht="15.75" thickBot="1">
      <c r="B8" s="323" t="s">
        <v>417</v>
      </c>
      <c r="C8" s="324" t="s">
        <v>87</v>
      </c>
      <c r="D8" s="324" t="s">
        <v>388</v>
      </c>
      <c r="E8" s="324" t="s">
        <v>389</v>
      </c>
      <c r="F8" s="324" t="s">
        <v>389</v>
      </c>
      <c r="G8" s="325" t="s">
        <v>388</v>
      </c>
      <c r="H8" s="325" t="s">
        <v>389</v>
      </c>
      <c r="I8" s="326" t="s">
        <v>389</v>
      </c>
      <c r="J8" s="327" t="s">
        <v>476</v>
      </c>
      <c r="K8" s="205"/>
      <c r="M8" s="228"/>
      <c r="N8" s="228"/>
      <c r="O8" s="228"/>
      <c r="P8" s="228"/>
      <c r="Q8" s="228"/>
    </row>
    <row r="9" spans="2:23">
      <c r="B9" s="276">
        <v>800</v>
      </c>
      <c r="C9" s="328" t="s">
        <v>289</v>
      </c>
      <c r="D9" s="329">
        <v>232.51</v>
      </c>
      <c r="E9" s="329">
        <v>37.92</v>
      </c>
      <c r="F9" s="329">
        <v>0</v>
      </c>
      <c r="G9" s="277"/>
      <c r="H9" s="277"/>
      <c r="I9" s="277"/>
      <c r="J9" s="330" t="s">
        <v>564</v>
      </c>
      <c r="K9" s="331"/>
      <c r="M9" s="263" t="s">
        <v>608</v>
      </c>
    </row>
    <row r="10" spans="2:23">
      <c r="B10" s="276">
        <v>801</v>
      </c>
      <c r="C10" s="331" t="s">
        <v>186</v>
      </c>
      <c r="D10" s="277"/>
      <c r="E10" s="277"/>
      <c r="F10" s="277"/>
      <c r="G10" s="272">
        <f>Industrial!M137</f>
        <v>30.301871041249502</v>
      </c>
      <c r="H10" s="272">
        <f>Industrial!N137</f>
        <v>4.3921889219432044</v>
      </c>
      <c r="I10" s="272">
        <f>Industrial!O137</f>
        <v>0</v>
      </c>
      <c r="J10" s="330" t="s">
        <v>563</v>
      </c>
      <c r="K10" s="331"/>
      <c r="N10" s="967" t="s">
        <v>607</v>
      </c>
      <c r="O10" s="967"/>
      <c r="P10" s="967"/>
    </row>
    <row r="11" spans="2:23">
      <c r="B11" s="276">
        <v>802</v>
      </c>
      <c r="C11" s="331" t="s">
        <v>175</v>
      </c>
      <c r="D11" s="277"/>
      <c r="E11" s="277"/>
      <c r="F11" s="277"/>
      <c r="G11" s="272">
        <f>Industrial!M138</f>
        <v>2.0861999999999998</v>
      </c>
      <c r="H11" s="272">
        <f>Industrial!N138</f>
        <v>0.55421157723188919</v>
      </c>
      <c r="I11" s="272">
        <f>Industrial!O138</f>
        <v>0</v>
      </c>
      <c r="J11" s="330" t="s">
        <v>563</v>
      </c>
      <c r="K11" s="331"/>
      <c r="M11" s="248" t="s">
        <v>606</v>
      </c>
      <c r="N11" s="248" t="s">
        <v>605</v>
      </c>
      <c r="O11" s="248" t="s">
        <v>532</v>
      </c>
      <c r="P11" s="248" t="s">
        <v>531</v>
      </c>
      <c r="Q11" s="248" t="s">
        <v>604</v>
      </c>
      <c r="R11" s="332" t="s">
        <v>603</v>
      </c>
      <c r="S11" s="332" t="s">
        <v>602</v>
      </c>
      <c r="T11" s="332" t="s">
        <v>601</v>
      </c>
      <c r="U11" s="332" t="s">
        <v>600</v>
      </c>
      <c r="V11" s="332" t="s">
        <v>599</v>
      </c>
      <c r="W11" s="332" t="s">
        <v>598</v>
      </c>
    </row>
    <row r="12" spans="2:23">
      <c r="B12" s="276">
        <v>803</v>
      </c>
      <c r="C12" s="331" t="s">
        <v>177</v>
      </c>
      <c r="D12" s="277"/>
      <c r="E12" s="277"/>
      <c r="F12" s="277"/>
      <c r="G12" s="272">
        <f>Industrial!M139</f>
        <v>2.6901000000000002</v>
      </c>
      <c r="H12" s="272">
        <f>Industrial!N139</f>
        <v>0.7133434967865665</v>
      </c>
      <c r="I12" s="272">
        <f>Industrial!O139</f>
        <v>0</v>
      </c>
      <c r="J12" s="330" t="s">
        <v>563</v>
      </c>
      <c r="K12" s="331"/>
      <c r="M12" s="36">
        <v>801</v>
      </c>
      <c r="N12" s="312">
        <v>45.23</v>
      </c>
      <c r="O12" s="312">
        <v>15.137926024020015</v>
      </c>
      <c r="P12" s="312">
        <v>13.203846521475525</v>
      </c>
      <c r="Q12" s="333">
        <v>0.31428571428571428</v>
      </c>
      <c r="R12" s="334">
        <f>N12/$Q12</f>
        <v>143.91363636363636</v>
      </c>
      <c r="S12" s="334">
        <f t="shared" ref="S12:T15" si="1">O12/$Q$12</f>
        <v>48.1661282582455</v>
      </c>
      <c r="T12" s="334">
        <f t="shared" si="1"/>
        <v>42.01223893196758</v>
      </c>
      <c r="U12" s="314">
        <f t="shared" ref="U12:W15" si="2">R12-G10</f>
        <v>113.61176532238686</v>
      </c>
      <c r="V12" s="314">
        <f t="shared" si="2"/>
        <v>43.773939336302298</v>
      </c>
      <c r="W12" s="314">
        <f t="shared" si="2"/>
        <v>42.01223893196758</v>
      </c>
    </row>
    <row r="13" spans="2:23">
      <c r="B13" s="276">
        <v>804</v>
      </c>
      <c r="C13" s="331" t="s">
        <v>170</v>
      </c>
      <c r="D13" s="277"/>
      <c r="E13" s="277"/>
      <c r="F13" s="277"/>
      <c r="G13" s="272">
        <f>Industrial!M140</f>
        <v>4.4791594304413023</v>
      </c>
      <c r="H13" s="272">
        <f>Industrial!N140</f>
        <v>0.61903583673429052</v>
      </c>
      <c r="I13" s="272">
        <f>Industrial!O140</f>
        <v>0</v>
      </c>
      <c r="J13" s="330" t="s">
        <v>563</v>
      </c>
      <c r="K13" s="331"/>
      <c r="M13" s="36">
        <v>802</v>
      </c>
      <c r="N13" s="312">
        <v>6.41</v>
      </c>
      <c r="O13" s="312">
        <v>1.8375936272115612</v>
      </c>
      <c r="P13" s="312">
        <v>1.620558013621191</v>
      </c>
      <c r="Q13" s="333">
        <v>0.72</v>
      </c>
      <c r="R13" s="334">
        <f>N13/$Q13</f>
        <v>8.9027777777777786</v>
      </c>
      <c r="S13" s="334">
        <f t="shared" si="1"/>
        <v>5.8468888138549673</v>
      </c>
      <c r="T13" s="334">
        <f t="shared" si="1"/>
        <v>5.156320952431062</v>
      </c>
      <c r="U13" s="314">
        <f t="shared" si="2"/>
        <v>6.8165777777777787</v>
      </c>
      <c r="V13" s="314">
        <f t="shared" si="2"/>
        <v>5.2926772366230779</v>
      </c>
      <c r="W13" s="314">
        <f t="shared" si="2"/>
        <v>5.156320952431062</v>
      </c>
    </row>
    <row r="14" spans="2:23">
      <c r="B14" s="280"/>
      <c r="C14" s="331"/>
      <c r="D14" s="277"/>
      <c r="E14" s="277"/>
      <c r="F14" s="277"/>
      <c r="G14" s="277"/>
      <c r="H14" s="277"/>
      <c r="I14" s="277"/>
      <c r="J14" s="275"/>
      <c r="K14" s="279"/>
      <c r="M14" s="36">
        <v>803</v>
      </c>
      <c r="N14" s="312">
        <v>8.26</v>
      </c>
      <c r="O14" s="312">
        <v>2.3599400449680785</v>
      </c>
      <c r="P14" s="312">
        <v>2.0818249220220117</v>
      </c>
      <c r="Q14" s="333">
        <v>0.72</v>
      </c>
      <c r="R14" s="334">
        <f>N14/$Q14</f>
        <v>11.472222222222223</v>
      </c>
      <c r="S14" s="334">
        <f t="shared" si="1"/>
        <v>7.5089001430802496</v>
      </c>
      <c r="T14" s="334">
        <f t="shared" si="1"/>
        <v>6.6239883882518553</v>
      </c>
      <c r="U14" s="314">
        <f t="shared" si="2"/>
        <v>8.7821222222222239</v>
      </c>
      <c r="V14" s="314">
        <f t="shared" si="2"/>
        <v>6.7955566462936829</v>
      </c>
      <c r="W14" s="314">
        <f t="shared" si="2"/>
        <v>6.6239883882518553</v>
      </c>
    </row>
    <row r="15" spans="2:23">
      <c r="B15" s="280"/>
      <c r="C15" s="331"/>
      <c r="D15" s="277"/>
      <c r="E15" s="277"/>
      <c r="F15" s="277"/>
      <c r="G15" s="277"/>
      <c r="H15" s="277"/>
      <c r="I15" s="277"/>
      <c r="J15" s="275"/>
      <c r="K15" s="279"/>
      <c r="M15" s="36">
        <v>804</v>
      </c>
      <c r="N15" s="312">
        <v>4.4800000000000004</v>
      </c>
      <c r="O15" s="312">
        <v>1.2470464144700564</v>
      </c>
      <c r="P15" s="312">
        <v>1.103007354097397</v>
      </c>
      <c r="Q15" s="335">
        <v>0.48599999999999999</v>
      </c>
      <c r="R15" s="334">
        <f>N15/$Q15</f>
        <v>9.2181069958847743</v>
      </c>
      <c r="S15" s="334">
        <f t="shared" si="1"/>
        <v>3.9678749551319976</v>
      </c>
      <c r="T15" s="334">
        <f t="shared" si="1"/>
        <v>3.5095688539462633</v>
      </c>
      <c r="U15" s="314">
        <f t="shared" si="2"/>
        <v>4.7389475654434721</v>
      </c>
      <c r="V15" s="314">
        <f t="shared" si="2"/>
        <v>3.3488391183977071</v>
      </c>
      <c r="W15" s="314">
        <f t="shared" si="2"/>
        <v>3.5095688539462633</v>
      </c>
    </row>
    <row r="16" spans="2:23">
      <c r="B16" s="280"/>
      <c r="C16" s="331"/>
      <c r="D16" s="277"/>
      <c r="E16" s="277"/>
      <c r="F16" s="277"/>
      <c r="G16" s="277"/>
      <c r="H16" s="277"/>
      <c r="I16" s="277"/>
      <c r="J16" s="275"/>
      <c r="K16" s="279"/>
      <c r="P16" s="336"/>
      <c r="Q16" s="337"/>
      <c r="R16" s="337"/>
      <c r="S16" s="337"/>
      <c r="T16" s="338"/>
      <c r="U16" s="338"/>
      <c r="V16" s="338"/>
      <c r="W16" s="339"/>
    </row>
    <row r="17" spans="2:23">
      <c r="B17" s="280"/>
      <c r="C17" s="331" t="s">
        <v>597</v>
      </c>
      <c r="D17" s="329">
        <f>R12</f>
        <v>143.91363636363636</v>
      </c>
      <c r="E17" s="329">
        <f>S12</f>
        <v>48.1661282582455</v>
      </c>
      <c r="F17" s="329">
        <f>T12</f>
        <v>42.01223893196758</v>
      </c>
      <c r="G17" s="277"/>
      <c r="H17" s="277"/>
      <c r="I17" s="277"/>
      <c r="J17" s="340" t="s">
        <v>592</v>
      </c>
      <c r="K17" s="341"/>
      <c r="P17" s="336"/>
      <c r="Q17" s="337"/>
      <c r="R17" s="337"/>
      <c r="S17" s="337"/>
      <c r="T17" s="338"/>
      <c r="U17" s="338"/>
      <c r="V17" s="338"/>
      <c r="W17" s="339"/>
    </row>
    <row r="18" spans="2:23">
      <c r="B18" s="276">
        <v>801</v>
      </c>
      <c r="C18" s="331" t="s">
        <v>186</v>
      </c>
      <c r="D18" s="277"/>
      <c r="E18" s="277"/>
      <c r="F18" s="277"/>
      <c r="G18" s="272">
        <f>G10</f>
        <v>30.301871041249502</v>
      </c>
      <c r="H18" s="272">
        <f>H10</f>
        <v>4.3921889219432044</v>
      </c>
      <c r="I18" s="272">
        <f>I10</f>
        <v>0</v>
      </c>
      <c r="J18" s="330" t="s">
        <v>563</v>
      </c>
      <c r="K18" s="331"/>
    </row>
    <row r="19" spans="2:23">
      <c r="B19" s="276"/>
      <c r="C19" s="358" t="s">
        <v>481</v>
      </c>
      <c r="D19" s="329">
        <f>D17-G18</f>
        <v>113.61176532238686</v>
      </c>
      <c r="E19" s="329">
        <f>E17-H18</f>
        <v>43.773939336302298</v>
      </c>
      <c r="F19" s="329">
        <f>F17-I18</f>
        <v>42.01223893196758</v>
      </c>
      <c r="G19" s="272"/>
      <c r="H19" s="272"/>
      <c r="I19" s="329"/>
      <c r="J19" s="340" t="s">
        <v>591</v>
      </c>
      <c r="K19" s="341"/>
      <c r="L19" s="228"/>
      <c r="M19" s="228"/>
      <c r="N19" s="228"/>
    </row>
    <row r="20" spans="2:23">
      <c r="B20" s="375">
        <v>806</v>
      </c>
      <c r="C20" s="376" t="s">
        <v>541</v>
      </c>
      <c r="D20" s="377"/>
      <c r="E20" s="377"/>
      <c r="F20" s="377"/>
      <c r="G20" s="378">
        <f>$Q$25*D19</f>
        <v>21.302205997947535</v>
      </c>
      <c r="H20" s="378">
        <f>$Q$25*E19</f>
        <v>8.2076136255566805</v>
      </c>
      <c r="I20" s="378">
        <f>$Q$25*F19</f>
        <v>7.8772947997439218</v>
      </c>
      <c r="J20" s="379"/>
      <c r="K20" s="368"/>
      <c r="L20" s="363" t="s">
        <v>596</v>
      </c>
      <c r="M20" s="364"/>
      <c r="N20" s="364"/>
      <c r="O20" s="364"/>
      <c r="P20" s="364"/>
      <c r="Q20" s="364"/>
    </row>
    <row r="21" spans="2:23">
      <c r="B21" s="342"/>
      <c r="C21" s="331"/>
      <c r="D21" s="277"/>
      <c r="E21" s="277"/>
      <c r="F21" s="277"/>
      <c r="G21" s="272"/>
      <c r="H21" s="272"/>
      <c r="I21" s="329"/>
      <c r="J21" s="275"/>
      <c r="K21" s="279"/>
      <c r="L21" s="364"/>
      <c r="M21" s="364"/>
      <c r="N21" s="365" t="s">
        <v>549</v>
      </c>
      <c r="O21" s="365" t="s">
        <v>548</v>
      </c>
      <c r="P21" s="365" t="s">
        <v>547</v>
      </c>
      <c r="Q21" s="365" t="s">
        <v>546</v>
      </c>
    </row>
    <row r="22" spans="2:23">
      <c r="B22" s="342"/>
      <c r="C22" s="331"/>
      <c r="D22" s="277"/>
      <c r="E22" s="277"/>
      <c r="F22" s="277"/>
      <c r="G22" s="272"/>
      <c r="H22" s="272"/>
      <c r="I22" s="329"/>
      <c r="J22" s="275"/>
      <c r="K22" s="279"/>
      <c r="L22" s="366" t="s">
        <v>545</v>
      </c>
      <c r="M22" s="367"/>
      <c r="N22" s="365">
        <v>32</v>
      </c>
      <c r="O22" s="365">
        <v>4</v>
      </c>
      <c r="P22" s="365">
        <f>O22*N22</f>
        <v>128</v>
      </c>
      <c r="Q22" s="365"/>
    </row>
    <row r="23" spans="2:23">
      <c r="B23" s="342"/>
      <c r="C23" s="331" t="s">
        <v>595</v>
      </c>
      <c r="D23" s="343">
        <f>R13+R14</f>
        <v>20.375</v>
      </c>
      <c r="E23" s="343">
        <f>S13+S14</f>
        <v>13.355788956935218</v>
      </c>
      <c r="F23" s="343">
        <f>T13+T14</f>
        <v>11.780309340682917</v>
      </c>
      <c r="G23" s="272"/>
      <c r="H23" s="272"/>
      <c r="I23" s="329"/>
      <c r="J23" s="340" t="s">
        <v>592</v>
      </c>
      <c r="K23" s="341"/>
      <c r="L23" s="368" t="s">
        <v>186</v>
      </c>
      <c r="M23" s="369"/>
      <c r="N23" s="365">
        <v>28</v>
      </c>
      <c r="O23" s="365">
        <v>4</v>
      </c>
      <c r="P23" s="365">
        <f>O23*N23</f>
        <v>112</v>
      </c>
      <c r="Q23" s="370">
        <f>(P22-P23)/P22</f>
        <v>0.125</v>
      </c>
    </row>
    <row r="24" spans="2:23">
      <c r="B24" s="276">
        <v>802</v>
      </c>
      <c r="C24" s="331" t="s">
        <v>175</v>
      </c>
      <c r="D24" s="277"/>
      <c r="E24" s="277"/>
      <c r="F24" s="277"/>
      <c r="G24" s="272">
        <f t="shared" ref="G24:I25" si="3">G11</f>
        <v>2.0861999999999998</v>
      </c>
      <c r="H24" s="272">
        <f t="shared" si="3"/>
        <v>0.55421157723188919</v>
      </c>
      <c r="I24" s="272">
        <f t="shared" si="3"/>
        <v>0</v>
      </c>
      <c r="J24" s="330" t="s">
        <v>563</v>
      </c>
      <c r="K24" s="331"/>
      <c r="L24" s="371" t="s">
        <v>542</v>
      </c>
      <c r="M24" s="372"/>
      <c r="N24" s="365">
        <v>22</v>
      </c>
      <c r="O24" s="365">
        <v>4</v>
      </c>
      <c r="P24" s="365">
        <f>O24*N24</f>
        <v>88</v>
      </c>
      <c r="Q24" s="370">
        <f>(P22-P24)/P22</f>
        <v>0.3125</v>
      </c>
    </row>
    <row r="25" spans="2:23">
      <c r="B25" s="276">
        <v>803</v>
      </c>
      <c r="C25" s="331" t="s">
        <v>177</v>
      </c>
      <c r="D25" s="277"/>
      <c r="E25" s="277"/>
      <c r="F25" s="277"/>
      <c r="G25" s="272">
        <f t="shared" si="3"/>
        <v>2.6901000000000002</v>
      </c>
      <c r="H25" s="272">
        <f t="shared" si="3"/>
        <v>0.7133434967865665</v>
      </c>
      <c r="I25" s="272">
        <f t="shared" si="3"/>
        <v>0</v>
      </c>
      <c r="J25" s="330" t="s">
        <v>563</v>
      </c>
      <c r="K25" s="331"/>
      <c r="L25" s="373"/>
      <c r="M25" s="364"/>
      <c r="N25" s="364"/>
      <c r="O25" s="364" t="s">
        <v>540</v>
      </c>
      <c r="P25" s="364"/>
      <c r="Q25" s="374">
        <f>Q24-Q23</f>
        <v>0.1875</v>
      </c>
    </row>
    <row r="26" spans="2:23">
      <c r="B26" s="342"/>
      <c r="C26" s="358" t="s">
        <v>481</v>
      </c>
      <c r="D26" s="329">
        <f>D23-G24-G25</f>
        <v>15.598700000000001</v>
      </c>
      <c r="E26" s="329">
        <f>E23-H24-H25</f>
        <v>12.088233882916763</v>
      </c>
      <c r="F26" s="329">
        <f>F23-I24-I25</f>
        <v>11.780309340682917</v>
      </c>
      <c r="G26" s="272"/>
      <c r="H26" s="272"/>
      <c r="I26" s="329"/>
      <c r="J26" s="340" t="s">
        <v>591</v>
      </c>
      <c r="K26" s="341"/>
      <c r="L26" s="344"/>
      <c r="M26" s="228"/>
      <c r="N26" s="228"/>
    </row>
    <row r="27" spans="2:23">
      <c r="B27" s="375">
        <v>807</v>
      </c>
      <c r="C27" s="380" t="s">
        <v>555</v>
      </c>
      <c r="D27" s="377"/>
      <c r="E27" s="377"/>
      <c r="F27" s="377"/>
      <c r="G27" s="378">
        <f>D26*$M$30</f>
        <v>1.1772603773584904</v>
      </c>
      <c r="H27" s="378">
        <f>E26*$M$30</f>
        <v>0.91231953833334034</v>
      </c>
      <c r="I27" s="378">
        <f>F26*$M$30</f>
        <v>0.88907995024022002</v>
      </c>
      <c r="J27" s="379"/>
      <c r="K27" s="368"/>
      <c r="L27" s="363" t="s">
        <v>594</v>
      </c>
      <c r="M27" s="364"/>
      <c r="N27" s="364"/>
      <c r="O27" s="364"/>
    </row>
    <row r="28" spans="2:23">
      <c r="B28" s="342"/>
      <c r="C28" s="331"/>
      <c r="D28" s="277"/>
      <c r="E28" s="277"/>
      <c r="F28" s="277"/>
      <c r="G28" s="272"/>
      <c r="H28" s="272"/>
      <c r="I28" s="329"/>
      <c r="J28" s="275"/>
      <c r="K28" s="279"/>
      <c r="L28" s="364"/>
      <c r="M28" s="373">
        <f>(53-18)/53</f>
        <v>0.660377358490566</v>
      </c>
      <c r="N28" s="364" t="s">
        <v>557</v>
      </c>
      <c r="O28" s="364"/>
    </row>
    <row r="29" spans="2:23">
      <c r="B29" s="342"/>
      <c r="C29" s="331"/>
      <c r="D29" s="277"/>
      <c r="E29" s="277"/>
      <c r="F29" s="277"/>
      <c r="G29" s="272"/>
      <c r="H29" s="272"/>
      <c r="I29" s="329"/>
      <c r="J29" s="275"/>
      <c r="K29" s="279"/>
      <c r="L29" s="364"/>
      <c r="M29" s="373">
        <f>(53-14)/53</f>
        <v>0.73584905660377353</v>
      </c>
      <c r="N29" s="364" t="s">
        <v>556</v>
      </c>
      <c r="O29" s="364"/>
    </row>
    <row r="30" spans="2:23">
      <c r="B30" s="342"/>
      <c r="C30" s="331"/>
      <c r="D30" s="277"/>
      <c r="E30" s="277"/>
      <c r="F30" s="277"/>
      <c r="G30" s="272"/>
      <c r="H30" s="272"/>
      <c r="I30" s="329"/>
      <c r="J30" s="275"/>
      <c r="K30" s="279"/>
      <c r="L30" s="364"/>
      <c r="M30" s="381">
        <f>M29-M28</f>
        <v>7.547169811320753E-2</v>
      </c>
      <c r="N30" s="364" t="s">
        <v>554</v>
      </c>
      <c r="O30" s="364"/>
    </row>
    <row r="31" spans="2:23">
      <c r="B31" s="342"/>
      <c r="C31" s="331"/>
      <c r="D31" s="277"/>
      <c r="E31" s="277"/>
      <c r="F31" s="277"/>
      <c r="G31" s="272"/>
      <c r="H31" s="272"/>
      <c r="I31" s="329"/>
      <c r="J31" s="275"/>
      <c r="K31" s="279"/>
      <c r="L31" s="228"/>
      <c r="M31" s="345"/>
      <c r="N31" s="228"/>
      <c r="O31" s="228"/>
    </row>
    <row r="32" spans="2:23">
      <c r="B32" s="342"/>
      <c r="C32" s="331" t="s">
        <v>593</v>
      </c>
      <c r="D32" s="343">
        <f>R15</f>
        <v>9.2181069958847743</v>
      </c>
      <c r="E32" s="343">
        <f>S15</f>
        <v>3.9678749551319976</v>
      </c>
      <c r="F32" s="343">
        <f>T15</f>
        <v>3.5095688539462633</v>
      </c>
      <c r="G32" s="272"/>
      <c r="H32" s="272"/>
      <c r="I32" s="329"/>
      <c r="J32" s="340" t="s">
        <v>592</v>
      </c>
      <c r="K32" s="341"/>
      <c r="L32" s="228"/>
      <c r="M32" s="345"/>
      <c r="N32" s="228"/>
      <c r="O32" s="228"/>
    </row>
    <row r="33" spans="2:14">
      <c r="B33" s="276">
        <v>804</v>
      </c>
      <c r="C33" s="331" t="s">
        <v>170</v>
      </c>
      <c r="D33" s="277"/>
      <c r="E33" s="277"/>
      <c r="F33" s="277"/>
      <c r="G33" s="272">
        <f>G13</f>
        <v>4.4791594304413023</v>
      </c>
      <c r="H33" s="272">
        <f>H13</f>
        <v>0.61903583673429052</v>
      </c>
      <c r="I33" s="272">
        <f>I13</f>
        <v>0</v>
      </c>
      <c r="J33" s="330" t="s">
        <v>563</v>
      </c>
      <c r="K33" s="331"/>
      <c r="N33" s="228"/>
    </row>
    <row r="34" spans="2:14">
      <c r="B34" s="342"/>
      <c r="C34" s="358" t="s">
        <v>481</v>
      </c>
      <c r="D34" s="329">
        <f>D32-G33</f>
        <v>4.7389475654434721</v>
      </c>
      <c r="E34" s="329">
        <f>E32-H33</f>
        <v>3.3488391183977071</v>
      </c>
      <c r="F34" s="329">
        <f>F32-I33</f>
        <v>3.5095688539462633</v>
      </c>
      <c r="G34" s="272"/>
      <c r="H34" s="272"/>
      <c r="I34" s="329"/>
      <c r="J34" s="340" t="s">
        <v>591</v>
      </c>
      <c r="K34" s="341"/>
      <c r="N34" s="228"/>
    </row>
    <row r="35" spans="2:14">
      <c r="B35" s="375">
        <v>808</v>
      </c>
      <c r="C35" s="380" t="s">
        <v>590</v>
      </c>
      <c r="D35" s="377"/>
      <c r="E35" s="377"/>
      <c r="F35" s="377"/>
      <c r="G35" s="377">
        <f>D34*$L$38</f>
        <v>1.3861421628922155</v>
      </c>
      <c r="H35" s="377">
        <f>E34*$L$38</f>
        <v>0.97953544213132926</v>
      </c>
      <c r="I35" s="377">
        <f>F34*$L$38</f>
        <v>1.026548889779282</v>
      </c>
      <c r="J35" s="379"/>
      <c r="K35" s="368"/>
      <c r="L35" s="363" t="s">
        <v>530</v>
      </c>
      <c r="M35" s="364"/>
      <c r="N35" s="228"/>
    </row>
    <row r="36" spans="2:14">
      <c r="B36" s="280"/>
      <c r="C36" s="279"/>
      <c r="D36" s="277"/>
      <c r="E36" s="277"/>
      <c r="F36" s="277"/>
      <c r="G36" s="277"/>
      <c r="H36" s="277"/>
      <c r="I36" s="277"/>
      <c r="J36" s="275"/>
      <c r="K36" s="279"/>
      <c r="L36" s="373">
        <f>(400-200)/400</f>
        <v>0.5</v>
      </c>
      <c r="M36" s="364" t="s">
        <v>589</v>
      </c>
      <c r="N36" s="228"/>
    </row>
    <row r="37" spans="2:14">
      <c r="B37" s="280"/>
      <c r="C37" s="279"/>
      <c r="D37" s="277"/>
      <c r="E37" s="277"/>
      <c r="F37" s="277"/>
      <c r="G37" s="277"/>
      <c r="H37" s="277"/>
      <c r="I37" s="277"/>
      <c r="J37" s="275"/>
      <c r="K37" s="279"/>
      <c r="L37" s="373">
        <f>(400-83)/400</f>
        <v>0.79249999999999998</v>
      </c>
      <c r="M37" s="364" t="s">
        <v>588</v>
      </c>
      <c r="N37" s="228"/>
    </row>
    <row r="38" spans="2:14">
      <c r="B38" s="280"/>
      <c r="C38" s="279"/>
      <c r="D38" s="277"/>
      <c r="E38" s="277"/>
      <c r="F38" s="277"/>
      <c r="G38" s="277"/>
      <c r="H38" s="277"/>
      <c r="I38" s="277"/>
      <c r="J38" s="275"/>
      <c r="K38" s="279"/>
      <c r="L38" s="374">
        <f>L37-L36</f>
        <v>0.29249999999999998</v>
      </c>
      <c r="M38" s="364" t="s">
        <v>552</v>
      </c>
      <c r="N38" s="228"/>
    </row>
    <row r="39" spans="2:14">
      <c r="B39" s="280"/>
      <c r="C39" s="279"/>
      <c r="D39" s="277"/>
      <c r="E39" s="277"/>
      <c r="F39" s="277"/>
      <c r="G39" s="277"/>
      <c r="H39" s="277"/>
      <c r="I39" s="277"/>
      <c r="J39" s="275"/>
      <c r="K39" s="279"/>
    </row>
    <row r="40" spans="2:14" ht="15.75" thickBot="1">
      <c r="B40" s="280"/>
      <c r="C40" s="279"/>
      <c r="D40" s="277"/>
      <c r="E40" s="277"/>
      <c r="F40" s="277"/>
      <c r="G40" s="277"/>
      <c r="H40" s="277"/>
      <c r="I40" s="277"/>
      <c r="J40" s="275"/>
      <c r="K40" s="279"/>
    </row>
    <row r="41" spans="2:14">
      <c r="B41" s="346"/>
      <c r="C41" s="318"/>
      <c r="D41" s="347"/>
      <c r="E41" s="316" t="s">
        <v>473</v>
      </c>
      <c r="F41" s="316" t="s">
        <v>474</v>
      </c>
      <c r="G41" s="316"/>
      <c r="H41" s="316" t="s">
        <v>473</v>
      </c>
      <c r="I41" s="316" t="s">
        <v>474</v>
      </c>
      <c r="J41" s="348"/>
      <c r="K41" s="205"/>
    </row>
    <row r="42" spans="2:14">
      <c r="B42" s="349" t="s">
        <v>87</v>
      </c>
      <c r="C42" s="322"/>
      <c r="D42" s="350" t="s">
        <v>475</v>
      </c>
      <c r="E42" s="320" t="s">
        <v>475</v>
      </c>
      <c r="F42" s="320" t="s">
        <v>475</v>
      </c>
      <c r="G42" s="320" t="s">
        <v>418</v>
      </c>
      <c r="H42" s="320" t="s">
        <v>418</v>
      </c>
      <c r="I42" s="320" t="s">
        <v>418</v>
      </c>
      <c r="J42" s="351"/>
      <c r="K42" s="205"/>
    </row>
    <row r="43" spans="2:14" ht="15.75" thickBot="1">
      <c r="B43" s="352" t="s">
        <v>417</v>
      </c>
      <c r="C43" s="327" t="s">
        <v>87</v>
      </c>
      <c r="D43" s="353" t="s">
        <v>388</v>
      </c>
      <c r="E43" s="324" t="s">
        <v>389</v>
      </c>
      <c r="F43" s="324" t="s">
        <v>389</v>
      </c>
      <c r="G43" s="324" t="s">
        <v>388</v>
      </c>
      <c r="H43" s="324" t="s">
        <v>389</v>
      </c>
      <c r="I43" s="324" t="s">
        <v>389</v>
      </c>
      <c r="J43" s="354" t="s">
        <v>476</v>
      </c>
      <c r="K43" s="205"/>
    </row>
    <row r="44" spans="2:14">
      <c r="B44" s="355">
        <v>720</v>
      </c>
      <c r="C44" s="328" t="s">
        <v>154</v>
      </c>
      <c r="D44" s="277">
        <v>149.71</v>
      </c>
      <c r="E44" s="277">
        <v>27</v>
      </c>
      <c r="F44" s="277">
        <v>4.5</v>
      </c>
      <c r="G44" s="277"/>
      <c r="H44" s="277"/>
      <c r="I44" s="277"/>
      <c r="J44" s="330" t="s">
        <v>564</v>
      </c>
      <c r="K44" s="331"/>
    </row>
    <row r="45" spans="2:14">
      <c r="B45" s="355" t="s">
        <v>441</v>
      </c>
      <c r="C45" s="356" t="s">
        <v>440</v>
      </c>
      <c r="D45" s="277"/>
      <c r="E45" s="277"/>
      <c r="F45" s="277"/>
      <c r="G45" s="357">
        <f>Industrial!M125</f>
        <v>10</v>
      </c>
      <c r="H45" s="357">
        <f>Industrial!N125</f>
        <v>0</v>
      </c>
      <c r="I45" s="357">
        <f>Industrial!O125</f>
        <v>0.43</v>
      </c>
      <c r="J45" s="330" t="s">
        <v>563</v>
      </c>
      <c r="K45" s="331"/>
    </row>
    <row r="46" spans="2:14">
      <c r="B46" s="355">
        <v>722</v>
      </c>
      <c r="C46" s="328" t="s">
        <v>152</v>
      </c>
      <c r="D46" s="277"/>
      <c r="E46" s="277"/>
      <c r="F46" s="277"/>
      <c r="G46" s="357">
        <f>Industrial!M126</f>
        <v>22.443777519157901</v>
      </c>
      <c r="H46" s="357">
        <f>Industrial!N126</f>
        <v>4.0423621215125412</v>
      </c>
      <c r="I46" s="357">
        <f>Industrial!O126</f>
        <v>0</v>
      </c>
      <c r="J46" s="330" t="s">
        <v>563</v>
      </c>
      <c r="K46" s="331"/>
    </row>
    <row r="47" spans="2:14">
      <c r="B47" s="355">
        <v>723</v>
      </c>
      <c r="C47" s="328" t="s">
        <v>146</v>
      </c>
      <c r="D47" s="277"/>
      <c r="E47" s="277"/>
      <c r="F47" s="277"/>
      <c r="G47" s="357">
        <f>Industrial!M127</f>
        <v>2.5962760336283135</v>
      </c>
      <c r="H47" s="357">
        <f>Industrial!N127</f>
        <v>0.46715223568610664</v>
      </c>
      <c r="I47" s="357">
        <f>Industrial!O127</f>
        <v>0</v>
      </c>
      <c r="J47" s="330" t="s">
        <v>563</v>
      </c>
      <c r="K47" s="331"/>
    </row>
    <row r="48" spans="2:14">
      <c r="B48" s="355">
        <v>724</v>
      </c>
      <c r="C48" s="328" t="s">
        <v>151</v>
      </c>
      <c r="D48" s="277"/>
      <c r="E48" s="277"/>
      <c r="F48" s="277"/>
      <c r="G48" s="357">
        <f>Industrial!M128</f>
        <v>1.2616406554815083</v>
      </c>
      <c r="H48" s="357">
        <f>Industrial!N128</f>
        <v>0.22719265450357523</v>
      </c>
      <c r="I48" s="357">
        <f>Industrial!O128</f>
        <v>0</v>
      </c>
      <c r="J48" s="330" t="s">
        <v>563</v>
      </c>
      <c r="K48" s="331"/>
    </row>
    <row r="49" spans="2:16">
      <c r="B49" s="355">
        <v>725</v>
      </c>
      <c r="C49" s="328" t="s">
        <v>150</v>
      </c>
      <c r="D49" s="277"/>
      <c r="E49" s="277"/>
      <c r="F49" s="277"/>
      <c r="G49" s="357">
        <f>Industrial!M129</f>
        <v>2.469632328749193</v>
      </c>
      <c r="H49" s="357">
        <f>Industrial!N129</f>
        <v>0.44480679041006321</v>
      </c>
      <c r="I49" s="357">
        <f>Industrial!O129</f>
        <v>5.3676481929658149</v>
      </c>
      <c r="J49" s="330" t="s">
        <v>563</v>
      </c>
      <c r="K49" s="331"/>
    </row>
    <row r="50" spans="2:16">
      <c r="B50" s="355">
        <v>726</v>
      </c>
      <c r="C50" s="328" t="s">
        <v>149</v>
      </c>
      <c r="D50" s="277"/>
      <c r="E50" s="277"/>
      <c r="F50" s="277"/>
      <c r="G50" s="357">
        <f>Industrial!M130</f>
        <v>0.94787259572924576</v>
      </c>
      <c r="H50" s="357">
        <f>Industrial!N130</f>
        <v>0.17230175683115273</v>
      </c>
      <c r="I50" s="357">
        <f>Industrial!O130</f>
        <v>0.74391547448765705</v>
      </c>
      <c r="J50" s="330" t="s">
        <v>563</v>
      </c>
      <c r="K50" s="331"/>
    </row>
    <row r="51" spans="2:16">
      <c r="B51" s="355">
        <v>727</v>
      </c>
      <c r="C51" s="328" t="s">
        <v>145</v>
      </c>
      <c r="D51" s="277"/>
      <c r="E51" s="277"/>
      <c r="F51" s="277"/>
      <c r="G51" s="357">
        <f>Industrial!M131</f>
        <v>5.1333916203207748</v>
      </c>
      <c r="H51" s="357">
        <f>Industrial!N131</f>
        <v>0.93331759513675361</v>
      </c>
      <c r="I51" s="357">
        <f>Industrial!O131</f>
        <v>0.95751746748990285</v>
      </c>
      <c r="J51" s="330" t="s">
        <v>563</v>
      </c>
      <c r="K51" s="331"/>
    </row>
    <row r="52" spans="2:16">
      <c r="B52" s="355">
        <v>728</v>
      </c>
      <c r="C52" s="328" t="s">
        <v>144</v>
      </c>
      <c r="D52" s="277"/>
      <c r="E52" s="277"/>
      <c r="F52" s="277"/>
      <c r="G52" s="357">
        <f>Industrial!M132</f>
        <v>2.9503621485393947</v>
      </c>
      <c r="H52" s="357">
        <f>Industrial!N132</f>
        <v>0.53600359986931456</v>
      </c>
      <c r="I52" s="357">
        <f>Industrial!O132</f>
        <v>0.50686654311803714</v>
      </c>
      <c r="J52" s="330" t="s">
        <v>563</v>
      </c>
      <c r="K52" s="331"/>
    </row>
    <row r="53" spans="2:16">
      <c r="B53" s="355">
        <v>729</v>
      </c>
      <c r="C53" s="328" t="s">
        <v>143</v>
      </c>
      <c r="D53" s="277"/>
      <c r="E53" s="277"/>
      <c r="F53" s="277"/>
      <c r="G53" s="357">
        <f>Industrial!M133</f>
        <v>1.5737480670995154</v>
      </c>
      <c r="H53" s="357">
        <f>Industrial!N133</f>
        <v>0.28604157483582665</v>
      </c>
      <c r="I53" s="357">
        <f>Industrial!O133</f>
        <v>0.87264300150820961</v>
      </c>
      <c r="J53" s="330" t="s">
        <v>563</v>
      </c>
      <c r="K53" s="331"/>
    </row>
    <row r="54" spans="2:16">
      <c r="B54" s="355">
        <v>730</v>
      </c>
      <c r="C54" s="328" t="s">
        <v>141</v>
      </c>
      <c r="D54" s="277"/>
      <c r="E54" s="277"/>
      <c r="F54" s="277"/>
      <c r="G54" s="357">
        <f>Industrial!M134</f>
        <v>1.0368237039153383</v>
      </c>
      <c r="H54" s="357">
        <f>Industrial!N134</f>
        <v>0.18846165117336131</v>
      </c>
      <c r="I54" s="357">
        <f>Industrial!O134</f>
        <v>4.5461246960785805E-3</v>
      </c>
      <c r="J54" s="330" t="s">
        <v>563</v>
      </c>
      <c r="K54" s="331"/>
    </row>
    <row r="55" spans="2:16">
      <c r="B55" s="355">
        <v>731</v>
      </c>
      <c r="C55" s="328" t="s">
        <v>140</v>
      </c>
      <c r="D55" s="277"/>
      <c r="E55" s="277"/>
      <c r="F55" s="277"/>
      <c r="G55" s="357">
        <f>Industrial!M135</f>
        <v>6.230546158389954</v>
      </c>
      <c r="H55" s="357">
        <f>Industrial!N135</f>
        <v>1.1323534666040296</v>
      </c>
      <c r="I55" s="357">
        <f>Industrial!O135</f>
        <v>0</v>
      </c>
      <c r="J55" s="330" t="s">
        <v>563</v>
      </c>
      <c r="K55" s="331"/>
    </row>
    <row r="56" spans="2:16">
      <c r="B56" s="280"/>
      <c r="C56" s="358" t="s">
        <v>481</v>
      </c>
      <c r="D56" s="343">
        <f>D44-SUM(G45:G55)</f>
        <v>93.065929168988873</v>
      </c>
      <c r="E56" s="343">
        <f>E44-SUM(H45:H55)</f>
        <v>18.570006553437274</v>
      </c>
      <c r="F56" s="343">
        <f>F44-SUM(I45:I55)</f>
        <v>-4.3831368042657015</v>
      </c>
      <c r="G56" s="277"/>
      <c r="H56" s="277"/>
      <c r="I56" s="277"/>
      <c r="J56" s="275"/>
      <c r="K56" s="279"/>
      <c r="L56" s="368" t="s">
        <v>537</v>
      </c>
      <c r="M56" s="368"/>
      <c r="N56" s="368"/>
    </row>
    <row r="57" spans="2:16">
      <c r="B57" s="375">
        <v>732</v>
      </c>
      <c r="C57" s="382" t="s">
        <v>536</v>
      </c>
      <c r="D57" s="383"/>
      <c r="E57" s="383"/>
      <c r="F57" s="383"/>
      <c r="G57" s="384">
        <f>D56*L58</f>
        <v>8.2828676960400092</v>
      </c>
      <c r="H57" s="384">
        <f>E56*M58</f>
        <v>2.0055607077712256</v>
      </c>
      <c r="I57" s="384">
        <f>F56*N58</f>
        <v>0</v>
      </c>
      <c r="J57" s="379"/>
      <c r="K57" s="368"/>
      <c r="L57" s="368" t="s">
        <v>533</v>
      </c>
      <c r="M57" s="368" t="s">
        <v>532</v>
      </c>
      <c r="N57" s="368" t="s">
        <v>531</v>
      </c>
    </row>
    <row r="58" spans="2:16">
      <c r="B58" s="355"/>
      <c r="C58" s="358" t="s">
        <v>481</v>
      </c>
      <c r="D58" s="343">
        <f>D56-G57</f>
        <v>84.783061472948859</v>
      </c>
      <c r="E58" s="343">
        <f>E56-H57</f>
        <v>16.56444584566605</v>
      </c>
      <c r="F58" s="343">
        <f>F56-I57</f>
        <v>-4.3831368042657015</v>
      </c>
      <c r="G58" s="277"/>
      <c r="H58" s="277"/>
      <c r="I58" s="277"/>
      <c r="J58" s="275"/>
      <c r="K58" s="279"/>
      <c r="L58" s="386">
        <v>8.8999999999999996E-2</v>
      </c>
      <c r="M58" s="386">
        <v>0.108</v>
      </c>
      <c r="N58" s="386">
        <v>0</v>
      </c>
    </row>
    <row r="59" spans="2:16">
      <c r="B59" s="355"/>
      <c r="C59" s="358"/>
      <c r="D59" s="343"/>
      <c r="E59" s="343"/>
      <c r="F59" s="343"/>
      <c r="G59" s="277"/>
      <c r="H59" s="277"/>
      <c r="I59" s="277"/>
      <c r="J59" s="275"/>
      <c r="K59" s="279"/>
      <c r="L59" s="386"/>
      <c r="M59" s="386"/>
      <c r="N59" s="386"/>
    </row>
    <row r="60" spans="2:16">
      <c r="B60" s="375">
        <v>733</v>
      </c>
      <c r="C60" s="385" t="s">
        <v>587</v>
      </c>
      <c r="D60" s="383"/>
      <c r="E60" s="383"/>
      <c r="F60" s="383"/>
      <c r="G60" s="384">
        <f>D58*L62</f>
        <v>19.500104138778237</v>
      </c>
      <c r="H60" s="384">
        <f>E58*M62</f>
        <v>3.8098225445031919</v>
      </c>
      <c r="I60" s="384">
        <v>0</v>
      </c>
      <c r="J60" s="379"/>
      <c r="K60" s="368"/>
      <c r="L60" s="368" t="s">
        <v>534</v>
      </c>
      <c r="M60" s="368"/>
      <c r="N60" s="368"/>
      <c r="O60" s="228"/>
      <c r="P60" s="228"/>
    </row>
    <row r="61" spans="2:16" ht="15.75" thickBot="1">
      <c r="B61" s="359"/>
      <c r="C61" s="360"/>
      <c r="D61" s="361"/>
      <c r="E61" s="361"/>
      <c r="F61" s="361"/>
      <c r="G61" s="361"/>
      <c r="H61" s="361"/>
      <c r="I61" s="361"/>
      <c r="J61" s="362"/>
      <c r="K61" s="279"/>
      <c r="L61" s="368" t="s">
        <v>533</v>
      </c>
      <c r="M61" s="368" t="s">
        <v>532</v>
      </c>
      <c r="N61" s="368" t="s">
        <v>531</v>
      </c>
      <c r="O61" s="228"/>
      <c r="P61" s="228"/>
    </row>
    <row r="62" spans="2:16">
      <c r="L62" s="386">
        <v>0.23</v>
      </c>
      <c r="M62" s="386">
        <v>0.23</v>
      </c>
      <c r="N62" s="386">
        <v>0.23</v>
      </c>
      <c r="O62" s="228"/>
      <c r="P62" s="228"/>
    </row>
  </sheetData>
  <mergeCells count="4">
    <mergeCell ref="N2:P2"/>
    <mergeCell ref="R2:T2"/>
    <mergeCell ref="G5:I5"/>
    <mergeCell ref="N10:P10"/>
  </mergeCells>
  <pageMargins left="0.7" right="0.7" top="0.75" bottom="0.75" header="0.3" footer="0.3"/>
  <pageSetup paperSize="1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32"/>
  <sheetViews>
    <sheetView zoomScaleNormal="100" workbookViewId="0">
      <selection activeCell="N34" sqref="N34"/>
    </sheetView>
  </sheetViews>
  <sheetFormatPr defaultRowHeight="15"/>
  <cols>
    <col min="1" max="1" width="1.85546875" style="19" customWidth="1"/>
    <col min="2" max="2" width="13.5703125" style="43" customWidth="1"/>
    <col min="3" max="3" width="12.5703125" style="19" customWidth="1"/>
    <col min="4" max="4" width="10.7109375" style="19" bestFit="1" customWidth="1"/>
    <col min="5" max="5" width="11.5703125" style="19" customWidth="1"/>
    <col min="6" max="7" width="13.7109375" style="19" customWidth="1"/>
    <col min="8" max="8" width="11.7109375" style="19" customWidth="1"/>
    <col min="9" max="9" width="11.7109375" style="19" bestFit="1" customWidth="1"/>
    <col min="10" max="10" width="14.85546875" style="19" customWidth="1"/>
    <col min="11" max="11" width="10.42578125" style="19" customWidth="1"/>
    <col min="12" max="12" width="9.7109375" style="19" bestFit="1" customWidth="1"/>
    <col min="13" max="13" width="14.42578125" style="19" customWidth="1"/>
    <col min="14" max="14" width="12.42578125" style="19" customWidth="1"/>
    <col min="15" max="15" width="14.7109375" style="19" bestFit="1" customWidth="1"/>
    <col min="16" max="16" width="15" style="19" customWidth="1"/>
    <col min="17" max="17" width="12.140625" style="19" customWidth="1"/>
    <col min="18" max="18" width="14.85546875" style="19" bestFit="1" customWidth="1"/>
    <col min="19" max="16384" width="9.140625" style="19"/>
  </cols>
  <sheetData>
    <row r="2" spans="2:19" ht="45">
      <c r="B2" s="88" t="s">
        <v>618</v>
      </c>
      <c r="C2" s="88" t="s">
        <v>619</v>
      </c>
      <c r="D2" s="603" t="s">
        <v>620</v>
      </c>
      <c r="E2" s="595" t="s">
        <v>621</v>
      </c>
      <c r="F2" s="596" t="s">
        <v>622</v>
      </c>
      <c r="G2" s="88" t="s">
        <v>623</v>
      </c>
      <c r="H2" s="598" t="s">
        <v>624</v>
      </c>
      <c r="I2" s="597" t="s">
        <v>625</v>
      </c>
      <c r="J2" s="599" t="s">
        <v>626</v>
      </c>
      <c r="K2" s="600" t="s">
        <v>627</v>
      </c>
      <c r="L2" s="601" t="s">
        <v>628</v>
      </c>
      <c r="M2" s="602" t="s">
        <v>629</v>
      </c>
      <c r="N2" s="603" t="s">
        <v>630</v>
      </c>
      <c r="O2" s="603" t="s">
        <v>631</v>
      </c>
      <c r="P2" s="603" t="s">
        <v>632</v>
      </c>
      <c r="Q2" s="603" t="s">
        <v>633</v>
      </c>
      <c r="R2" s="603" t="s">
        <v>634</v>
      </c>
      <c r="S2" s="604" t="s">
        <v>635</v>
      </c>
    </row>
    <row r="3" spans="2:19">
      <c r="B3" s="307">
        <v>2003</v>
      </c>
      <c r="C3" s="89">
        <v>3264521</v>
      </c>
      <c r="D3" s="94">
        <v>2.4510000000000001</v>
      </c>
      <c r="E3" s="89">
        <v>19429</v>
      </c>
      <c r="F3" s="89">
        <v>1331914</v>
      </c>
      <c r="G3" s="89">
        <f>+(E3/F3)*1000000</f>
        <v>14587.278157598765</v>
      </c>
      <c r="H3" s="89">
        <v>11553</v>
      </c>
      <c r="I3" s="89">
        <v>154294</v>
      </c>
      <c r="J3" s="89">
        <f>+(H3/I3)*1000000</f>
        <v>74876.534408337335</v>
      </c>
      <c r="K3" s="89">
        <v>4001</v>
      </c>
      <c r="L3" s="89">
        <v>2643</v>
      </c>
      <c r="M3" s="89">
        <f>+(K3/L3)*1000000</f>
        <v>1513810.0643208474</v>
      </c>
      <c r="N3" s="89">
        <v>1510516</v>
      </c>
      <c r="O3" s="89">
        <v>8881</v>
      </c>
      <c r="P3" s="90">
        <f>(O3/N3)*1000</f>
        <v>5.879447817831787</v>
      </c>
      <c r="Q3" s="89">
        <v>11553</v>
      </c>
      <c r="R3" s="90">
        <f>(Q3/N3)*1000</f>
        <v>7.6483797589697824</v>
      </c>
      <c r="S3" s="608">
        <f t="shared" ref="S3:S6" si="0">E3+H3+K3</f>
        <v>34983</v>
      </c>
    </row>
    <row r="4" spans="2:19">
      <c r="B4" s="307">
        <v>2004</v>
      </c>
      <c r="C4" s="89">
        <v>3339365</v>
      </c>
      <c r="D4" s="94">
        <v>2.4470000000000001</v>
      </c>
      <c r="E4" s="89">
        <v>19347</v>
      </c>
      <c r="F4" s="89">
        <v>1364677</v>
      </c>
      <c r="G4" s="89">
        <f t="shared" ref="G4:G12" si="1">+(E4/F4)*1000000</f>
        <v>14176.981073177023</v>
      </c>
      <c r="H4" s="89">
        <v>11734</v>
      </c>
      <c r="I4" s="89">
        <v>158780</v>
      </c>
      <c r="J4" s="89">
        <f t="shared" ref="J4:J12" si="2">+(H4/I4)*1000000</f>
        <v>73900.995087542513</v>
      </c>
      <c r="K4" s="89">
        <v>4069</v>
      </c>
      <c r="L4" s="89">
        <v>2733</v>
      </c>
      <c r="M4" s="89">
        <f t="shared" ref="M4:M12" si="3">+(K4/L4)*1000000</f>
        <v>1488840.1024515186</v>
      </c>
      <c r="N4" s="89">
        <v>1548627</v>
      </c>
      <c r="O4" s="89">
        <v>9583</v>
      </c>
      <c r="P4" s="90">
        <f t="shared" ref="P4:P12" si="4">(O4/N4)*1000</f>
        <v>6.1880620704662901</v>
      </c>
      <c r="Q4" s="89">
        <v>9323</v>
      </c>
      <c r="R4" s="90">
        <f t="shared" ref="R4:R12" si="5">(Q4/N4)*1000</f>
        <v>6.0201714163578446</v>
      </c>
      <c r="S4" s="608">
        <f t="shared" si="0"/>
        <v>35150</v>
      </c>
    </row>
    <row r="5" spans="2:19">
      <c r="B5" s="307">
        <v>2005</v>
      </c>
      <c r="C5" s="89">
        <v>3428268</v>
      </c>
      <c r="D5" s="94">
        <v>2.4540000000000002</v>
      </c>
      <c r="E5" s="89">
        <v>19894</v>
      </c>
      <c r="F5" s="89">
        <v>1397012</v>
      </c>
      <c r="G5" s="89">
        <f t="shared" si="1"/>
        <v>14240.393067489757</v>
      </c>
      <c r="H5" s="89">
        <v>11945</v>
      </c>
      <c r="I5" s="89">
        <v>161001</v>
      </c>
      <c r="J5" s="89">
        <f t="shared" si="2"/>
        <v>74192.085763442461</v>
      </c>
      <c r="K5" s="89">
        <v>4140</v>
      </c>
      <c r="L5" s="89">
        <v>2703</v>
      </c>
      <c r="M5" s="89">
        <f t="shared" si="3"/>
        <v>1531631.5205327412</v>
      </c>
      <c r="N5" s="89">
        <v>1583417</v>
      </c>
      <c r="O5" s="89">
        <v>10350</v>
      </c>
      <c r="P5" s="90">
        <f t="shared" si="4"/>
        <v>6.5364967030163248</v>
      </c>
      <c r="Q5" s="89">
        <v>10830</v>
      </c>
      <c r="R5" s="90">
        <f t="shared" si="5"/>
        <v>6.8396385790982412</v>
      </c>
      <c r="S5" s="608">
        <f t="shared" si="0"/>
        <v>35979</v>
      </c>
    </row>
    <row r="6" spans="2:19">
      <c r="B6" s="307">
        <v>2006</v>
      </c>
      <c r="C6" s="89">
        <v>3504907</v>
      </c>
      <c r="D6" s="94">
        <v>2.448</v>
      </c>
      <c r="E6" s="89">
        <v>20021</v>
      </c>
      <c r="F6" s="89">
        <v>1431743</v>
      </c>
      <c r="G6" s="89">
        <f t="shared" si="1"/>
        <v>13983.65488778363</v>
      </c>
      <c r="H6" s="89">
        <v>11975</v>
      </c>
      <c r="I6" s="89">
        <v>162774</v>
      </c>
      <c r="J6" s="89">
        <f t="shared" si="2"/>
        <v>73568.26028726947</v>
      </c>
      <c r="K6" s="89">
        <v>4160</v>
      </c>
      <c r="L6" s="89">
        <v>2697</v>
      </c>
      <c r="M6" s="89">
        <f t="shared" si="3"/>
        <v>1542454.5791620319</v>
      </c>
      <c r="N6" s="89">
        <v>1620396</v>
      </c>
      <c r="O6" s="89">
        <v>10147</v>
      </c>
      <c r="P6" s="90">
        <f t="shared" si="4"/>
        <v>6.2620495236966764</v>
      </c>
      <c r="Q6" s="89">
        <v>10698</v>
      </c>
      <c r="R6" s="90">
        <f t="shared" si="5"/>
        <v>6.6020898595158224</v>
      </c>
      <c r="S6" s="608">
        <f t="shared" si="0"/>
        <v>36156</v>
      </c>
    </row>
    <row r="7" spans="2:19">
      <c r="B7" s="307">
        <v>2007</v>
      </c>
      <c r="C7" s="89">
        <v>3532104</v>
      </c>
      <c r="D7" s="94">
        <v>2.448</v>
      </c>
      <c r="E7" s="89">
        <v>19912</v>
      </c>
      <c r="F7" s="89">
        <v>1442853</v>
      </c>
      <c r="G7" s="89">
        <f t="shared" si="1"/>
        <v>13800.435664617255</v>
      </c>
      <c r="H7" s="89">
        <v>12184</v>
      </c>
      <c r="I7" s="89">
        <v>162837</v>
      </c>
      <c r="J7" s="89">
        <f t="shared" si="2"/>
        <v>74823.289547215929</v>
      </c>
      <c r="K7" s="89">
        <v>3819</v>
      </c>
      <c r="L7" s="89">
        <v>2668</v>
      </c>
      <c r="M7" s="89">
        <f t="shared" si="3"/>
        <v>1431409.2953523239</v>
      </c>
      <c r="N7" s="89">
        <v>1632368</v>
      </c>
      <c r="O7" s="89">
        <v>10931</v>
      </c>
      <c r="P7" s="90">
        <f t="shared" si="4"/>
        <v>6.6964066926085302</v>
      </c>
      <c r="Q7" s="89">
        <v>9896</v>
      </c>
      <c r="R7" s="90">
        <f t="shared" si="5"/>
        <v>6.0623584877919683</v>
      </c>
      <c r="S7" s="608">
        <f>E7+H7+K7</f>
        <v>35915</v>
      </c>
    </row>
    <row r="8" spans="2:19">
      <c r="B8" s="307">
        <v>2008</v>
      </c>
      <c r="C8" s="89">
        <v>3561743</v>
      </c>
      <c r="D8" s="94">
        <v>2.4580000000000002</v>
      </c>
      <c r="E8" s="89">
        <v>19328</v>
      </c>
      <c r="F8" s="89">
        <v>1449041</v>
      </c>
      <c r="G8" s="89">
        <f t="shared" si="1"/>
        <v>13338.476965110029</v>
      </c>
      <c r="H8" s="89">
        <v>12139</v>
      </c>
      <c r="I8" s="89">
        <v>162569</v>
      </c>
      <c r="J8" s="89">
        <f t="shared" si="2"/>
        <v>74669.832501891506</v>
      </c>
      <c r="K8" s="89">
        <v>3786</v>
      </c>
      <c r="L8" s="89">
        <v>2587</v>
      </c>
      <c r="M8" s="89">
        <f t="shared" si="3"/>
        <v>1463471.2021646695</v>
      </c>
      <c r="N8" s="89">
        <v>1638935</v>
      </c>
      <c r="O8" s="89">
        <v>10592</v>
      </c>
      <c r="P8" s="90">
        <f t="shared" si="4"/>
        <v>6.462733421398652</v>
      </c>
      <c r="Q8" s="89">
        <v>10964</v>
      </c>
      <c r="R8" s="90">
        <f t="shared" si="5"/>
        <v>6.689710086123001</v>
      </c>
      <c r="S8" s="608">
        <f t="shared" ref="S8:S12" si="6">E8+H8+K8</f>
        <v>35253</v>
      </c>
    </row>
    <row r="9" spans="2:19">
      <c r="B9" s="307">
        <v>2009</v>
      </c>
      <c r="C9" s="89">
        <v>3564397</v>
      </c>
      <c r="D9" s="94">
        <v>2.4729999999999999</v>
      </c>
      <c r="E9" s="89">
        <v>19399</v>
      </c>
      <c r="F9" s="89">
        <v>1441325</v>
      </c>
      <c r="G9" s="89">
        <f t="shared" si="1"/>
        <v>13459.143496435572</v>
      </c>
      <c r="H9" s="89">
        <v>11883</v>
      </c>
      <c r="I9" s="89">
        <v>161390</v>
      </c>
      <c r="J9" s="89">
        <f t="shared" si="2"/>
        <v>73629.09721791932</v>
      </c>
      <c r="K9" s="89">
        <v>3285</v>
      </c>
      <c r="L9" s="89">
        <v>2487</v>
      </c>
      <c r="M9" s="89">
        <f t="shared" si="3"/>
        <v>1320868.5162846802</v>
      </c>
      <c r="N9" s="89">
        <v>1630195</v>
      </c>
      <c r="O9" s="89">
        <v>10853</v>
      </c>
      <c r="P9" s="90">
        <f t="shared" si="4"/>
        <v>6.6574857609059039</v>
      </c>
      <c r="Q9" s="89">
        <v>12092</v>
      </c>
      <c r="R9" s="90">
        <f t="shared" si="5"/>
        <v>7.4175175362456631</v>
      </c>
      <c r="S9" s="608">
        <f t="shared" si="6"/>
        <v>34567</v>
      </c>
    </row>
    <row r="10" spans="2:19">
      <c r="B10" s="307">
        <v>2010</v>
      </c>
      <c r="C10" s="89">
        <v>3621408</v>
      </c>
      <c r="D10" s="94">
        <v>2.4950000000000001</v>
      </c>
      <c r="E10" s="89">
        <v>20524</v>
      </c>
      <c r="F10" s="89">
        <v>1451466</v>
      </c>
      <c r="G10" s="89">
        <f t="shared" si="1"/>
        <v>14140.186542433648</v>
      </c>
      <c r="H10" s="89">
        <v>11896</v>
      </c>
      <c r="I10" s="89">
        <v>161674</v>
      </c>
      <c r="J10" s="89">
        <f t="shared" si="2"/>
        <v>73580.167497556817</v>
      </c>
      <c r="K10" s="89">
        <v>3219</v>
      </c>
      <c r="L10" s="89">
        <v>2481</v>
      </c>
      <c r="M10" s="89">
        <f t="shared" si="3"/>
        <v>1297460.701330109</v>
      </c>
      <c r="N10" s="89">
        <v>1640833</v>
      </c>
      <c r="O10" s="89">
        <v>10238</v>
      </c>
      <c r="P10" s="90">
        <f t="shared" si="4"/>
        <v>6.2395137104141618</v>
      </c>
      <c r="Q10" s="89">
        <v>13698</v>
      </c>
      <c r="R10" s="90">
        <f t="shared" si="5"/>
        <v>8.3481987502689172</v>
      </c>
      <c r="S10" s="608">
        <f t="shared" si="6"/>
        <v>35639</v>
      </c>
    </row>
    <row r="11" spans="2:19">
      <c r="B11" s="307">
        <v>2011</v>
      </c>
      <c r="C11" s="89">
        <v>3623873</v>
      </c>
      <c r="D11" s="94">
        <v>2.4950000000000001</v>
      </c>
      <c r="E11" s="89">
        <v>19238</v>
      </c>
      <c r="F11" s="89">
        <v>1452454</v>
      </c>
      <c r="G11" s="89">
        <f t="shared" si="1"/>
        <v>13245.169898668048</v>
      </c>
      <c r="H11" s="89">
        <v>11892</v>
      </c>
      <c r="I11" s="89">
        <v>162071</v>
      </c>
      <c r="J11" s="89">
        <f t="shared" si="2"/>
        <v>73375.249119213186</v>
      </c>
      <c r="K11" s="89">
        <v>3243</v>
      </c>
      <c r="L11" s="89">
        <v>2408</v>
      </c>
      <c r="M11" s="89">
        <f t="shared" si="3"/>
        <v>1346760.7973421926</v>
      </c>
      <c r="N11" s="89">
        <v>1642161</v>
      </c>
      <c r="O11" s="89">
        <v>9968</v>
      </c>
      <c r="P11" s="90">
        <f t="shared" si="4"/>
        <v>6.0700503787387472</v>
      </c>
      <c r="Q11" s="89">
        <v>11347</v>
      </c>
      <c r="R11" s="90">
        <f t="shared" si="5"/>
        <v>6.9097975168086441</v>
      </c>
      <c r="S11" s="608">
        <f t="shared" si="6"/>
        <v>34373</v>
      </c>
    </row>
    <row r="12" spans="2:19">
      <c r="B12" s="307">
        <v>2012</v>
      </c>
      <c r="C12" s="89">
        <v>3636514</v>
      </c>
      <c r="D12" s="94">
        <v>2.4929999999999999</v>
      </c>
      <c r="E12" s="89">
        <v>18251</v>
      </c>
      <c r="F12" s="89">
        <v>1458690</v>
      </c>
      <c r="G12" s="89">
        <f t="shared" si="1"/>
        <v>12511.911372532888</v>
      </c>
      <c r="H12" s="89">
        <v>11723</v>
      </c>
      <c r="I12" s="89">
        <v>163297</v>
      </c>
      <c r="J12" s="89">
        <f t="shared" si="2"/>
        <v>71789.438875178355</v>
      </c>
      <c r="K12" s="89">
        <v>3160</v>
      </c>
      <c r="L12" s="89">
        <v>2372</v>
      </c>
      <c r="M12" s="89">
        <f t="shared" si="3"/>
        <v>1332209.1062394604</v>
      </c>
      <c r="N12" s="89">
        <v>1649839</v>
      </c>
      <c r="O12" s="89">
        <v>9783</v>
      </c>
      <c r="P12" s="90">
        <f t="shared" si="4"/>
        <v>5.9296695010846516</v>
      </c>
      <c r="Q12" s="89">
        <v>9715</v>
      </c>
      <c r="R12" s="90">
        <f t="shared" si="5"/>
        <v>5.8884533581761618</v>
      </c>
      <c r="S12" s="608">
        <f t="shared" si="6"/>
        <v>33134</v>
      </c>
    </row>
    <row r="13" spans="2:19">
      <c r="B13" s="307"/>
      <c r="C13" s="308"/>
      <c r="D13" s="308"/>
      <c r="E13" s="308"/>
      <c r="F13" s="308"/>
      <c r="G13" s="308"/>
      <c r="H13" s="308"/>
      <c r="I13" s="308"/>
      <c r="J13" s="308"/>
      <c r="K13" s="308"/>
      <c r="L13" s="93">
        <f>L12/(F12+I12+L12)</f>
        <v>1.4602683273832939E-3</v>
      </c>
      <c r="M13" s="308"/>
      <c r="N13" s="757"/>
      <c r="O13" s="308"/>
      <c r="P13" s="308"/>
      <c r="Q13" s="308"/>
      <c r="R13" s="308"/>
    </row>
    <row r="14" spans="2:19">
      <c r="B14" s="615" t="s">
        <v>636</v>
      </c>
      <c r="C14" s="308"/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</row>
    <row r="15" spans="2:19">
      <c r="B15" s="307">
        <v>2004</v>
      </c>
      <c r="C15" s="609">
        <f>(C4/C3)-1</f>
        <v>2.2926487530636086E-2</v>
      </c>
      <c r="D15" s="609">
        <f t="shared" ref="D15:R15" si="7">(D4/D3)-1</f>
        <v>-1.631986944104491E-3</v>
      </c>
      <c r="E15" s="609">
        <f t="shared" si="7"/>
        <v>-4.2204951361366483E-3</v>
      </c>
      <c r="F15" s="609">
        <f t="shared" si="7"/>
        <v>2.4598435034093757E-2</v>
      </c>
      <c r="G15" s="609">
        <f>(G4/G3)-1</f>
        <v>-2.812704878792005E-2</v>
      </c>
      <c r="H15" s="609">
        <f t="shared" si="7"/>
        <v>1.5666926339478859E-2</v>
      </c>
      <c r="I15" s="609">
        <f t="shared" si="7"/>
        <v>2.9074364524868113E-2</v>
      </c>
      <c r="J15" s="609">
        <f t="shared" si="7"/>
        <v>-1.3028638791890979E-2</v>
      </c>
      <c r="K15" s="609">
        <f t="shared" si="7"/>
        <v>1.6995751062234499E-2</v>
      </c>
      <c r="L15" s="609">
        <f t="shared" si="7"/>
        <v>3.4052213393870545E-2</v>
      </c>
      <c r="M15" s="609">
        <f t="shared" si="7"/>
        <v>-1.64947786105063E-2</v>
      </c>
      <c r="N15" s="609">
        <f t="shared" si="7"/>
        <v>2.523045105116406E-2</v>
      </c>
      <c r="O15" s="609">
        <f t="shared" si="7"/>
        <v>7.9045152572908561E-2</v>
      </c>
      <c r="P15" s="609">
        <f t="shared" si="7"/>
        <v>5.2490346406087074E-2</v>
      </c>
      <c r="Q15" s="609">
        <f t="shared" si="7"/>
        <v>-0.19302345711070723</v>
      </c>
      <c r="R15" s="609">
        <f t="shared" si="7"/>
        <v>-0.21288277961125368</v>
      </c>
    </row>
    <row r="16" spans="2:19">
      <c r="B16" s="307">
        <v>2005</v>
      </c>
      <c r="C16" s="609">
        <f t="shared" ref="C16:R23" si="8">(C5/C4)-1</f>
        <v>2.6622726176982692E-2</v>
      </c>
      <c r="D16" s="609">
        <f t="shared" si="8"/>
        <v>2.860645688598229E-3</v>
      </c>
      <c r="E16" s="609">
        <f t="shared" si="8"/>
        <v>2.8273117279164817E-2</v>
      </c>
      <c r="F16" s="609">
        <f t="shared" si="8"/>
        <v>2.3694251460235627E-2</v>
      </c>
      <c r="G16" s="609">
        <f t="shared" si="8"/>
        <v>4.4728841764984928E-3</v>
      </c>
      <c r="H16" s="609">
        <f t="shared" si="8"/>
        <v>1.7981932844724824E-2</v>
      </c>
      <c r="I16" s="609">
        <f t="shared" si="8"/>
        <v>1.3987907796951804E-2</v>
      </c>
      <c r="J16" s="609">
        <f t="shared" si="8"/>
        <v>3.9389276904204795E-3</v>
      </c>
      <c r="K16" s="609">
        <f t="shared" si="8"/>
        <v>1.7449004669451984E-2</v>
      </c>
      <c r="L16" s="609">
        <f t="shared" si="8"/>
        <v>-1.0976948408342513E-2</v>
      </c>
      <c r="M16" s="609">
        <f t="shared" si="8"/>
        <v>2.8741446452686503E-2</v>
      </c>
      <c r="N16" s="609">
        <f t="shared" si="8"/>
        <v>2.2465060986280205E-2</v>
      </c>
      <c r="O16" s="609">
        <f t="shared" si="8"/>
        <v>8.0037566524052917E-2</v>
      </c>
      <c r="P16" s="609">
        <f t="shared" si="8"/>
        <v>5.630755292727363E-2</v>
      </c>
      <c r="Q16" s="609">
        <f t="shared" si="8"/>
        <v>0.16164324788158324</v>
      </c>
      <c r="R16" s="609">
        <f t="shared" si="8"/>
        <v>0.13612023745931268</v>
      </c>
    </row>
    <row r="17" spans="2:19">
      <c r="B17" s="307">
        <v>2006</v>
      </c>
      <c r="C17" s="609">
        <f t="shared" si="8"/>
        <v>2.2355020085944366E-2</v>
      </c>
      <c r="D17" s="609">
        <f t="shared" si="8"/>
        <v>-2.4449877750611915E-3</v>
      </c>
      <c r="E17" s="609">
        <f t="shared" si="8"/>
        <v>6.3838343219060345E-3</v>
      </c>
      <c r="F17" s="609">
        <f t="shared" si="8"/>
        <v>2.4860917443801478E-2</v>
      </c>
      <c r="G17" s="609">
        <f t="shared" si="8"/>
        <v>-1.8028868900553663E-2</v>
      </c>
      <c r="H17" s="609">
        <f t="shared" si="8"/>
        <v>2.5115110925073569E-3</v>
      </c>
      <c r="I17" s="609">
        <f t="shared" si="8"/>
        <v>1.101235396053446E-2</v>
      </c>
      <c r="J17" s="609">
        <f t="shared" si="8"/>
        <v>-8.4082482619780574E-3</v>
      </c>
      <c r="K17" s="609">
        <f t="shared" si="8"/>
        <v>4.8309178743961567E-3</v>
      </c>
      <c r="L17" s="609">
        <f t="shared" si="8"/>
        <v>-2.2197558268590711E-3</v>
      </c>
      <c r="M17" s="609">
        <f t="shared" si="8"/>
        <v>7.0663592934716579E-3</v>
      </c>
      <c r="N17" s="609">
        <f t="shared" si="8"/>
        <v>2.3353923824235734E-2</v>
      </c>
      <c r="O17" s="609">
        <f t="shared" si="8"/>
        <v>-1.9613526570048334E-2</v>
      </c>
      <c r="P17" s="609">
        <f t="shared" si="8"/>
        <v>-4.1986891723360342E-2</v>
      </c>
      <c r="Q17" s="609">
        <f t="shared" si="8"/>
        <v>-1.2188365650969479E-2</v>
      </c>
      <c r="R17" s="609">
        <f t="shared" si="8"/>
        <v>-3.4731180139892404E-2</v>
      </c>
    </row>
    <row r="18" spans="2:19">
      <c r="B18" s="307">
        <v>2007</v>
      </c>
      <c r="C18" s="609">
        <f t="shared" si="8"/>
        <v>7.7596923399108064E-3</v>
      </c>
      <c r="D18" s="609">
        <f t="shared" si="8"/>
        <v>0</v>
      </c>
      <c r="E18" s="609">
        <f t="shared" si="8"/>
        <v>-5.4442835023225111E-3</v>
      </c>
      <c r="F18" s="609">
        <f t="shared" si="8"/>
        <v>7.7597725290083908E-3</v>
      </c>
      <c r="G18" s="609">
        <f t="shared" si="8"/>
        <v>-1.3102384507961418E-2</v>
      </c>
      <c r="H18" s="609">
        <f t="shared" si="8"/>
        <v>1.7453027139874733E-2</v>
      </c>
      <c r="I18" s="609">
        <f t="shared" si="8"/>
        <v>3.8703969921494163E-4</v>
      </c>
      <c r="J18" s="609">
        <f t="shared" si="8"/>
        <v>1.705938478150526E-2</v>
      </c>
      <c r="K18" s="609">
        <f t="shared" si="8"/>
        <v>-8.1971153846153832E-2</v>
      </c>
      <c r="L18" s="609">
        <f t="shared" si="8"/>
        <v>-1.0752688172043001E-2</v>
      </c>
      <c r="M18" s="609">
        <f t="shared" si="8"/>
        <v>-7.1992579431438108E-2</v>
      </c>
      <c r="N18" s="609">
        <f t="shared" si="8"/>
        <v>7.38831742364221E-3</v>
      </c>
      <c r="O18" s="609">
        <f t="shared" si="8"/>
        <v>7.7264216024440779E-2</v>
      </c>
      <c r="P18" s="609">
        <f t="shared" si="8"/>
        <v>6.9363419638917234E-2</v>
      </c>
      <c r="Q18" s="609">
        <f t="shared" si="8"/>
        <v>-7.4967283604412072E-2</v>
      </c>
      <c r="R18" s="609">
        <f t="shared" si="8"/>
        <v>-8.1751594299480868E-2</v>
      </c>
    </row>
    <row r="19" spans="2:19">
      <c r="B19" s="307">
        <v>2008</v>
      </c>
      <c r="C19" s="609">
        <f t="shared" si="8"/>
        <v>8.3913157709964992E-3</v>
      </c>
      <c r="D19" s="609">
        <f t="shared" si="8"/>
        <v>4.0849673202614234E-3</v>
      </c>
      <c r="E19" s="609">
        <f t="shared" si="8"/>
        <v>-2.9329047810365605E-2</v>
      </c>
      <c r="F19" s="609">
        <f t="shared" si="8"/>
        <v>4.2887251854486497E-3</v>
      </c>
      <c r="G19" s="609">
        <f t="shared" si="8"/>
        <v>-3.3474211302736978E-2</v>
      </c>
      <c r="H19" s="609">
        <f t="shared" si="8"/>
        <v>-3.6933683519370097E-3</v>
      </c>
      <c r="I19" s="609">
        <f t="shared" si="8"/>
        <v>-1.6458175967378752E-3</v>
      </c>
      <c r="J19" s="609">
        <f t="shared" si="8"/>
        <v>-2.0509262056379596E-3</v>
      </c>
      <c r="K19" s="609">
        <f t="shared" si="8"/>
        <v>-8.64100549882163E-3</v>
      </c>
      <c r="L19" s="609">
        <f t="shared" si="8"/>
        <v>-3.035982008995497E-2</v>
      </c>
      <c r="M19" s="609">
        <f t="shared" si="8"/>
        <v>2.239883932320974E-2</v>
      </c>
      <c r="N19" s="609">
        <f t="shared" si="8"/>
        <v>4.0229899140389325E-3</v>
      </c>
      <c r="O19" s="609">
        <f t="shared" si="8"/>
        <v>-3.1012716128442031E-2</v>
      </c>
      <c r="P19" s="609">
        <f t="shared" si="8"/>
        <v>-3.4895322511968363E-2</v>
      </c>
      <c r="Q19" s="609">
        <f t="shared" si="8"/>
        <v>0.10792239288601446</v>
      </c>
      <c r="R19" s="609">
        <f t="shared" si="8"/>
        <v>0.10348309153844304</v>
      </c>
    </row>
    <row r="20" spans="2:19">
      <c r="B20" s="307">
        <v>2009</v>
      </c>
      <c r="C20" s="609">
        <f t="shared" si="8"/>
        <v>7.4514079202225858E-4</v>
      </c>
      <c r="D20" s="609">
        <f t="shared" si="8"/>
        <v>6.1025223759152425E-3</v>
      </c>
      <c r="E20" s="609">
        <f t="shared" si="8"/>
        <v>3.6734271523177764E-3</v>
      </c>
      <c r="F20" s="609">
        <f t="shared" si="8"/>
        <v>-5.3249010897552518E-3</v>
      </c>
      <c r="G20" s="609">
        <f>(G9/G8)-1</f>
        <v>9.0464999595663009E-3</v>
      </c>
      <c r="H20" s="609">
        <f t="shared" si="8"/>
        <v>-2.108905181645937E-2</v>
      </c>
      <c r="I20" s="609">
        <f t="shared" si="8"/>
        <v>-7.2523051750333911E-3</v>
      </c>
      <c r="J20" s="609">
        <f t="shared" si="8"/>
        <v>-1.3937828023731336E-2</v>
      </c>
      <c r="K20" s="609">
        <f t="shared" si="8"/>
        <v>-0.13232963549920762</v>
      </c>
      <c r="L20" s="609">
        <f t="shared" si="8"/>
        <v>-3.8654812524159254E-2</v>
      </c>
      <c r="M20" s="609">
        <f t="shared" si="8"/>
        <v>-9.7441402105528874E-2</v>
      </c>
      <c r="N20" s="609">
        <f t="shared" si="8"/>
        <v>-5.3327313163731294E-3</v>
      </c>
      <c r="O20" s="609">
        <f t="shared" si="8"/>
        <v>2.4641238670694898E-2</v>
      </c>
      <c r="P20" s="609">
        <f t="shared" si="8"/>
        <v>3.0134670085943949E-2</v>
      </c>
      <c r="Q20" s="609">
        <f t="shared" si="8"/>
        <v>0.10288215979569504</v>
      </c>
      <c r="R20" s="609">
        <f t="shared" si="8"/>
        <v>0.10879506596741928</v>
      </c>
    </row>
    <row r="21" spans="2:19">
      <c r="B21" s="307">
        <v>2010</v>
      </c>
      <c r="C21" s="609">
        <f t="shared" si="8"/>
        <v>1.5994570750676784E-2</v>
      </c>
      <c r="D21" s="609">
        <f t="shared" si="8"/>
        <v>8.8960776384958695E-3</v>
      </c>
      <c r="E21" s="609">
        <f t="shared" si="8"/>
        <v>5.7992680035053423E-2</v>
      </c>
      <c r="F21" s="609">
        <f t="shared" si="8"/>
        <v>7.0358871177562676E-3</v>
      </c>
      <c r="G21" s="609">
        <f t="shared" si="8"/>
        <v>5.0600771600246341E-2</v>
      </c>
      <c r="H21" s="609">
        <f t="shared" si="8"/>
        <v>1.0939998316923383E-3</v>
      </c>
      <c r="I21" s="609">
        <f t="shared" si="8"/>
        <v>1.75971249767648E-3</v>
      </c>
      <c r="J21" s="609">
        <f t="shared" si="8"/>
        <v>-6.6454326090248372E-4</v>
      </c>
      <c r="K21" s="609">
        <f t="shared" si="8"/>
        <v>-2.0091324200913196E-2</v>
      </c>
      <c r="L21" s="609">
        <f t="shared" si="8"/>
        <v>-2.4125452352231624E-3</v>
      </c>
      <c r="M21" s="609">
        <f t="shared" si="8"/>
        <v>-1.7721532965606857E-2</v>
      </c>
      <c r="N21" s="609">
        <f t="shared" si="8"/>
        <v>6.525599698195661E-3</v>
      </c>
      <c r="O21" s="609">
        <f t="shared" si="8"/>
        <v>-5.6666359531926669E-2</v>
      </c>
      <c r="P21" s="609">
        <f t="shared" si="8"/>
        <v>-6.2782267285670823E-2</v>
      </c>
      <c r="Q21" s="609">
        <f t="shared" si="8"/>
        <v>0.13281508435329137</v>
      </c>
      <c r="R21" s="609">
        <f t="shared" si="8"/>
        <v>0.12547071300815738</v>
      </c>
    </row>
    <row r="22" spans="2:19">
      <c r="B22" s="307">
        <v>2011</v>
      </c>
      <c r="C22" s="609">
        <f t="shared" si="8"/>
        <v>6.8067447799302627E-4</v>
      </c>
      <c r="D22" s="609">
        <f t="shared" si="8"/>
        <v>0</v>
      </c>
      <c r="E22" s="609">
        <f t="shared" si="8"/>
        <v>-6.2658351198596751E-2</v>
      </c>
      <c r="F22" s="609">
        <f t="shared" si="8"/>
        <v>6.8069110816226797E-4</v>
      </c>
      <c r="G22" s="609">
        <f t="shared" si="8"/>
        <v>-6.3295957311434448E-2</v>
      </c>
      <c r="H22" s="609">
        <f t="shared" si="8"/>
        <v>-3.3624747814386957E-4</v>
      </c>
      <c r="I22" s="609">
        <f t="shared" si="8"/>
        <v>2.4555587169241555E-3</v>
      </c>
      <c r="J22" s="609">
        <f t="shared" si="8"/>
        <v>-2.7849675437398025E-3</v>
      </c>
      <c r="K22" s="609">
        <f t="shared" si="8"/>
        <v>7.455731593662529E-3</v>
      </c>
      <c r="L22" s="609">
        <f t="shared" si="8"/>
        <v>-2.9423619508262777E-2</v>
      </c>
      <c r="M22" s="609">
        <f t="shared" si="8"/>
        <v>3.7997371297290972E-2</v>
      </c>
      <c r="N22" s="609">
        <f t="shared" si="8"/>
        <v>8.0934500951657107E-4</v>
      </c>
      <c r="O22" s="609">
        <f t="shared" si="8"/>
        <v>-2.6372338347333435E-2</v>
      </c>
      <c r="P22" s="609">
        <f t="shared" si="8"/>
        <v>-2.7159701787748181E-2</v>
      </c>
      <c r="Q22" s="609">
        <f t="shared" si="8"/>
        <v>-0.17163089502117101</v>
      </c>
      <c r="R22" s="609">
        <f t="shared" si="8"/>
        <v>-0.17230078924677472</v>
      </c>
    </row>
    <row r="23" spans="2:19">
      <c r="B23" s="307">
        <v>2012</v>
      </c>
      <c r="C23" s="609">
        <f t="shared" si="8"/>
        <v>3.4882569008352071E-3</v>
      </c>
      <c r="D23" s="609">
        <f t="shared" si="8"/>
        <v>-8.0160320641287086E-4</v>
      </c>
      <c r="E23" s="609">
        <f t="shared" si="8"/>
        <v>-5.130470942925458E-2</v>
      </c>
      <c r="F23" s="609">
        <f t="shared" si="8"/>
        <v>4.293423406180219E-3</v>
      </c>
      <c r="G23" s="609">
        <f t="shared" si="8"/>
        <v>-5.5360446996523427E-2</v>
      </c>
      <c r="H23" s="609">
        <f t="shared" si="8"/>
        <v>-1.4211234443323284E-2</v>
      </c>
      <c r="I23" s="609">
        <f t="shared" si="8"/>
        <v>7.5645858913686581E-3</v>
      </c>
      <c r="J23" s="609">
        <f t="shared" si="8"/>
        <v>-2.161233199301793E-2</v>
      </c>
      <c r="K23" s="609">
        <f t="shared" si="8"/>
        <v>-2.5593586185630568E-2</v>
      </c>
      <c r="L23" s="609">
        <f t="shared" si="8"/>
        <v>-1.4950166112956853E-2</v>
      </c>
      <c r="M23" s="609">
        <f t="shared" si="8"/>
        <v>-1.0804955959105467E-2</v>
      </c>
      <c r="N23" s="609">
        <f t="shared" si="8"/>
        <v>4.6755464293695148E-3</v>
      </c>
      <c r="O23" s="609">
        <f t="shared" si="8"/>
        <v>-1.8559390048154101E-2</v>
      </c>
      <c r="P23" s="609">
        <f t="shared" si="8"/>
        <v>-2.3126806022203739E-2</v>
      </c>
      <c r="Q23" s="609">
        <f t="shared" si="8"/>
        <v>-0.14382656208689526</v>
      </c>
      <c r="R23" s="609">
        <f t="shared" si="8"/>
        <v>-0.14781101127029839</v>
      </c>
    </row>
    <row r="24" spans="2:19"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</row>
    <row r="25" spans="2:19">
      <c r="B25" s="614" t="s">
        <v>637</v>
      </c>
      <c r="C25" s="91">
        <f>((C12/C7)^(1/5))-1</f>
        <v>5.8433668669239935E-3</v>
      </c>
      <c r="D25" s="91">
        <f>((D12/D7)^(1/5))-1</f>
        <v>3.6497320891870633E-3</v>
      </c>
      <c r="E25" s="91">
        <f t="shared" ref="E25:S25" si="9">((E12/E7)^(1/5))-1</f>
        <v>-1.7269678117071696E-2</v>
      </c>
      <c r="F25" s="605">
        <f t="shared" si="9"/>
        <v>2.1856589110937907E-3</v>
      </c>
      <c r="G25" s="91">
        <f t="shared" si="9"/>
        <v>-1.9412907034914384E-2</v>
      </c>
      <c r="H25" s="91">
        <f t="shared" si="9"/>
        <v>-7.6845003898049491E-3</v>
      </c>
      <c r="I25" s="605">
        <f t="shared" si="9"/>
        <v>5.6434483032696825E-4</v>
      </c>
      <c r="J25" s="91">
        <f t="shared" si="9"/>
        <v>-8.2441926526281017E-3</v>
      </c>
      <c r="K25" s="91">
        <f t="shared" si="9"/>
        <v>-3.7174719482126695E-2</v>
      </c>
      <c r="L25" s="605">
        <f t="shared" si="9"/>
        <v>-2.3244710236472343E-2</v>
      </c>
      <c r="M25" s="91">
        <f t="shared" si="9"/>
        <v>-1.4261514006263298E-2</v>
      </c>
      <c r="N25" s="605">
        <f t="shared" si="9"/>
        <v>2.1314655650639391E-3</v>
      </c>
      <c r="O25" s="91">
        <f t="shared" si="9"/>
        <v>-2.1946904718712412E-2</v>
      </c>
      <c r="P25" s="91">
        <f t="shared" si="9"/>
        <v>-2.4027157225523732E-2</v>
      </c>
      <c r="Q25" s="91">
        <f t="shared" si="9"/>
        <v>-3.6851037299427958E-3</v>
      </c>
      <c r="R25" s="91">
        <f t="shared" si="9"/>
        <v>-5.8041978471625733E-3</v>
      </c>
      <c r="S25" s="91">
        <f t="shared" si="9"/>
        <v>-1.598980184219867E-2</v>
      </c>
    </row>
    <row r="26" spans="2:19">
      <c r="B26" s="242" t="s">
        <v>638</v>
      </c>
      <c r="C26" s="93">
        <f>C12/C7-1</f>
        <v>2.9560284748127552E-2</v>
      </c>
      <c r="D26" s="93">
        <f>D12/D7-1</f>
        <v>1.8382352941176405E-2</v>
      </c>
      <c r="E26" s="93">
        <f t="shared" ref="E26:S26" si="10">E12/E7-1</f>
        <v>-8.3417034953796709E-2</v>
      </c>
      <c r="F26" s="606">
        <f t="shared" si="10"/>
        <v>1.0976170129597396E-2</v>
      </c>
      <c r="G26" s="93">
        <f t="shared" si="10"/>
        <v>-9.3368377883025544E-2</v>
      </c>
      <c r="H26" s="93">
        <f t="shared" si="10"/>
        <v>-3.7836506894287636E-2</v>
      </c>
      <c r="I26" s="606">
        <f t="shared" si="10"/>
        <v>2.824910800370839E-3</v>
      </c>
      <c r="J26" s="93">
        <f t="shared" si="10"/>
        <v>-4.0546876385635477E-2</v>
      </c>
      <c r="K26" s="93">
        <f t="shared" si="10"/>
        <v>-0.17255826132495422</v>
      </c>
      <c r="L26" s="606">
        <f t="shared" si="10"/>
        <v>-0.11094452773613195</v>
      </c>
      <c r="M26" s="93">
        <f t="shared" si="10"/>
        <v>-6.9302462569552192E-2</v>
      </c>
      <c r="N26" s="606">
        <f t="shared" si="10"/>
        <v>1.0702856218695711E-2</v>
      </c>
      <c r="O26" s="93">
        <f t="shared" si="10"/>
        <v>-0.1050224133199158</v>
      </c>
      <c r="P26" s="93">
        <f t="shared" si="10"/>
        <v>-0.11449979469887939</v>
      </c>
      <c r="Q26" s="93">
        <f t="shared" si="10"/>
        <v>-1.8290218270008096E-2</v>
      </c>
      <c r="R26" s="93">
        <f t="shared" si="10"/>
        <v>-2.8686051800797752E-2</v>
      </c>
      <c r="S26" s="607">
        <f t="shared" si="10"/>
        <v>-7.7432827509397173E-2</v>
      </c>
    </row>
    <row r="28" spans="2:19">
      <c r="N28" s="921">
        <f>N12/N7-1</f>
        <v>1.0702856218695711E-2</v>
      </c>
      <c r="O28" s="922" t="s">
        <v>387</v>
      </c>
    </row>
    <row r="29" spans="2:19">
      <c r="O29" s="610">
        <f>I12+L12</f>
        <v>165669</v>
      </c>
      <c r="P29" s="611">
        <f>H12+K12</f>
        <v>14883</v>
      </c>
      <c r="Q29" s="612">
        <f>Commercial!M3+Industrial!M3</f>
        <v>4352.1393744019042</v>
      </c>
    </row>
    <row r="30" spans="2:19">
      <c r="K30" s="309" t="s">
        <v>648</v>
      </c>
      <c r="L30" s="43" t="s">
        <v>646</v>
      </c>
      <c r="M30" s="125">
        <f>I12/O29</f>
        <v>0.98568229421316</v>
      </c>
      <c r="N30" s="920">
        <f>L12/O29</f>
        <v>1.4317705786840024E-2</v>
      </c>
      <c r="O30" s="43" t="s">
        <v>647</v>
      </c>
    </row>
    <row r="31" spans="2:19">
      <c r="K31" s="194" t="s">
        <v>388</v>
      </c>
      <c r="L31" s="43" t="s">
        <v>646</v>
      </c>
      <c r="M31" s="125">
        <f>H12/P29</f>
        <v>0.78767721561513138</v>
      </c>
      <c r="N31" s="125">
        <f>K12/P29</f>
        <v>0.21232278438486865</v>
      </c>
      <c r="O31" s="43" t="s">
        <v>647</v>
      </c>
    </row>
    <row r="32" spans="2:19">
      <c r="K32" s="613" t="s">
        <v>649</v>
      </c>
      <c r="L32" s="43" t="s">
        <v>646</v>
      </c>
      <c r="M32" s="125">
        <f>Commercial!M3/Q29</f>
        <v>0.88067912071432475</v>
      </c>
      <c r="N32" s="125">
        <f>Industrial!M3/Q29</f>
        <v>0.11932087928567525</v>
      </c>
      <c r="O32" s="43" t="s">
        <v>647</v>
      </c>
    </row>
  </sheetData>
  <pageMargins left="0.7" right="0.7" top="0.75" bottom="0.75" header="0.3" footer="0.3"/>
  <pageSetup paperSize="17" scale="8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34"/>
  <sheetViews>
    <sheetView zoomScale="90" zoomScaleNormal="90" workbookViewId="0"/>
  </sheetViews>
  <sheetFormatPr defaultRowHeight="15"/>
  <cols>
    <col min="1" max="1" width="2" customWidth="1"/>
    <col min="2" max="2" width="32.5703125" customWidth="1"/>
    <col min="3" max="3" width="8.140625" customWidth="1"/>
    <col min="4" max="5" width="13.85546875" customWidth="1"/>
    <col min="6" max="6" width="15" bestFit="1" customWidth="1"/>
    <col min="7" max="7" width="12.42578125" bestFit="1" customWidth="1"/>
    <col min="8" max="8" width="8.28515625" bestFit="1" customWidth="1"/>
    <col min="9" max="10" width="13.85546875" customWidth="1"/>
    <col min="11" max="11" width="8" bestFit="1" customWidth="1"/>
    <col min="12" max="13" width="13.85546875" customWidth="1"/>
    <col min="14" max="14" width="7" bestFit="1" customWidth="1"/>
    <col min="15" max="16" width="13.85546875" customWidth="1"/>
  </cols>
  <sheetData>
    <row r="1" spans="2:16" ht="8.25" customHeight="1"/>
    <row r="2" spans="2:16">
      <c r="B2" s="923" t="s">
        <v>639</v>
      </c>
      <c r="C2" s="923"/>
      <c r="D2" s="923"/>
      <c r="E2" s="923"/>
      <c r="F2" s="923"/>
      <c r="G2" s="923"/>
      <c r="H2" s="923"/>
      <c r="I2" s="923"/>
      <c r="J2" s="923"/>
      <c r="K2" s="923"/>
      <c r="L2" s="923"/>
      <c r="M2" s="923"/>
      <c r="N2" s="923"/>
      <c r="O2" s="923"/>
      <c r="P2" s="923"/>
    </row>
    <row r="3" spans="2:16" ht="15.75" thickBot="1">
      <c r="C3" s="924" t="s">
        <v>640</v>
      </c>
      <c r="D3" s="924"/>
      <c r="E3" s="924"/>
      <c r="F3" s="923" t="s">
        <v>641</v>
      </c>
      <c r="G3" s="923"/>
      <c r="H3" s="924" t="s">
        <v>333</v>
      </c>
      <c r="I3" s="924"/>
      <c r="J3" s="924"/>
      <c r="K3" s="924" t="s">
        <v>642</v>
      </c>
      <c r="L3" s="924"/>
      <c r="M3" s="924"/>
      <c r="N3" s="924" t="s">
        <v>565</v>
      </c>
      <c r="O3" s="924"/>
      <c r="P3" s="924"/>
    </row>
    <row r="4" spans="2:16" ht="30.75" thickBot="1">
      <c r="C4" s="95" t="s">
        <v>388</v>
      </c>
      <c r="D4" s="126" t="s">
        <v>725</v>
      </c>
      <c r="E4" s="727" t="s">
        <v>726</v>
      </c>
      <c r="F4" s="96" t="s">
        <v>643</v>
      </c>
      <c r="G4" s="97" t="s">
        <v>644</v>
      </c>
      <c r="H4" s="98" t="s">
        <v>388</v>
      </c>
      <c r="I4" s="724" t="s">
        <v>725</v>
      </c>
      <c r="J4" s="728" t="s">
        <v>726</v>
      </c>
      <c r="K4" s="99" t="s">
        <v>388</v>
      </c>
      <c r="L4" s="725" t="s">
        <v>725</v>
      </c>
      <c r="M4" s="729" t="s">
        <v>726</v>
      </c>
      <c r="N4" s="100" t="s">
        <v>388</v>
      </c>
      <c r="O4" s="726" t="s">
        <v>725</v>
      </c>
      <c r="P4" s="730" t="s">
        <v>726</v>
      </c>
    </row>
    <row r="5" spans="2:16">
      <c r="B5" s="101" t="s">
        <v>718</v>
      </c>
      <c r="C5" s="712">
        <f>SUM(H5,K5,N5)</f>
        <v>12351</v>
      </c>
      <c r="D5" s="102"/>
      <c r="E5" s="103"/>
      <c r="F5" s="714">
        <v>39412742.585000001</v>
      </c>
      <c r="G5" s="716">
        <f>C5/(F5/1000)</f>
        <v>0.31337580665347142</v>
      </c>
      <c r="H5" s="712">
        <f>8232</f>
        <v>8232</v>
      </c>
      <c r="I5" s="104"/>
      <c r="J5" s="105"/>
      <c r="K5" s="712">
        <v>3648</v>
      </c>
      <c r="L5" s="104"/>
      <c r="M5" s="106"/>
      <c r="N5" s="712">
        <v>471</v>
      </c>
      <c r="O5" s="104"/>
      <c r="P5" s="106"/>
    </row>
    <row r="6" spans="2:16">
      <c r="B6" s="101" t="s">
        <v>719</v>
      </c>
      <c r="C6" s="713">
        <f t="shared" ref="C6:C7" si="0">SUM(H6,K6,N6)</f>
        <v>10523.110813209332</v>
      </c>
      <c r="D6" s="108">
        <f>-(1-(C6/C5))</f>
        <v>-0.14799523818238747</v>
      </c>
      <c r="E6" s="109">
        <f>-(1-C6/C5)</f>
        <v>-0.14799523818238747</v>
      </c>
      <c r="F6" s="715">
        <v>37718162</v>
      </c>
      <c r="G6" s="717">
        <f>C6/(F6/1000)</f>
        <v>0.27899320261706639</v>
      </c>
      <c r="H6" s="713">
        <f>SUM(Residential!P9:P156)</f>
        <v>6898.9998461456707</v>
      </c>
      <c r="I6" s="130">
        <f>-(1-(H6/H5))</f>
        <v>-0.1619290760270079</v>
      </c>
      <c r="J6" s="131">
        <f>-(1-H6/H5)</f>
        <v>-0.1619290760270079</v>
      </c>
      <c r="K6" s="713">
        <f>SUM(Commercial!M10:M105)</f>
        <v>3156.4584505092339</v>
      </c>
      <c r="L6" s="132">
        <f>-(1-(K6/K5))</f>
        <v>-0.13474274931216179</v>
      </c>
      <c r="M6" s="133">
        <f>-(1-K6/K5)</f>
        <v>-0.13474274931216179</v>
      </c>
      <c r="N6" s="713">
        <f>SUM(Industrial!M10:M144)</f>
        <v>467.65251655442739</v>
      </c>
      <c r="O6" s="134">
        <f>-(1-(N6/N5))</f>
        <v>-7.1071835362476188E-3</v>
      </c>
      <c r="P6" s="135">
        <f>-(1-N6/N5)</f>
        <v>-7.1071835362476188E-3</v>
      </c>
    </row>
    <row r="7" spans="2:16">
      <c r="B7" s="101" t="s">
        <v>720</v>
      </c>
      <c r="C7" s="713">
        <f t="shared" si="0"/>
        <v>12458.045967290987</v>
      </c>
      <c r="D7" s="108">
        <f>(C7-C6)/$C$5</f>
        <v>0.15666222606118169</v>
      </c>
      <c r="E7" s="119">
        <f>-(1-C7/C5)</f>
        <v>8.6669878787941634E-3</v>
      </c>
      <c r="F7" s="715">
        <v>37718162</v>
      </c>
      <c r="G7" s="717">
        <f>C7/(F7/1000)</f>
        <v>0.33029302878785527</v>
      </c>
      <c r="H7" s="713">
        <f>SUM(Residential!P9:P165)</f>
        <v>8105.9065928890832</v>
      </c>
      <c r="I7" s="130">
        <f>(H7-H6)/H$5</f>
        <v>0.14661160674725612</v>
      </c>
      <c r="J7" s="131">
        <f>-(1-H7/H5)</f>
        <v>-1.531746927975175E-2</v>
      </c>
      <c r="K7" s="713">
        <f>Commercial!M3</f>
        <v>3832.8382774744605</v>
      </c>
      <c r="L7" s="132">
        <f>(K7-K6)/K$5</f>
        <v>0.18541113677774851</v>
      </c>
      <c r="M7" s="133">
        <f>-(1-K7/K5)</f>
        <v>5.0668387465586662E-2</v>
      </c>
      <c r="N7" s="713">
        <f>Industrial!M3</f>
        <v>519.30109692744384</v>
      </c>
      <c r="O7" s="134">
        <f>(N7-N6)/N$5</f>
        <v>0.10965728316988629</v>
      </c>
      <c r="P7" s="135">
        <f>-(1-N7/N5)</f>
        <v>0.10255009963363881</v>
      </c>
    </row>
    <row r="8" spans="2:16">
      <c r="B8" s="101" t="s">
        <v>721</v>
      </c>
      <c r="C8" s="713">
        <f>SUM(H8,K8,N8)</f>
        <v>12595.084472931187</v>
      </c>
      <c r="D8" s="108">
        <f t="shared" ref="D8:D9" si="1">(C8-C7)/$C$5</f>
        <v>1.1095336866666604E-2</v>
      </c>
      <c r="E8" s="109">
        <f>-(1-C8/C5)</f>
        <v>1.9762324745460802E-2</v>
      </c>
      <c r="F8" s="715">
        <v>37718162</v>
      </c>
      <c r="G8" s="717">
        <f>C8/(F8/1000)</f>
        <v>0.33392625210452165</v>
      </c>
      <c r="H8" s="713">
        <f>H7*(1+H11)</f>
        <v>8195.0715654108626</v>
      </c>
      <c r="I8" s="130">
        <f t="shared" ref="I8:I9" si="2">(H8-H7)/H$5</f>
        <v>1.0831507837922669E-2</v>
      </c>
      <c r="J8" s="131">
        <f>-(1-H8/H5)</f>
        <v>-4.4859614418291116E-3</v>
      </c>
      <c r="K8" s="713">
        <f>K7*(1+K11)</f>
        <v>3874.999498526679</v>
      </c>
      <c r="L8" s="132">
        <f t="shared" ref="L8" si="3">(K8-K7)/K$5</f>
        <v>1.1557352262121293E-2</v>
      </c>
      <c r="M8" s="133">
        <f>-(1-K8/K5)</f>
        <v>6.2225739727707952E-2</v>
      </c>
      <c r="N8" s="713">
        <f>N7*(1+N11)</f>
        <v>525.01340899364561</v>
      </c>
      <c r="O8" s="134">
        <f t="shared" ref="O8" si="4">(N8-N7)/N$5</f>
        <v>1.2128051095969799E-2</v>
      </c>
      <c r="P8" s="135">
        <f>-(1-N8/N5)</f>
        <v>0.11467815072960841</v>
      </c>
    </row>
    <row r="9" spans="2:16">
      <c r="B9" s="101" t="s">
        <v>722</v>
      </c>
      <c r="C9" s="713">
        <f>H9+K9</f>
        <v>12073.084472931187</v>
      </c>
      <c r="D9" s="108">
        <f t="shared" si="1"/>
        <v>-4.226378430896284E-2</v>
      </c>
      <c r="E9" s="109">
        <f>-(1-C9/C5)</f>
        <v>-2.2501459563502024E-2</v>
      </c>
      <c r="F9" s="715">
        <v>37718163</v>
      </c>
      <c r="G9" s="717">
        <f>C9/(F9/1000)</f>
        <v>0.32008675695396899</v>
      </c>
      <c r="H9" s="718">
        <f>H8-H10</f>
        <v>7973.0715654108626</v>
      </c>
      <c r="I9" s="130">
        <f t="shared" si="2"/>
        <v>-2.696793002915452E-2</v>
      </c>
      <c r="J9" s="131">
        <f>-(1-H9/H5)</f>
        <v>-3.1453891470983653E-2</v>
      </c>
      <c r="K9" s="934">
        <f>K8+N8-K10</f>
        <v>4100.0129075203249</v>
      </c>
      <c r="L9" s="935"/>
      <c r="M9" s="935"/>
      <c r="N9" s="935"/>
      <c r="O9" s="935"/>
      <c r="P9" s="936"/>
    </row>
    <row r="10" spans="2:16">
      <c r="B10" s="101" t="s">
        <v>723</v>
      </c>
      <c r="C10" s="107"/>
      <c r="D10" s="123"/>
      <c r="E10" s="124"/>
      <c r="F10" s="110"/>
      <c r="G10" s="717"/>
      <c r="H10" s="934">
        <f>'3.3'!E26</f>
        <v>222</v>
      </c>
      <c r="I10" s="935"/>
      <c r="J10" s="936"/>
      <c r="K10" s="934">
        <f>'3.3'!G26</f>
        <v>300</v>
      </c>
      <c r="L10" s="935"/>
      <c r="M10" s="935"/>
      <c r="N10" s="935"/>
      <c r="O10" s="935"/>
      <c r="P10" s="936"/>
    </row>
    <row r="11" spans="2:16">
      <c r="B11" s="101" t="s">
        <v>724</v>
      </c>
      <c r="C11" s="111"/>
      <c r="D11" s="77"/>
      <c r="E11" s="120"/>
      <c r="F11" s="114"/>
      <c r="G11" s="121"/>
      <c r="H11" s="937">
        <v>1.0999999999999999E-2</v>
      </c>
      <c r="I11" s="938"/>
      <c r="J11" s="939"/>
      <c r="K11" s="937">
        <v>1.0999999999999999E-2</v>
      </c>
      <c r="L11" s="938"/>
      <c r="M11" s="939"/>
      <c r="N11" s="937">
        <v>1.0999999999999999E-2</v>
      </c>
      <c r="O11" s="938"/>
      <c r="P11" s="939"/>
    </row>
    <row r="12" spans="2:16" ht="15.75" thickBot="1">
      <c r="B12" s="122" t="s">
        <v>645</v>
      </c>
      <c r="C12" s="925">
        <f>SUM(H12,K12,N12)</f>
        <v>27</v>
      </c>
      <c r="D12" s="926"/>
      <c r="E12" s="927"/>
      <c r="F12" s="719"/>
      <c r="G12" s="720"/>
      <c r="H12" s="928">
        <v>7</v>
      </c>
      <c r="I12" s="929"/>
      <c r="J12" s="930"/>
      <c r="K12" s="931">
        <v>15</v>
      </c>
      <c r="L12" s="932"/>
      <c r="M12" s="933"/>
      <c r="N12" s="931">
        <v>5</v>
      </c>
      <c r="O12" s="932"/>
      <c r="P12" s="933"/>
    </row>
    <row r="14" spans="2:16" ht="15.75" thickBot="1"/>
    <row r="15" spans="2:16" ht="30.75" thickBot="1">
      <c r="C15" s="95" t="s">
        <v>398</v>
      </c>
      <c r="D15" s="126" t="s">
        <v>725</v>
      </c>
      <c r="E15" s="727" t="s">
        <v>726</v>
      </c>
      <c r="H15" s="100" t="s">
        <v>398</v>
      </c>
      <c r="I15" s="724" t="s">
        <v>725</v>
      </c>
      <c r="J15" s="728" t="s">
        <v>726</v>
      </c>
      <c r="K15" s="99" t="s">
        <v>398</v>
      </c>
      <c r="L15" s="725" t="s">
        <v>725</v>
      </c>
      <c r="M15" s="729" t="s">
        <v>726</v>
      </c>
      <c r="N15" s="100" t="s">
        <v>398</v>
      </c>
      <c r="O15" s="726" t="s">
        <v>725</v>
      </c>
      <c r="P15" s="730" t="s">
        <v>726</v>
      </c>
    </row>
    <row r="16" spans="2:16" ht="15.75" thickBot="1">
      <c r="B16" s="101" t="s">
        <v>718</v>
      </c>
      <c r="C16" s="712">
        <f>SUM(H16,K16,N16)</f>
        <v>2943</v>
      </c>
      <c r="D16" s="102"/>
      <c r="E16" s="103"/>
      <c r="H16" s="712">
        <f>'Table ES-1 Refresh ''13'!G19</f>
        <v>2140</v>
      </c>
      <c r="I16" s="104"/>
      <c r="J16" s="105"/>
      <c r="K16" s="712">
        <f>'Table ES-1 Refresh ''13'!G20</f>
        <v>743</v>
      </c>
      <c r="L16" s="104"/>
      <c r="M16" s="106"/>
      <c r="N16" s="712">
        <f>'Table ES-1 Refresh ''13'!G21</f>
        <v>60</v>
      </c>
      <c r="O16" s="104"/>
      <c r="P16" s="106"/>
    </row>
    <row r="17" spans="2:16" ht="15.75" thickBot="1">
      <c r="B17" s="101" t="s">
        <v>719</v>
      </c>
      <c r="C17" s="713">
        <f t="shared" ref="C17:C18" si="5">SUM(H17,K17,N17)</f>
        <v>2472.7755667943552</v>
      </c>
      <c r="D17" s="108">
        <f>-(1-(C17/C16))</f>
        <v>-0.1597772453977726</v>
      </c>
      <c r="E17" s="109">
        <f>-(1-C17/C16)</f>
        <v>-0.1597772453977726</v>
      </c>
      <c r="H17" s="712">
        <f>SUM(Residential!Q9:Q156)</f>
        <v>1803.0327994942234</v>
      </c>
      <c r="I17" s="130">
        <f>-(1-(H17/H16))</f>
        <v>-0.15746130864755914</v>
      </c>
      <c r="J17" s="131">
        <f>-(1-H17/H16)</f>
        <v>-0.15746130864755914</v>
      </c>
      <c r="K17" s="713">
        <f>SUM(Commercial!N10:N105)</f>
        <v>611.57552026453664</v>
      </c>
      <c r="L17" s="132">
        <f>-(1-(K17/K16))</f>
        <v>-0.17688355280681478</v>
      </c>
      <c r="M17" s="133">
        <f>-(1-K17/K16)</f>
        <v>-0.17688355280681478</v>
      </c>
      <c r="N17" s="713">
        <f>SUM(Industrial!N10:N144)</f>
        <v>58.167247035595018</v>
      </c>
      <c r="O17" s="134">
        <f>-(1-(N17/N16))</f>
        <v>-3.0545882740083075E-2</v>
      </c>
      <c r="P17" s="135">
        <f>-(1-N17/N16)</f>
        <v>-3.0545882740083075E-2</v>
      </c>
    </row>
    <row r="18" spans="2:16">
      <c r="B18" s="101" t="s">
        <v>720</v>
      </c>
      <c r="C18" s="713">
        <f t="shared" si="5"/>
        <v>2837.0187554499603</v>
      </c>
      <c r="D18" s="108">
        <f>(C18-C17)/$C$5</f>
        <v>2.9490987665420215E-2</v>
      </c>
      <c r="E18" s="119">
        <f>-(1-C18/C16)</f>
        <v>-3.6011296143404592E-2</v>
      </c>
      <c r="H18" s="712">
        <f>Residential!Q3</f>
        <v>1908.7993928742562</v>
      </c>
      <c r="I18" s="130">
        <f>(H18-H17)/H$5</f>
        <v>1.2848225629255694E-2</v>
      </c>
      <c r="J18" s="131">
        <f>-(1-H18/H16)</f>
        <v>-0.10803766688118865</v>
      </c>
      <c r="K18" s="713">
        <f>Commercial!N3</f>
        <v>854.13726368181347</v>
      </c>
      <c r="L18" s="132">
        <f>(K18-K17)/K$5</f>
        <v>6.6491705980613172E-2</v>
      </c>
      <c r="M18" s="133">
        <f>-(1-K18/K16)</f>
        <v>0.14957908974672063</v>
      </c>
      <c r="N18" s="713">
        <f>Industrial!N3</f>
        <v>74.082098893890787</v>
      </c>
      <c r="O18" s="134">
        <f>(N18-N17)/N$5</f>
        <v>3.3789494391286132E-2</v>
      </c>
      <c r="P18" s="135">
        <f>-(1-N18/N16)</f>
        <v>0.23470164823151318</v>
      </c>
    </row>
    <row r="19" spans="2:16">
      <c r="B19" s="101" t="s">
        <v>721</v>
      </c>
      <c r="C19" s="713">
        <f>SUM(H19,K19,N19)</f>
        <v>2868.2259617599098</v>
      </c>
      <c r="D19" s="108">
        <f t="shared" ref="D19:D20" si="6">(C19-C18)/$C$5</f>
        <v>2.5266947056877555E-3</v>
      </c>
      <c r="E19" s="109">
        <f>-(1-C19/C16)</f>
        <v>-2.5407420400982095E-2</v>
      </c>
      <c r="H19" s="713">
        <f>H18*(1+H22)</f>
        <v>1929.7961861958729</v>
      </c>
      <c r="I19" s="130">
        <f t="shared" ref="I19:I20" si="7">(H19-H18)/H$5</f>
        <v>2.5506308699728714E-3</v>
      </c>
      <c r="J19" s="131">
        <f>-(1-H19/H16)</f>
        <v>-9.8226081216881811E-2</v>
      </c>
      <c r="K19" s="713">
        <f>K18*(1+K22)</f>
        <v>863.53277358231333</v>
      </c>
      <c r="L19" s="132">
        <f t="shared" ref="L19" si="8">(K19-K18)/K$5</f>
        <v>2.5755235472861458E-3</v>
      </c>
      <c r="M19" s="133">
        <f>-(1-K19/K16)</f>
        <v>0.1622244597339344</v>
      </c>
      <c r="N19" s="713">
        <f>N18*(1+N22)</f>
        <v>74.897001981723577</v>
      </c>
      <c r="O19" s="134">
        <f t="shared" ref="O19" si="9">(N19-N18)/N$5</f>
        <v>1.7301551758657945E-3</v>
      </c>
      <c r="P19" s="135">
        <f>-(1-N19/N16)</f>
        <v>0.24828336636205961</v>
      </c>
    </row>
    <row r="20" spans="2:16">
      <c r="B20" s="101" t="s">
        <v>722</v>
      </c>
      <c r="C20" s="713">
        <f>H20+K20</f>
        <v>2650.8892789752213</v>
      </c>
      <c r="D20" s="108">
        <f t="shared" si="6"/>
        <v>-1.7596687133405269E-2</v>
      </c>
      <c r="E20" s="109">
        <f>-(1-C20/C16)</f>
        <v>-9.9256106362480057E-2</v>
      </c>
      <c r="H20" s="751">
        <f>H19-H21</f>
        <v>1813.6543855865409</v>
      </c>
      <c r="I20" s="130">
        <f t="shared" si="7"/>
        <v>-1.4108576361677842E-2</v>
      </c>
      <c r="J20" s="131">
        <f>-(1-H20/H16)</f>
        <v>-0.15249795066049487</v>
      </c>
      <c r="K20" s="934">
        <f>K19+N19-K21</f>
        <v>837.23489338868035</v>
      </c>
      <c r="L20" s="935"/>
      <c r="M20" s="935"/>
      <c r="N20" s="935"/>
      <c r="O20" s="935"/>
      <c r="P20" s="936"/>
    </row>
    <row r="21" spans="2:16">
      <c r="B21" s="101" t="s">
        <v>723</v>
      </c>
      <c r="C21" s="107"/>
      <c r="D21" s="123"/>
      <c r="E21" s="124"/>
      <c r="H21" s="934">
        <f>'3.1'!M26</f>
        <v>116.14180060933208</v>
      </c>
      <c r="I21" s="935"/>
      <c r="J21" s="936"/>
      <c r="K21" s="934">
        <f>'3.1'!Q26</f>
        <v>101.1948821753565</v>
      </c>
      <c r="L21" s="935"/>
      <c r="M21" s="935"/>
      <c r="N21" s="935"/>
      <c r="O21" s="935"/>
      <c r="P21" s="936"/>
    </row>
    <row r="22" spans="2:16">
      <c r="B22" s="101" t="s">
        <v>724</v>
      </c>
      <c r="C22" s="111"/>
      <c r="D22" s="77"/>
      <c r="E22" s="120"/>
      <c r="H22" s="937">
        <v>1.0999999999999999E-2</v>
      </c>
      <c r="I22" s="938"/>
      <c r="J22" s="939"/>
      <c r="K22" s="937">
        <v>1.0999999999999999E-2</v>
      </c>
      <c r="L22" s="938"/>
      <c r="M22" s="939"/>
      <c r="N22" s="937">
        <v>1.0999999999999999E-2</v>
      </c>
      <c r="O22" s="938"/>
      <c r="P22" s="939"/>
    </row>
    <row r="23" spans="2:16" ht="15.75" thickBot="1">
      <c r="B23" s="122" t="s">
        <v>645</v>
      </c>
      <c r="C23" s="925">
        <f>SUM(H23,K23,N23)</f>
        <v>27</v>
      </c>
      <c r="D23" s="926"/>
      <c r="E23" s="927"/>
      <c r="H23" s="928">
        <v>7</v>
      </c>
      <c r="I23" s="929"/>
      <c r="J23" s="930"/>
      <c r="K23" s="931">
        <v>15</v>
      </c>
      <c r="L23" s="932"/>
      <c r="M23" s="933"/>
      <c r="N23" s="931">
        <v>5</v>
      </c>
      <c r="O23" s="932"/>
      <c r="P23" s="933"/>
    </row>
    <row r="25" spans="2:16" ht="15.75" thickBot="1"/>
    <row r="26" spans="2:16" ht="30.75" thickBot="1">
      <c r="C26" s="95" t="s">
        <v>399</v>
      </c>
      <c r="D26" s="126" t="s">
        <v>725</v>
      </c>
      <c r="E26" s="727" t="s">
        <v>726</v>
      </c>
      <c r="H26" s="100" t="s">
        <v>399</v>
      </c>
      <c r="I26" s="724" t="s">
        <v>725</v>
      </c>
      <c r="J26" s="728" t="s">
        <v>726</v>
      </c>
      <c r="K26" s="98" t="s">
        <v>399</v>
      </c>
      <c r="L26" s="725" t="s">
        <v>725</v>
      </c>
      <c r="M26" s="729" t="s">
        <v>726</v>
      </c>
      <c r="N26" s="98" t="s">
        <v>399</v>
      </c>
      <c r="O26" s="726" t="s">
        <v>725</v>
      </c>
      <c r="P26" s="730" t="s">
        <v>726</v>
      </c>
    </row>
    <row r="27" spans="2:16">
      <c r="B27" s="101" t="s">
        <v>718</v>
      </c>
      <c r="C27" s="712">
        <f>SUM(H27,K27,N27)</f>
        <v>1897</v>
      </c>
      <c r="D27" s="102"/>
      <c r="E27" s="103"/>
      <c r="H27" s="712">
        <f>'Table ES-1 Refresh ''13'!J19</f>
        <v>1479</v>
      </c>
      <c r="I27" s="104"/>
      <c r="J27" s="105"/>
      <c r="K27" s="712">
        <f>'Table ES-1 Refresh ''13'!J20</f>
        <v>371</v>
      </c>
      <c r="L27" s="104"/>
      <c r="M27" s="106"/>
      <c r="N27" s="712">
        <f>'Table ES-1 Refresh ''13'!J21</f>
        <v>47</v>
      </c>
      <c r="O27" s="104"/>
      <c r="P27" s="106"/>
    </row>
    <row r="28" spans="2:16">
      <c r="B28" s="101" t="s">
        <v>719</v>
      </c>
      <c r="C28" s="713">
        <f t="shared" ref="C28:C29" si="10">SUM(H28,K28,N28)</f>
        <v>1630.0250903390879</v>
      </c>
      <c r="D28" s="108">
        <f>-(1-(C28/C27))</f>
        <v>-0.14073532401734956</v>
      </c>
      <c r="E28" s="109">
        <f>-(1-C28/C27)</f>
        <v>-0.14073532401734956</v>
      </c>
      <c r="H28" s="713">
        <f>SUM(Residential!R9:R156)</f>
        <v>1226.81294849709</v>
      </c>
      <c r="I28" s="130">
        <f>-(1-(H28/H27))</f>
        <v>-0.17051186714192701</v>
      </c>
      <c r="J28" s="131">
        <f>-(1-H28/H27)</f>
        <v>-0.17051186714192701</v>
      </c>
      <c r="K28" s="713">
        <f>SUM(Commercial!O10:O105)</f>
        <v>361.484063572688</v>
      </c>
      <c r="L28" s="132">
        <f>-(1-(K28/K27))</f>
        <v>-2.564942433237738E-2</v>
      </c>
      <c r="M28" s="133">
        <f>-(1-K28/K27)</f>
        <v>-2.564942433237738E-2</v>
      </c>
      <c r="N28" s="713">
        <f>SUM(Industrial!O10:O144)</f>
        <v>41.728078269309968</v>
      </c>
      <c r="O28" s="134">
        <f>-(1-(N28/N27))</f>
        <v>-0.11216854746149008</v>
      </c>
      <c r="P28" s="135">
        <f>-(1-N28/N27)</f>
        <v>-0.11216854746149008</v>
      </c>
    </row>
    <row r="29" spans="2:16">
      <c r="B29" s="101" t="s">
        <v>720</v>
      </c>
      <c r="C29" s="713">
        <f t="shared" si="10"/>
        <v>1754.859863261654</v>
      </c>
      <c r="D29" s="108">
        <f>(C29-C28)/$C$5</f>
        <v>1.010726037750515E-2</v>
      </c>
      <c r="E29" s="119">
        <f>-(1-C29/C27)</f>
        <v>-7.4928907083998908E-2</v>
      </c>
      <c r="H29" s="713">
        <f>Residential!R3</f>
        <v>1290.5902883041963</v>
      </c>
      <c r="I29" s="130">
        <f>(H29-H28)/H$5</f>
        <v>7.7474902583948343E-3</v>
      </c>
      <c r="J29" s="131">
        <f>-(1-H29/H27)</f>
        <v>-0.12738993353333583</v>
      </c>
      <c r="K29" s="713">
        <f>Commercial!O3</f>
        <v>412.74857304838423</v>
      </c>
      <c r="L29" s="132">
        <f>(K29-K28)/K$5</f>
        <v>1.4052771237855326E-2</v>
      </c>
      <c r="M29" s="133">
        <f>-(1-K29/K27)</f>
        <v>0.1125298464916018</v>
      </c>
      <c r="N29" s="713">
        <f>Industrial!O3</f>
        <v>51.521001909073398</v>
      </c>
      <c r="O29" s="134">
        <f>(N29-N28)/N$5</f>
        <v>2.0791769935803461E-2</v>
      </c>
      <c r="P29" s="135">
        <f>-(1-N29/N27)</f>
        <v>9.6191529980285129E-2</v>
      </c>
    </row>
    <row r="30" spans="2:16">
      <c r="B30" s="101" t="s">
        <v>721</v>
      </c>
      <c r="C30" s="713">
        <f>SUM(H30,K30,N30)</f>
        <v>1774.1633217575318</v>
      </c>
      <c r="D30" s="108">
        <f t="shared" ref="D30:D31" si="11">(C30-C29)/$C$5</f>
        <v>1.5629065254536272E-3</v>
      </c>
      <c r="E30" s="109">
        <f>-(1-C30/C27)</f>
        <v>-6.47531250619231E-2</v>
      </c>
      <c r="H30" s="713">
        <f>H29*(1+H33)</f>
        <v>1304.7867814755423</v>
      </c>
      <c r="I30" s="130">
        <f t="shared" ref="I30:I31" si="12">(H30-H29)/H$5</f>
        <v>1.7245497049740029E-3</v>
      </c>
      <c r="J30" s="131">
        <f>-(1-H30/H27)</f>
        <v>-0.11779122280220267</v>
      </c>
      <c r="K30" s="713">
        <f>K29*(1+K33)</f>
        <v>417.28880735191643</v>
      </c>
      <c r="L30" s="132">
        <f t="shared" ref="L30" si="13">(K30-K29)/K$5</f>
        <v>1.2445817718015903E-3</v>
      </c>
      <c r="M30" s="133">
        <f>-(1-K30/K27)</f>
        <v>0.12476767480300932</v>
      </c>
      <c r="N30" s="713">
        <f>N29*(1+N33)</f>
        <v>52.087732930073201</v>
      </c>
      <c r="O30" s="134">
        <f t="shared" ref="O30" si="14">(N30-N29)/N$5</f>
        <v>1.2032505753711328E-3</v>
      </c>
      <c r="P30" s="135">
        <f>-(1-N30/N27)</f>
        <v>0.10824963681006805</v>
      </c>
    </row>
    <row r="31" spans="2:16">
      <c r="B31" s="101" t="s">
        <v>722</v>
      </c>
      <c r="C31" s="713">
        <f>H31+K31</f>
        <v>1510.9501028169921</v>
      </c>
      <c r="D31" s="108">
        <f t="shared" si="11"/>
        <v>-2.1311085656265865E-2</v>
      </c>
      <c r="E31" s="109">
        <f>-(1-C31/C27)</f>
        <v>-0.20350548085556563</v>
      </c>
      <c r="H31" s="751">
        <f>H30-H32</f>
        <v>1110.7833323748423</v>
      </c>
      <c r="I31" s="130">
        <f t="shared" si="12"/>
        <v>-2.356698847190233E-2</v>
      </c>
      <c r="J31" s="131">
        <f>-(1-H31/H27)</f>
        <v>-0.24896326411437297</v>
      </c>
      <c r="K31" s="934">
        <f>K30+N30-K32</f>
        <v>400.16677044214964</v>
      </c>
      <c r="L31" s="935"/>
      <c r="M31" s="935"/>
      <c r="N31" s="935"/>
      <c r="O31" s="935"/>
      <c r="P31" s="936"/>
    </row>
    <row r="32" spans="2:16">
      <c r="B32" s="101" t="s">
        <v>723</v>
      </c>
      <c r="C32" s="107"/>
      <c r="D32" s="123"/>
      <c r="E32" s="124"/>
      <c r="H32" s="934">
        <f>'3.2'!M26</f>
        <v>194.00344910070004</v>
      </c>
      <c r="I32" s="935"/>
      <c r="J32" s="936"/>
      <c r="K32" s="934">
        <f>'3.2'!Q26</f>
        <v>69.209769839839964</v>
      </c>
      <c r="L32" s="935"/>
      <c r="M32" s="935"/>
      <c r="N32" s="935"/>
      <c r="O32" s="935"/>
      <c r="P32" s="936"/>
    </row>
    <row r="33" spans="2:16">
      <c r="B33" s="101" t="s">
        <v>724</v>
      </c>
      <c r="C33" s="111"/>
      <c r="D33" s="77"/>
      <c r="E33" s="120"/>
      <c r="H33" s="937">
        <v>1.0999999999999999E-2</v>
      </c>
      <c r="I33" s="938"/>
      <c r="J33" s="939"/>
      <c r="K33" s="937">
        <v>1.0999999999999999E-2</v>
      </c>
      <c r="L33" s="938"/>
      <c r="M33" s="939"/>
      <c r="N33" s="937">
        <v>1.0999999999999999E-2</v>
      </c>
      <c r="O33" s="938"/>
      <c r="P33" s="939"/>
    </row>
    <row r="34" spans="2:16" ht="15.75" thickBot="1">
      <c r="B34" s="122" t="s">
        <v>645</v>
      </c>
      <c r="C34" s="925">
        <f>SUM(H34,K34,N34)</f>
        <v>27</v>
      </c>
      <c r="D34" s="926"/>
      <c r="E34" s="927"/>
      <c r="H34" s="928">
        <v>7</v>
      </c>
      <c r="I34" s="929"/>
      <c r="J34" s="930"/>
      <c r="K34" s="931">
        <v>15</v>
      </c>
      <c r="L34" s="932"/>
      <c r="M34" s="933"/>
      <c r="N34" s="931">
        <v>5</v>
      </c>
      <c r="O34" s="932"/>
      <c r="P34" s="933"/>
    </row>
  </sheetData>
  <mergeCells count="36">
    <mergeCell ref="B2:P2"/>
    <mergeCell ref="C3:E3"/>
    <mergeCell ref="F3:G3"/>
    <mergeCell ref="H3:J3"/>
    <mergeCell ref="K3:M3"/>
    <mergeCell ref="N3:P3"/>
    <mergeCell ref="K9:P9"/>
    <mergeCell ref="K10:P10"/>
    <mergeCell ref="H11:J11"/>
    <mergeCell ref="K11:M11"/>
    <mergeCell ref="N11:P11"/>
    <mergeCell ref="C12:E12"/>
    <mergeCell ref="H12:J12"/>
    <mergeCell ref="K12:M12"/>
    <mergeCell ref="N12:P12"/>
    <mergeCell ref="H10:J10"/>
    <mergeCell ref="K20:P20"/>
    <mergeCell ref="H21:J21"/>
    <mergeCell ref="K21:P21"/>
    <mergeCell ref="H22:J22"/>
    <mergeCell ref="K22:M22"/>
    <mergeCell ref="N22:P22"/>
    <mergeCell ref="C23:E23"/>
    <mergeCell ref="C34:E34"/>
    <mergeCell ref="H33:J33"/>
    <mergeCell ref="K33:M33"/>
    <mergeCell ref="N33:P33"/>
    <mergeCell ref="H34:J34"/>
    <mergeCell ref="K34:M34"/>
    <mergeCell ref="N34:P34"/>
    <mergeCell ref="H23:J23"/>
    <mergeCell ref="K23:M23"/>
    <mergeCell ref="N23:P23"/>
    <mergeCell ref="K31:P31"/>
    <mergeCell ref="H32:J32"/>
    <mergeCell ref="K32:P32"/>
  </mergeCells>
  <pageMargins left="0.7" right="0.7" top="0.75" bottom="0.75" header="0.3" footer="0.3"/>
  <pageSetup paperSize="17" scale="97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33"/>
  <sheetViews>
    <sheetView zoomScale="80" zoomScaleNormal="80" workbookViewId="0"/>
  </sheetViews>
  <sheetFormatPr defaultRowHeight="15"/>
  <cols>
    <col min="1" max="1" width="14.5703125" customWidth="1"/>
    <col min="2" max="2" width="33" customWidth="1"/>
    <col min="3" max="4" width="10" bestFit="1" customWidth="1"/>
    <col min="8" max="8" width="9.5703125" bestFit="1" customWidth="1"/>
    <col min="14" max="14" width="10" bestFit="1" customWidth="1"/>
  </cols>
  <sheetData>
    <row r="1" spans="1:22" ht="15.75" thickBot="1"/>
    <row r="2" spans="1:22" ht="15.75" thickBot="1">
      <c r="A2" s="974" t="s">
        <v>733</v>
      </c>
      <c r="B2" s="975"/>
      <c r="C2" s="975"/>
      <c r="D2" s="975"/>
      <c r="E2" s="975"/>
      <c r="F2" s="975"/>
      <c r="G2" s="975"/>
      <c r="H2" s="975"/>
      <c r="I2" s="975"/>
      <c r="J2" s="975"/>
      <c r="K2" s="975"/>
      <c r="L2" s="976"/>
      <c r="M2" s="977" t="s">
        <v>669</v>
      </c>
      <c r="N2" s="978"/>
      <c r="O2" s="978"/>
      <c r="P2" s="978"/>
      <c r="Q2" s="978"/>
      <c r="R2" s="978"/>
      <c r="S2" s="978"/>
      <c r="T2" s="978"/>
      <c r="U2" s="978"/>
      <c r="V2" s="979"/>
    </row>
    <row r="3" spans="1:22" ht="19.5" customHeight="1">
      <c r="A3" s="980" t="s">
        <v>670</v>
      </c>
      <c r="B3" s="982" t="s">
        <v>671</v>
      </c>
      <c r="C3" s="980" t="s">
        <v>672</v>
      </c>
      <c r="D3" s="984"/>
      <c r="E3" s="984"/>
      <c r="F3" s="984"/>
      <c r="G3" s="985"/>
      <c r="H3" s="980" t="s">
        <v>673</v>
      </c>
      <c r="I3" s="984"/>
      <c r="J3" s="984"/>
      <c r="K3" s="984"/>
      <c r="L3" s="985"/>
      <c r="M3" s="980" t="s">
        <v>672</v>
      </c>
      <c r="N3" s="984"/>
      <c r="O3" s="984"/>
      <c r="P3" s="984"/>
      <c r="Q3" s="985"/>
      <c r="R3" s="980" t="s">
        <v>673</v>
      </c>
      <c r="S3" s="984"/>
      <c r="T3" s="984"/>
      <c r="U3" s="984"/>
      <c r="V3" s="985"/>
    </row>
    <row r="4" spans="1:22">
      <c r="A4" s="981"/>
      <c r="B4" s="983"/>
      <c r="C4" s="616" t="s">
        <v>674</v>
      </c>
      <c r="D4" s="972" t="s">
        <v>675</v>
      </c>
      <c r="E4" s="972"/>
      <c r="F4" s="972" t="s">
        <v>676</v>
      </c>
      <c r="G4" s="973"/>
      <c r="H4" s="616" t="s">
        <v>674</v>
      </c>
      <c r="I4" s="972" t="s">
        <v>675</v>
      </c>
      <c r="J4" s="972"/>
      <c r="K4" s="972" t="s">
        <v>676</v>
      </c>
      <c r="L4" s="973"/>
      <c r="M4" s="616" t="s">
        <v>674</v>
      </c>
      <c r="N4" s="972" t="s">
        <v>675</v>
      </c>
      <c r="O4" s="972"/>
      <c r="P4" s="972" t="s">
        <v>676</v>
      </c>
      <c r="Q4" s="973"/>
      <c r="R4" s="616" t="s">
        <v>674</v>
      </c>
      <c r="S4" s="972" t="s">
        <v>675</v>
      </c>
      <c r="T4" s="972"/>
      <c r="U4" s="972" t="s">
        <v>676</v>
      </c>
      <c r="V4" s="973"/>
    </row>
    <row r="5" spans="1:22">
      <c r="A5" s="981"/>
      <c r="B5" s="983"/>
      <c r="C5" s="617" t="s">
        <v>677</v>
      </c>
      <c r="D5" s="618" t="s">
        <v>677</v>
      </c>
      <c r="E5" s="618" t="s">
        <v>678</v>
      </c>
      <c r="F5" s="618" t="s">
        <v>677</v>
      </c>
      <c r="G5" s="619" t="s">
        <v>678</v>
      </c>
      <c r="H5" s="617" t="s">
        <v>677</v>
      </c>
      <c r="I5" s="618" t="s">
        <v>677</v>
      </c>
      <c r="J5" s="618" t="s">
        <v>678</v>
      </c>
      <c r="K5" s="618" t="s">
        <v>677</v>
      </c>
      <c r="L5" s="619" t="s">
        <v>678</v>
      </c>
      <c r="M5" s="617" t="s">
        <v>677</v>
      </c>
      <c r="N5" s="618" t="s">
        <v>677</v>
      </c>
      <c r="O5" s="618" t="s">
        <v>678</v>
      </c>
      <c r="P5" s="618" t="s">
        <v>677</v>
      </c>
      <c r="Q5" s="619" t="s">
        <v>678</v>
      </c>
      <c r="R5" s="617" t="s">
        <v>677</v>
      </c>
      <c r="S5" s="618" t="s">
        <v>677</v>
      </c>
      <c r="T5" s="618" t="s">
        <v>678</v>
      </c>
      <c r="U5" s="618" t="s">
        <v>677</v>
      </c>
      <c r="V5" s="619" t="s">
        <v>678</v>
      </c>
    </row>
    <row r="6" spans="1:22" ht="21" customHeight="1">
      <c r="A6" s="968" t="s">
        <v>679</v>
      </c>
      <c r="B6" s="620" t="s">
        <v>680</v>
      </c>
      <c r="C6" s="621"/>
      <c r="D6" s="622">
        <v>97</v>
      </c>
      <c r="E6" s="623">
        <v>2.1000000000000001E-2</v>
      </c>
      <c r="F6" s="624">
        <v>175</v>
      </c>
      <c r="G6" s="625">
        <v>3.6999999999999998E-2</v>
      </c>
      <c r="H6" s="621"/>
      <c r="I6" s="626">
        <v>105</v>
      </c>
      <c r="J6" s="623">
        <v>0.02</v>
      </c>
      <c r="K6" s="82">
        <v>189</v>
      </c>
      <c r="L6" s="627">
        <v>3.5999999999999997E-2</v>
      </c>
      <c r="M6" s="628"/>
      <c r="N6" s="622">
        <f>$M$12*O6</f>
        <v>98.972980829495683</v>
      </c>
      <c r="O6" s="623">
        <v>2.1000000000000001E-2</v>
      </c>
      <c r="P6" s="622">
        <f t="shared" ref="P6:P11" si="0">$M$12*Q6</f>
        <v>174.38096622339714</v>
      </c>
      <c r="Q6" s="629">
        <v>3.6999999999999998E-2</v>
      </c>
      <c r="R6" s="621"/>
      <c r="S6" s="630">
        <f>$R$12*T6</f>
        <v>105.24585796656143</v>
      </c>
      <c r="T6" s="631">
        <v>0.02</v>
      </c>
      <c r="U6" s="630">
        <f>$R$12*V6</f>
        <v>189.44254433981058</v>
      </c>
      <c r="V6" s="632">
        <v>3.5999999999999997E-2</v>
      </c>
    </row>
    <row r="7" spans="1:22" ht="20.25" customHeight="1">
      <c r="A7" s="968"/>
      <c r="B7" s="620" t="s">
        <v>681</v>
      </c>
      <c r="C7" s="633"/>
      <c r="D7" s="622">
        <v>157</v>
      </c>
      <c r="E7" s="623">
        <v>3.3000000000000002E-2</v>
      </c>
      <c r="F7" s="624">
        <v>282</v>
      </c>
      <c r="G7" s="625">
        <v>0.06</v>
      </c>
      <c r="H7" s="633"/>
      <c r="I7" s="626">
        <v>169</v>
      </c>
      <c r="J7" s="623">
        <v>3.3000000000000002E-2</v>
      </c>
      <c r="K7" s="82">
        <v>304</v>
      </c>
      <c r="L7" s="627">
        <v>5.8999999999999997E-2</v>
      </c>
      <c r="M7" s="634"/>
      <c r="N7" s="622">
        <f t="shared" ref="N7:N11" si="1">$M$12*O7</f>
        <v>155.52896987492178</v>
      </c>
      <c r="O7" s="623">
        <v>3.3000000000000002E-2</v>
      </c>
      <c r="P7" s="622">
        <f t="shared" si="0"/>
        <v>282.7799452271305</v>
      </c>
      <c r="Q7" s="629">
        <v>0.06</v>
      </c>
      <c r="R7" s="633"/>
      <c r="S7" s="630">
        <f t="shared" ref="S7:S11" si="2">$R$12*T7</f>
        <v>173.65566564482637</v>
      </c>
      <c r="T7" s="631">
        <v>3.3000000000000002E-2</v>
      </c>
      <c r="U7" s="630">
        <f t="shared" ref="U7:U11" si="3">$R$12*V7</f>
        <v>310.47528100135622</v>
      </c>
      <c r="V7" s="632">
        <v>5.8999999999999997E-2</v>
      </c>
    </row>
    <row r="8" spans="1:22">
      <c r="A8" s="968"/>
      <c r="B8" s="620" t="s">
        <v>682</v>
      </c>
      <c r="C8" s="633"/>
      <c r="D8" s="622">
        <v>282</v>
      </c>
      <c r="E8" s="623">
        <v>0.06</v>
      </c>
      <c r="F8" s="624">
        <v>56</v>
      </c>
      <c r="G8" s="622">
        <f>'Duke Delta'!K19-('Duke Delta'!K19/('Duke Delta'!K19+'Duke Delta'!N19))*'Total Summary Tab'!N10</f>
        <v>863.53277358231333</v>
      </c>
      <c r="H8" s="633"/>
      <c r="I8" s="626">
        <v>304</v>
      </c>
      <c r="J8" s="623">
        <v>5.8999999999999997E-2</v>
      </c>
      <c r="K8" s="82">
        <v>61</v>
      </c>
      <c r="L8" s="627">
        <v>1.2E-2</v>
      </c>
      <c r="M8" s="634"/>
      <c r="N8" s="622">
        <f t="shared" si="1"/>
        <v>282.7799452271305</v>
      </c>
      <c r="O8" s="623">
        <v>0.06</v>
      </c>
      <c r="P8" s="622">
        <f t="shared" si="0"/>
        <v>56.555989045426102</v>
      </c>
      <c r="Q8" s="629">
        <v>1.2E-2</v>
      </c>
      <c r="R8" s="633"/>
      <c r="S8" s="630">
        <f t="shared" si="2"/>
        <v>310.47528100135622</v>
      </c>
      <c r="T8" s="631">
        <v>5.8999999999999997E-2</v>
      </c>
      <c r="U8" s="630">
        <f t="shared" si="3"/>
        <v>63.147514779936863</v>
      </c>
      <c r="V8" s="632">
        <v>1.2E-2</v>
      </c>
    </row>
    <row r="9" spans="1:22" ht="47.25" customHeight="1">
      <c r="A9" s="968"/>
      <c r="B9" s="620" t="s">
        <v>683</v>
      </c>
      <c r="C9" s="633"/>
      <c r="D9" s="622">
        <v>65</v>
      </c>
      <c r="E9" s="623">
        <v>1.4E-2</v>
      </c>
      <c r="F9" s="624">
        <v>13</v>
      </c>
      <c r="G9" s="625">
        <v>3.0000000000000001E-3</v>
      </c>
      <c r="H9" s="633"/>
      <c r="I9" s="626">
        <v>180</v>
      </c>
      <c r="J9" s="623">
        <v>3.5000000000000003E-2</v>
      </c>
      <c r="K9" s="82">
        <v>36</v>
      </c>
      <c r="L9" s="627">
        <v>7.0000000000000001E-3</v>
      </c>
      <c r="M9" s="634"/>
      <c r="N9" s="622">
        <f t="shared" si="1"/>
        <v>65.981987219663793</v>
      </c>
      <c r="O9" s="623">
        <v>1.4E-2</v>
      </c>
      <c r="P9" s="622">
        <f t="shared" si="0"/>
        <v>14.138997261356526</v>
      </c>
      <c r="Q9" s="629">
        <v>3.0000000000000001E-3</v>
      </c>
      <c r="R9" s="633"/>
      <c r="S9" s="630">
        <f t="shared" si="2"/>
        <v>184.18025144148254</v>
      </c>
      <c r="T9" s="631">
        <v>3.5000000000000003E-2</v>
      </c>
      <c r="U9" s="630">
        <f t="shared" si="3"/>
        <v>36.836050288296505</v>
      </c>
      <c r="V9" s="632">
        <v>7.0000000000000001E-3</v>
      </c>
    </row>
    <row r="10" spans="1:22" ht="50.25" customHeight="1">
      <c r="A10" s="968"/>
      <c r="B10" s="620" t="s">
        <v>684</v>
      </c>
      <c r="C10" s="633"/>
      <c r="D10" s="622">
        <v>51</v>
      </c>
      <c r="E10" s="623">
        <v>1.0999999999999999E-2</v>
      </c>
      <c r="F10" s="624">
        <v>10</v>
      </c>
      <c r="G10" s="625">
        <v>2E-3</v>
      </c>
      <c r="H10" s="633"/>
      <c r="I10" s="626">
        <v>10</v>
      </c>
      <c r="J10" s="623">
        <v>2E-3</v>
      </c>
      <c r="K10" s="82">
        <v>2</v>
      </c>
      <c r="L10" s="627">
        <v>0</v>
      </c>
      <c r="M10" s="634"/>
      <c r="N10" s="622">
        <f t="shared" si="1"/>
        <v>51.842989958307257</v>
      </c>
      <c r="O10" s="623">
        <v>1.0999999999999999E-2</v>
      </c>
      <c r="P10" s="622">
        <f t="shared" si="0"/>
        <v>9.4259981742376837</v>
      </c>
      <c r="Q10" s="629">
        <v>2E-3</v>
      </c>
      <c r="R10" s="633"/>
      <c r="S10" s="630">
        <f t="shared" si="2"/>
        <v>10.524585796656144</v>
      </c>
      <c r="T10" s="631">
        <v>2E-3</v>
      </c>
      <c r="U10" s="630">
        <f t="shared" si="3"/>
        <v>2.1049171593312286</v>
      </c>
      <c r="V10" s="632">
        <v>4.0000000000000002E-4</v>
      </c>
    </row>
    <row r="11" spans="1:22" ht="38.25" customHeight="1">
      <c r="A11" s="968"/>
      <c r="B11" s="635" t="s">
        <v>685</v>
      </c>
      <c r="C11" s="636"/>
      <c r="D11" s="637">
        <v>82</v>
      </c>
      <c r="E11" s="638">
        <v>1.7000000000000001E-2</v>
      </c>
      <c r="F11" s="639">
        <v>16</v>
      </c>
      <c r="G11" s="640">
        <v>3.0000000000000001E-3</v>
      </c>
      <c r="H11" s="633"/>
      <c r="I11" s="641">
        <v>89</v>
      </c>
      <c r="J11" s="638">
        <v>1.7000000000000001E-2</v>
      </c>
      <c r="K11" s="621">
        <v>18</v>
      </c>
      <c r="L11" s="627">
        <v>3.0000000000000001E-3</v>
      </c>
      <c r="M11" s="642"/>
      <c r="N11" s="622">
        <f t="shared" si="1"/>
        <v>80.120984481020315</v>
      </c>
      <c r="O11" s="638">
        <v>1.7000000000000001E-2</v>
      </c>
      <c r="P11" s="622">
        <f t="shared" si="0"/>
        <v>14.138997261356526</v>
      </c>
      <c r="Q11" s="643">
        <v>3.0000000000000001E-3</v>
      </c>
      <c r="R11" s="633"/>
      <c r="S11" s="630">
        <f t="shared" si="2"/>
        <v>89.458979271577221</v>
      </c>
      <c r="T11" s="644">
        <v>1.7000000000000001E-2</v>
      </c>
      <c r="U11" s="630">
        <f t="shared" si="3"/>
        <v>15.786878694984216</v>
      </c>
      <c r="V11" s="632">
        <v>3.0000000000000001E-3</v>
      </c>
    </row>
    <row r="12" spans="1:22" ht="24" customHeight="1">
      <c r="A12" s="968"/>
      <c r="B12" s="645" t="s">
        <v>686</v>
      </c>
      <c r="C12" s="646">
        <v>4698</v>
      </c>
      <c r="D12" s="647">
        <v>734</v>
      </c>
      <c r="E12" s="648">
        <v>0.156</v>
      </c>
      <c r="F12" s="646">
        <v>553</v>
      </c>
      <c r="G12" s="649">
        <v>0.11799999999999999</v>
      </c>
      <c r="H12" s="646">
        <v>5175</v>
      </c>
      <c r="I12" s="650">
        <v>856</v>
      </c>
      <c r="J12" s="648">
        <v>0.16500000000000001</v>
      </c>
      <c r="K12" s="651">
        <v>609</v>
      </c>
      <c r="L12" s="652">
        <v>0.11799999999999999</v>
      </c>
      <c r="M12" s="653">
        <f>(C12*(1+$C$25))-C31</f>
        <v>4712.999087118842</v>
      </c>
      <c r="N12" s="654">
        <f>M12*O12</f>
        <v>735.22785759053932</v>
      </c>
      <c r="O12" s="655">
        <v>0.156</v>
      </c>
      <c r="P12" s="656">
        <f>M12*Q12</f>
        <v>556.13389228002336</v>
      </c>
      <c r="Q12" s="657">
        <v>0.11799999999999999</v>
      </c>
      <c r="R12" s="653">
        <f>H12*(1+$D$25)-D31</f>
        <v>5262.2928983280717</v>
      </c>
      <c r="S12" s="654">
        <f>R12*T12</f>
        <v>868.27832822413188</v>
      </c>
      <c r="T12" s="658">
        <v>0.16500000000000001</v>
      </c>
      <c r="U12" s="656">
        <f>R12*V12</f>
        <v>620.95056200271245</v>
      </c>
      <c r="V12" s="659">
        <v>0.11799999999999999</v>
      </c>
    </row>
    <row r="13" spans="1:22" ht="30">
      <c r="A13" s="969" t="s">
        <v>642</v>
      </c>
      <c r="B13" s="660" t="s">
        <v>687</v>
      </c>
      <c r="C13" s="633"/>
      <c r="D13" s="661">
        <v>109</v>
      </c>
      <c r="E13" s="662">
        <v>6.2E-2</v>
      </c>
      <c r="F13" s="663">
        <v>31</v>
      </c>
      <c r="G13" s="664">
        <v>1.7999999999999999E-2</v>
      </c>
      <c r="H13" s="633"/>
      <c r="I13" s="665">
        <v>55</v>
      </c>
      <c r="J13" s="662">
        <v>4.7E-2</v>
      </c>
      <c r="K13" s="636">
        <v>16</v>
      </c>
      <c r="L13" s="627">
        <v>1.2999999999999999E-2</v>
      </c>
      <c r="M13" s="634"/>
      <c r="N13" s="666">
        <f>$M$15*O13</f>
        <v>107.50531764654022</v>
      </c>
      <c r="O13" s="662">
        <v>6.2E-2</v>
      </c>
      <c r="P13" s="666">
        <f>$M$15*Q13</f>
        <v>31.211221252221353</v>
      </c>
      <c r="Q13" s="667">
        <v>1.7999999999999999E-2</v>
      </c>
      <c r="R13" s="633"/>
      <c r="S13" s="666">
        <f>$R$15*T13</f>
        <v>52.88648565693957</v>
      </c>
      <c r="T13" s="668">
        <v>4.7E-2</v>
      </c>
      <c r="U13" s="666">
        <f>$R$15*V13</f>
        <v>14.62817688383435</v>
      </c>
      <c r="V13" s="632">
        <v>1.2999999999999999E-2</v>
      </c>
    </row>
    <row r="14" spans="1:22">
      <c r="A14" s="970"/>
      <c r="B14" s="620" t="s">
        <v>688</v>
      </c>
      <c r="C14" s="633"/>
      <c r="D14" s="622">
        <v>144</v>
      </c>
      <c r="E14" s="623">
        <v>8.2000000000000003E-2</v>
      </c>
      <c r="F14" s="624">
        <v>144</v>
      </c>
      <c r="G14" s="625">
        <v>8.2000000000000003E-2</v>
      </c>
      <c r="H14" s="633"/>
      <c r="I14" s="626">
        <v>31</v>
      </c>
      <c r="J14" s="623">
        <v>2.7E-2</v>
      </c>
      <c r="K14" s="82">
        <v>31</v>
      </c>
      <c r="L14" s="627">
        <v>2.7E-2</v>
      </c>
      <c r="M14" s="634"/>
      <c r="N14" s="666">
        <f>$M$15*O14</f>
        <v>142.18445237123061</v>
      </c>
      <c r="O14" s="623">
        <v>8.2000000000000003E-2</v>
      </c>
      <c r="P14" s="666">
        <f>$M$15*Q14</f>
        <v>142.18445237123061</v>
      </c>
      <c r="Q14" s="629">
        <v>8.2000000000000003E-2</v>
      </c>
      <c r="R14" s="633"/>
      <c r="S14" s="666">
        <f>$R$15*T14</f>
        <v>30.381598143348263</v>
      </c>
      <c r="T14" s="631">
        <v>2.7E-2</v>
      </c>
      <c r="U14" s="666">
        <f>$R$15*V14</f>
        <v>30.381598143348263</v>
      </c>
      <c r="V14" s="632">
        <v>2.7E-2</v>
      </c>
    </row>
    <row r="15" spans="1:22">
      <c r="A15" s="971"/>
      <c r="B15" s="645" t="s">
        <v>689</v>
      </c>
      <c r="C15" s="646">
        <v>1757</v>
      </c>
      <c r="D15" s="647">
        <v>252</v>
      </c>
      <c r="E15" s="648">
        <v>0.14399999999999999</v>
      </c>
      <c r="F15" s="646">
        <v>175</v>
      </c>
      <c r="G15" s="649">
        <v>9.9000000000000005E-2</v>
      </c>
      <c r="H15" s="646">
        <v>1166</v>
      </c>
      <c r="I15" s="650">
        <v>86</v>
      </c>
      <c r="J15" s="648">
        <v>7.3999999999999996E-2</v>
      </c>
      <c r="K15" s="651">
        <v>47</v>
      </c>
      <c r="L15" s="652">
        <v>0.04</v>
      </c>
      <c r="M15" s="653">
        <f>(C15*(1+$C$26))-C32</f>
        <v>1733.9567362345197</v>
      </c>
      <c r="N15" s="654">
        <f>M15*O15</f>
        <v>249.68977001777083</v>
      </c>
      <c r="O15" s="655">
        <v>0.14399999999999999</v>
      </c>
      <c r="P15" s="656">
        <f>M15*Q15</f>
        <v>171.66171688721747</v>
      </c>
      <c r="Q15" s="657">
        <v>9.9000000000000005E-2</v>
      </c>
      <c r="R15" s="653">
        <f>(H15*(1+$D$26))-D32</f>
        <v>1125.2443756795653</v>
      </c>
      <c r="S15" s="654">
        <f>R15*T15</f>
        <v>83.268083800287826</v>
      </c>
      <c r="T15" s="658">
        <v>7.3999999999999996E-2</v>
      </c>
      <c r="U15" s="656">
        <f>R15*V15</f>
        <v>45.009775027182613</v>
      </c>
      <c r="V15" s="659">
        <v>0.04</v>
      </c>
    </row>
    <row r="16" spans="1:22" ht="30">
      <c r="A16" s="970" t="s">
        <v>565</v>
      </c>
      <c r="B16" s="620" t="s">
        <v>690</v>
      </c>
      <c r="C16" s="633"/>
      <c r="D16" s="622">
        <v>9</v>
      </c>
      <c r="E16" s="623">
        <v>1.6E-2</v>
      </c>
      <c r="F16" s="624">
        <v>3</v>
      </c>
      <c r="G16" s="625">
        <v>5.0000000000000001E-3</v>
      </c>
      <c r="H16" s="633"/>
      <c r="I16" s="626">
        <v>4</v>
      </c>
      <c r="J16" s="623">
        <v>0.01</v>
      </c>
      <c r="K16" s="82">
        <v>1</v>
      </c>
      <c r="L16" s="627">
        <v>3.0000000000000001E-3</v>
      </c>
      <c r="M16" s="634"/>
      <c r="N16" s="666">
        <f>$M$18*O16</f>
        <v>8.6845869543903103</v>
      </c>
      <c r="O16" s="623">
        <v>1.6E-2</v>
      </c>
      <c r="P16" s="666">
        <f>$M$18*Q16</f>
        <v>2.7139334232469721</v>
      </c>
      <c r="Q16" s="629">
        <v>5.0000000000000001E-3</v>
      </c>
      <c r="R16" s="633"/>
      <c r="S16" s="666">
        <f>$R$18*T16</f>
        <v>4.2096994569586057</v>
      </c>
      <c r="T16" s="631">
        <v>0.01</v>
      </c>
      <c r="U16" s="666">
        <f>$R$18*V16</f>
        <v>1.2629098370875815</v>
      </c>
      <c r="V16" s="632">
        <v>3.0000000000000001E-3</v>
      </c>
    </row>
    <row r="17" spans="1:22">
      <c r="A17" s="970"/>
      <c r="B17" s="620" t="s">
        <v>688</v>
      </c>
      <c r="C17" s="633"/>
      <c r="D17" s="622">
        <v>11</v>
      </c>
      <c r="E17" s="623">
        <v>0.02</v>
      </c>
      <c r="F17" s="669">
        <v>11</v>
      </c>
      <c r="G17" s="625">
        <v>0.02</v>
      </c>
      <c r="H17" s="633"/>
      <c r="I17" s="626">
        <v>2</v>
      </c>
      <c r="J17" s="623">
        <v>4.0000000000000001E-3</v>
      </c>
      <c r="K17" s="82">
        <v>2</v>
      </c>
      <c r="L17" s="627">
        <v>4.0000000000000001E-3</v>
      </c>
      <c r="M17" s="634"/>
      <c r="N17" s="666">
        <f>$M$18*O17</f>
        <v>10.855733692987888</v>
      </c>
      <c r="O17" s="623">
        <v>0.02</v>
      </c>
      <c r="P17" s="666">
        <f>$M$18*Q17</f>
        <v>10.855733692987888</v>
      </c>
      <c r="Q17" s="629">
        <v>0.02</v>
      </c>
      <c r="R17" s="633"/>
      <c r="S17" s="666">
        <f>$R$18*T17</f>
        <v>1.6838797827834422</v>
      </c>
      <c r="T17" s="631">
        <v>4.0000000000000001E-3</v>
      </c>
      <c r="U17" s="666">
        <f>$R$18*V17</f>
        <v>1.6838797827834422</v>
      </c>
      <c r="V17" s="632">
        <v>4.0000000000000001E-3</v>
      </c>
    </row>
    <row r="18" spans="1:22">
      <c r="A18" s="971"/>
      <c r="B18" s="670" t="s">
        <v>691</v>
      </c>
      <c r="C18" s="671">
        <v>550</v>
      </c>
      <c r="D18" s="672">
        <v>20</v>
      </c>
      <c r="E18" s="673">
        <v>3.5999999999999997E-2</v>
      </c>
      <c r="F18" s="674">
        <v>13</v>
      </c>
      <c r="G18" s="675">
        <v>2.4E-2</v>
      </c>
      <c r="H18" s="671">
        <v>433</v>
      </c>
      <c r="I18" s="676">
        <v>6</v>
      </c>
      <c r="J18" s="673">
        <v>1.4E-2</v>
      </c>
      <c r="K18" s="677">
        <v>3</v>
      </c>
      <c r="L18" s="678">
        <v>7.0000000000000001E-3</v>
      </c>
      <c r="M18" s="653">
        <f>(C18*(1+$C$27))-C33</f>
        <v>542.78668464939437</v>
      </c>
      <c r="N18" s="654">
        <f>M18*O18</f>
        <v>19.540320647378195</v>
      </c>
      <c r="O18" s="679">
        <v>3.5999999999999997E-2</v>
      </c>
      <c r="P18" s="656">
        <f>M18*Q18</f>
        <v>13.026880431585464</v>
      </c>
      <c r="Q18" s="680">
        <v>2.4E-2</v>
      </c>
      <c r="R18" s="653">
        <f>(H18*(1+$D$27))-D33</f>
        <v>420.96994569586053</v>
      </c>
      <c r="S18" s="654">
        <f>R18*T18</f>
        <v>5.8935792397420474</v>
      </c>
      <c r="T18" s="681">
        <v>1.4E-2</v>
      </c>
      <c r="U18" s="656">
        <f>R18*V18</f>
        <v>2.9467896198710237</v>
      </c>
      <c r="V18" s="682">
        <v>7.0000000000000001E-3</v>
      </c>
    </row>
    <row r="19" spans="1:22" ht="15.75" thickBot="1">
      <c r="A19" s="683" t="s">
        <v>692</v>
      </c>
      <c r="B19" s="684"/>
      <c r="C19" s="685">
        <v>7005</v>
      </c>
      <c r="D19" s="686">
        <v>1006</v>
      </c>
      <c r="E19" s="687">
        <v>0.14399999999999999</v>
      </c>
      <c r="F19" s="688">
        <v>741</v>
      </c>
      <c r="G19" s="687">
        <v>0.106</v>
      </c>
      <c r="H19" s="685">
        <v>6773</v>
      </c>
      <c r="I19" s="689">
        <v>948</v>
      </c>
      <c r="J19" s="687">
        <v>0.14000000000000001</v>
      </c>
      <c r="K19" s="689">
        <v>659</v>
      </c>
      <c r="L19" s="690">
        <v>9.7000000000000003E-2</v>
      </c>
      <c r="M19" s="691">
        <f>SUM(M12:M18)</f>
        <v>6989.742508002756</v>
      </c>
      <c r="N19" s="686">
        <f>N12+N15+N18</f>
        <v>1004.4579482556883</v>
      </c>
      <c r="O19" s="687">
        <v>0.14399999999999999</v>
      </c>
      <c r="P19" s="686">
        <f>P12+P15+P18</f>
        <v>740.82248959882634</v>
      </c>
      <c r="Q19" s="692">
        <v>0.106</v>
      </c>
      <c r="R19" s="691">
        <f>SUM(R12:R18)</f>
        <v>6808.5072197034979</v>
      </c>
      <c r="S19" s="686">
        <f>S12+S15+S18</f>
        <v>957.43999126416179</v>
      </c>
      <c r="T19" s="692">
        <v>0.14000000000000001</v>
      </c>
      <c r="U19" s="686">
        <f>U12+U15+U18</f>
        <v>668.90712664976604</v>
      </c>
      <c r="V19" s="693">
        <v>9.7000000000000003E-2</v>
      </c>
    </row>
    <row r="20" spans="1:22">
      <c r="B20" s="694"/>
    </row>
    <row r="22" spans="1:22" ht="15.75" thickBot="1">
      <c r="B22" s="694"/>
    </row>
    <row r="23" spans="1:22" ht="15.75" thickBot="1">
      <c r="B23" s="695" t="s">
        <v>693</v>
      </c>
    </row>
    <row r="24" spans="1:22">
      <c r="B24" s="696" t="s">
        <v>694</v>
      </c>
      <c r="C24" s="697" t="s">
        <v>473</v>
      </c>
      <c r="D24" s="697" t="s">
        <v>474</v>
      </c>
    </row>
    <row r="25" spans="1:22">
      <c r="B25" s="82" t="s">
        <v>333</v>
      </c>
      <c r="C25" s="698">
        <f>'Duke System Fact'!$N$26</f>
        <v>1.0702856218695711E-2</v>
      </c>
      <c r="D25" s="698">
        <f>C25</f>
        <v>1.0702856218695711E-2</v>
      </c>
    </row>
    <row r="26" spans="1:22">
      <c r="B26" s="82" t="s">
        <v>642</v>
      </c>
      <c r="C26" s="698">
        <f>C25</f>
        <v>1.0702856218695711E-2</v>
      </c>
      <c r="D26" s="698">
        <f>C25</f>
        <v>1.0702856218695711E-2</v>
      </c>
    </row>
    <row r="27" spans="1:22">
      <c r="B27" s="82" t="s">
        <v>565</v>
      </c>
      <c r="C27" s="698">
        <f>C25</f>
        <v>1.0702856218695711E-2</v>
      </c>
      <c r="D27" s="698">
        <f>C25</f>
        <v>1.0702856218695711E-2</v>
      </c>
    </row>
    <row r="28" spans="1:22" ht="15.75" thickBot="1">
      <c r="B28" s="699"/>
    </row>
    <row r="29" spans="1:22" ht="15.75" thickBot="1">
      <c r="B29" s="695" t="s">
        <v>716</v>
      </c>
    </row>
    <row r="30" spans="1:22">
      <c r="B30" s="696" t="s">
        <v>717</v>
      </c>
      <c r="C30" s="697" t="s">
        <v>473</v>
      </c>
      <c r="D30" s="697" t="s">
        <v>474</v>
      </c>
    </row>
    <row r="31" spans="1:22">
      <c r="B31" s="82" t="s">
        <v>333</v>
      </c>
      <c r="C31" s="711">
        <f>'3.1'!K26</f>
        <v>35.282931396590413</v>
      </c>
      <c r="D31" s="711">
        <f>'3.2'!K26</f>
        <v>-31.9056173963221</v>
      </c>
    </row>
    <row r="32" spans="1:22">
      <c r="B32" s="82" t="s">
        <v>642</v>
      </c>
      <c r="C32" s="711">
        <f>'3.1'!O26*('DEF DR TP 2013'!C15/('DEF DR TP 2013'!C15+'DEF DR TP 2013'!C18))</f>
        <v>41.848182141728742</v>
      </c>
      <c r="D32" s="711">
        <f>'3.2'!O26*('DEF DR TP 2013'!C15/('DEF DR TP 2013'!C15+'DEF DR TP 2013'!C18))</f>
        <v>53.235154671433868</v>
      </c>
    </row>
    <row r="33" spans="2:4">
      <c r="B33" s="82" t="s">
        <v>565</v>
      </c>
      <c r="C33" s="711">
        <f>'3.1'!O26*('DEF DR TP 2013'!C18/('DEF DR TP 2013'!C18+'DEF DR TP 2013'!C15))</f>
        <v>13.099886270888337</v>
      </c>
      <c r="D33" s="711">
        <f>'3.2'!O26*('DEF DR TP 2013'!C18/('DEF DR TP 2013'!C18+'DEF DR TP 2013'!C15))</f>
        <v>16.664391046834734</v>
      </c>
    </row>
  </sheetData>
  <mergeCells count="19">
    <mergeCell ref="N4:O4"/>
    <mergeCell ref="P4:Q4"/>
    <mergeCell ref="S4:T4"/>
    <mergeCell ref="U4:V4"/>
    <mergeCell ref="A2:L2"/>
    <mergeCell ref="M2:V2"/>
    <mergeCell ref="A3:A5"/>
    <mergeCell ref="B3:B5"/>
    <mergeCell ref="C3:G3"/>
    <mergeCell ref="H3:L3"/>
    <mergeCell ref="M3:Q3"/>
    <mergeCell ref="R3:V3"/>
    <mergeCell ref="D4:E4"/>
    <mergeCell ref="F4:G4"/>
    <mergeCell ref="A6:A12"/>
    <mergeCell ref="A13:A15"/>
    <mergeCell ref="A16:A18"/>
    <mergeCell ref="I4:J4"/>
    <mergeCell ref="K4:L4"/>
  </mergeCells>
  <pageMargins left="0.7" right="0.7" top="0.75" bottom="0.75" header="0.3" footer="0.3"/>
  <pageSetup paperSize="17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35"/>
  <sheetViews>
    <sheetView workbookViewId="0">
      <selection sqref="A1:K1"/>
    </sheetView>
  </sheetViews>
  <sheetFormatPr defaultRowHeight="15"/>
  <cols>
    <col min="1" max="1" width="13.140625" customWidth="1"/>
    <col min="2" max="2" width="21.85546875" customWidth="1"/>
    <col min="3" max="4" width="10" bestFit="1" customWidth="1"/>
    <col min="5" max="5" width="26" bestFit="1" customWidth="1"/>
    <col min="6" max="6" width="9.5703125" bestFit="1" customWidth="1"/>
    <col min="8" max="8" width="11.85546875" bestFit="1" customWidth="1"/>
    <col min="10" max="10" width="10" bestFit="1" customWidth="1"/>
    <col min="11" max="11" width="11.85546875" bestFit="1" customWidth="1"/>
    <col min="13" max="13" width="11.5703125" customWidth="1"/>
    <col min="14" max="14" width="16.7109375" customWidth="1"/>
  </cols>
  <sheetData>
    <row r="1" spans="1:23" ht="15.75" thickBot="1">
      <c r="A1" s="974" t="s">
        <v>695</v>
      </c>
      <c r="B1" s="975"/>
      <c r="C1" s="975"/>
      <c r="D1" s="975"/>
      <c r="E1" s="975"/>
      <c r="F1" s="975"/>
      <c r="G1" s="975"/>
      <c r="H1" s="975"/>
      <c r="I1" s="992"/>
      <c r="J1" s="992"/>
      <c r="K1" s="992"/>
      <c r="M1" s="974" t="s">
        <v>696</v>
      </c>
      <c r="N1" s="975"/>
      <c r="O1" s="975"/>
      <c r="P1" s="975"/>
      <c r="Q1" s="975"/>
      <c r="R1" s="975"/>
      <c r="S1" s="975"/>
      <c r="T1" s="975"/>
      <c r="U1" s="992"/>
      <c r="V1" s="992"/>
      <c r="W1" s="992"/>
    </row>
    <row r="2" spans="1:23">
      <c r="A2" s="980" t="s">
        <v>670</v>
      </c>
      <c r="B2" s="982" t="s">
        <v>697</v>
      </c>
      <c r="C2" s="980" t="s">
        <v>698</v>
      </c>
      <c r="D2" s="984"/>
      <c r="E2" s="984"/>
      <c r="F2" s="980" t="s">
        <v>672</v>
      </c>
      <c r="G2" s="984"/>
      <c r="H2" s="984"/>
      <c r="I2" s="980" t="s">
        <v>673</v>
      </c>
      <c r="J2" s="984"/>
      <c r="K2" s="984"/>
      <c r="M2" s="980" t="s">
        <v>670</v>
      </c>
      <c r="N2" s="982" t="s">
        <v>697</v>
      </c>
      <c r="O2" s="980" t="s">
        <v>698</v>
      </c>
      <c r="P2" s="984"/>
      <c r="Q2" s="984"/>
      <c r="R2" s="980" t="s">
        <v>672</v>
      </c>
      <c r="S2" s="984"/>
      <c r="T2" s="984"/>
      <c r="U2" s="980" t="s">
        <v>673</v>
      </c>
      <c r="V2" s="984"/>
      <c r="W2" s="985"/>
    </row>
    <row r="3" spans="1:23">
      <c r="A3" s="981"/>
      <c r="B3" s="983"/>
      <c r="C3" s="616" t="s">
        <v>674</v>
      </c>
      <c r="D3" s="972" t="s">
        <v>699</v>
      </c>
      <c r="E3" s="972"/>
      <c r="F3" s="616" t="s">
        <v>674</v>
      </c>
      <c r="G3" s="972" t="s">
        <v>699</v>
      </c>
      <c r="H3" s="972"/>
      <c r="I3" s="616" t="s">
        <v>674</v>
      </c>
      <c r="J3" s="972" t="s">
        <v>699</v>
      </c>
      <c r="K3" s="972"/>
      <c r="M3" s="981"/>
      <c r="N3" s="983"/>
      <c r="O3" s="616" t="s">
        <v>674</v>
      </c>
      <c r="P3" s="972" t="s">
        <v>699</v>
      </c>
      <c r="Q3" s="972"/>
      <c r="R3" s="616" t="s">
        <v>674</v>
      </c>
      <c r="S3" s="972" t="s">
        <v>699</v>
      </c>
      <c r="T3" s="972"/>
      <c r="U3" s="616" t="s">
        <v>674</v>
      </c>
      <c r="V3" s="972" t="s">
        <v>699</v>
      </c>
      <c r="W3" s="973"/>
    </row>
    <row r="4" spans="1:23">
      <c r="A4" s="981"/>
      <c r="B4" s="983"/>
      <c r="C4" s="617" t="s">
        <v>700</v>
      </c>
      <c r="D4" s="617" t="s">
        <v>700</v>
      </c>
      <c r="E4" s="618" t="s">
        <v>678</v>
      </c>
      <c r="F4" s="617" t="s">
        <v>677</v>
      </c>
      <c r="G4" s="618" t="s">
        <v>677</v>
      </c>
      <c r="H4" s="618" t="s">
        <v>678</v>
      </c>
      <c r="I4" s="617" t="s">
        <v>677</v>
      </c>
      <c r="J4" s="618" t="s">
        <v>677</v>
      </c>
      <c r="K4" s="618" t="s">
        <v>678</v>
      </c>
      <c r="M4" s="981"/>
      <c r="N4" s="983"/>
      <c r="O4" s="617" t="s">
        <v>700</v>
      </c>
      <c r="P4" s="617" t="s">
        <v>700</v>
      </c>
      <c r="Q4" s="618" t="s">
        <v>678</v>
      </c>
      <c r="R4" s="617" t="s">
        <v>677</v>
      </c>
      <c r="S4" s="618" t="s">
        <v>677</v>
      </c>
      <c r="T4" s="618" t="s">
        <v>678</v>
      </c>
      <c r="U4" s="617" t="s">
        <v>677</v>
      </c>
      <c r="V4" s="618" t="s">
        <v>677</v>
      </c>
      <c r="W4" s="619" t="s">
        <v>678</v>
      </c>
    </row>
    <row r="5" spans="1:23" ht="20.25" customHeight="1">
      <c r="A5" s="969" t="s">
        <v>333</v>
      </c>
      <c r="B5" s="620" t="s">
        <v>701</v>
      </c>
      <c r="C5" s="624">
        <v>14353</v>
      </c>
      <c r="D5" s="624">
        <v>7071</v>
      </c>
      <c r="E5" s="700">
        <f>D5/C5</f>
        <v>0.49264962028844145</v>
      </c>
      <c r="F5" s="624">
        <v>3263</v>
      </c>
      <c r="G5" s="624">
        <v>2566</v>
      </c>
      <c r="H5" s="700">
        <f>G5/F5</f>
        <v>0.78639288997854739</v>
      </c>
      <c r="I5" s="624">
        <v>3622</v>
      </c>
      <c r="J5" s="82">
        <v>467</v>
      </c>
      <c r="K5" s="700">
        <f>J5/I5</f>
        <v>0.1289342904472667</v>
      </c>
      <c r="M5" s="969" t="s">
        <v>333</v>
      </c>
      <c r="N5" s="620" t="s">
        <v>701</v>
      </c>
      <c r="O5" s="624">
        <v>14353</v>
      </c>
      <c r="P5" s="838">
        <f>D5*1.011-N33</f>
        <v>7146.5288602772325</v>
      </c>
      <c r="Q5" s="700">
        <f>P5/O5</f>
        <v>0.49791185538056382</v>
      </c>
      <c r="R5" s="624">
        <v>3263</v>
      </c>
      <c r="S5" s="838">
        <f>G5*1.011-M33</f>
        <v>2593.7944495537849</v>
      </c>
      <c r="T5" s="700">
        <f>S5/R5</f>
        <v>0.79491095603854889</v>
      </c>
      <c r="U5" s="624">
        <v>3622</v>
      </c>
      <c r="V5" s="839">
        <f>(J5*1.011)-L33</f>
        <v>472.13699999999994</v>
      </c>
      <c r="W5" s="701">
        <f>V5/U5</f>
        <v>0.13035256764218661</v>
      </c>
    </row>
    <row r="6" spans="1:23" ht="20.25" customHeight="1">
      <c r="A6" s="970"/>
      <c r="B6" s="620" t="s">
        <v>702</v>
      </c>
      <c r="C6" s="624">
        <v>4208</v>
      </c>
      <c r="D6" s="624">
        <v>1402</v>
      </c>
      <c r="E6" s="700">
        <f t="shared" ref="E6:E21" si="0">D6/C6</f>
        <v>0.33317490494296575</v>
      </c>
      <c r="F6" s="624">
        <v>926</v>
      </c>
      <c r="G6" s="624">
        <v>509</v>
      </c>
      <c r="H6" s="700">
        <f t="shared" ref="H6:H21" si="1">G6/F6</f>
        <v>0.54967602591792653</v>
      </c>
      <c r="I6" s="624">
        <v>976</v>
      </c>
      <c r="J6" s="82">
        <v>93</v>
      </c>
      <c r="K6" s="700">
        <f t="shared" ref="K6:K21" si="2">J6/I6</f>
        <v>9.5286885245901634E-2</v>
      </c>
      <c r="M6" s="970"/>
      <c r="N6" s="620" t="s">
        <v>702</v>
      </c>
      <c r="O6" s="624">
        <v>4208</v>
      </c>
      <c r="P6" s="624">
        <f>D6*(1+$B$24)</f>
        <v>1417.0054044186113</v>
      </c>
      <c r="Q6" s="700">
        <f t="shared" ref="Q6:Q21" si="3">P6/O6</f>
        <v>0.33674082804624794</v>
      </c>
      <c r="R6" s="624">
        <v>926</v>
      </c>
      <c r="S6" s="624">
        <f>G6*(1+$B$24)</f>
        <v>514.4477538153161</v>
      </c>
      <c r="T6" s="700">
        <f t="shared" ref="T6:T21" si="4">S6/R6</f>
        <v>0.55555912939019014</v>
      </c>
      <c r="U6" s="624">
        <v>976</v>
      </c>
      <c r="V6" s="624">
        <f>J6*(1+$B$24)</f>
        <v>93.995365628338703</v>
      </c>
      <c r="W6" s="701">
        <f t="shared" ref="W6:W21" si="5">V6/U6</f>
        <v>9.6306727078215887E-2</v>
      </c>
    </row>
    <row r="7" spans="1:23" ht="20.25" customHeight="1">
      <c r="A7" s="970"/>
      <c r="B7" s="620" t="s">
        <v>703</v>
      </c>
      <c r="C7" s="624">
        <v>2085</v>
      </c>
      <c r="D7" s="624">
        <v>742</v>
      </c>
      <c r="E7" s="700">
        <f t="shared" si="0"/>
        <v>0.35587529976019183</v>
      </c>
      <c r="F7" s="624">
        <v>510</v>
      </c>
      <c r="G7" s="624">
        <v>269</v>
      </c>
      <c r="H7" s="700">
        <f t="shared" si="1"/>
        <v>0.52745098039215688</v>
      </c>
      <c r="I7" s="624">
        <v>577</v>
      </c>
      <c r="J7" s="82">
        <v>49</v>
      </c>
      <c r="K7" s="700">
        <f t="shared" si="2"/>
        <v>8.4922010398613523E-2</v>
      </c>
      <c r="M7" s="970"/>
      <c r="N7" s="620" t="s">
        <v>703</v>
      </c>
      <c r="O7" s="624">
        <v>2085</v>
      </c>
      <c r="P7" s="624">
        <f>D7*(1+$B$24)</f>
        <v>749.94151931427223</v>
      </c>
      <c r="Q7" s="700">
        <f t="shared" si="3"/>
        <v>0.35968418192531043</v>
      </c>
      <c r="R7" s="624">
        <v>510</v>
      </c>
      <c r="S7" s="624">
        <f>G7*(1+$B$24)</f>
        <v>271.87906832282914</v>
      </c>
      <c r="T7" s="700">
        <f t="shared" si="4"/>
        <v>0.53309621239770422</v>
      </c>
      <c r="U7" s="624">
        <v>577</v>
      </c>
      <c r="V7" s="624">
        <f>J7*(1+$B$24)</f>
        <v>49.524439954716087</v>
      </c>
      <c r="W7" s="701">
        <f t="shared" si="5"/>
        <v>8.5830918465712461E-2</v>
      </c>
    </row>
    <row r="8" spans="1:23" ht="20.25" customHeight="1">
      <c r="A8" s="971"/>
      <c r="B8" s="645" t="s">
        <v>686</v>
      </c>
      <c r="C8" s="646">
        <f>SUM(C5:C7)</f>
        <v>20646</v>
      </c>
      <c r="D8" s="646">
        <f t="shared" ref="D8" si="6">SUM(D5:D7)</f>
        <v>9215</v>
      </c>
      <c r="E8" s="702">
        <f t="shared" si="0"/>
        <v>0.44633343020439797</v>
      </c>
      <c r="F8" s="646">
        <f>SUM(F5:F7)</f>
        <v>4699</v>
      </c>
      <c r="G8" s="646">
        <f>SUM(G5:G7)</f>
        <v>3344</v>
      </c>
      <c r="H8" s="702">
        <f t="shared" si="1"/>
        <v>0.71164077463290065</v>
      </c>
      <c r="I8" s="646">
        <f>SUM(I5:I7)</f>
        <v>5175</v>
      </c>
      <c r="J8" s="646">
        <f t="shared" ref="J8" si="7">SUM(J5:J7)</f>
        <v>609</v>
      </c>
      <c r="K8" s="702">
        <f t="shared" si="2"/>
        <v>0.11768115942028985</v>
      </c>
      <c r="M8" s="971"/>
      <c r="N8" s="645" t="s">
        <v>686</v>
      </c>
      <c r="O8" s="646">
        <f>SUM(O5:O7)</f>
        <v>20646</v>
      </c>
      <c r="P8" s="646">
        <f t="shared" ref="P8" si="8">SUM(P5:P7)</f>
        <v>9313.4757840101156</v>
      </c>
      <c r="Q8" s="702">
        <f t="shared" si="3"/>
        <v>0.45110315722222782</v>
      </c>
      <c r="R8" s="646">
        <f>SUM(R5:R7)</f>
        <v>4699</v>
      </c>
      <c r="S8" s="646">
        <f t="shared" ref="S8" si="9">SUM(S5:S7)</f>
        <v>3380.1212716919299</v>
      </c>
      <c r="T8" s="702">
        <f t="shared" si="4"/>
        <v>0.71932778712320278</v>
      </c>
      <c r="U8" s="646">
        <f>SUM(U5:U7)</f>
        <v>5175</v>
      </c>
      <c r="V8" s="646">
        <f t="shared" ref="V8" si="10">SUM(V5:V7)</f>
        <v>615.65680558305473</v>
      </c>
      <c r="W8" s="703">
        <f t="shared" si="5"/>
        <v>0.11896749866339222</v>
      </c>
    </row>
    <row r="9" spans="1:23" ht="20.25" customHeight="1">
      <c r="A9" s="989" t="s">
        <v>642</v>
      </c>
      <c r="B9" s="660" t="s">
        <v>704</v>
      </c>
      <c r="C9" s="624">
        <v>912</v>
      </c>
      <c r="D9" s="624">
        <v>443</v>
      </c>
      <c r="E9" s="700">
        <f t="shared" si="0"/>
        <v>0.4857456140350877</v>
      </c>
      <c r="F9" s="624">
        <v>467</v>
      </c>
      <c r="G9" s="82">
        <v>168</v>
      </c>
      <c r="H9" s="700">
        <f t="shared" si="1"/>
        <v>0.35974304068522484</v>
      </c>
      <c r="I9" s="82">
        <v>310</v>
      </c>
      <c r="J9" s="82">
        <v>21</v>
      </c>
      <c r="K9" s="700">
        <f t="shared" si="2"/>
        <v>6.7741935483870974E-2</v>
      </c>
      <c r="M9" s="969" t="s">
        <v>642</v>
      </c>
      <c r="N9" s="660" t="s">
        <v>704</v>
      </c>
      <c r="O9" s="624">
        <v>912</v>
      </c>
      <c r="P9" s="624">
        <v>443</v>
      </c>
      <c r="Q9" s="700">
        <f t="shared" si="3"/>
        <v>0.4857456140350877</v>
      </c>
      <c r="R9" s="624">
        <v>467</v>
      </c>
      <c r="S9" s="82">
        <v>168</v>
      </c>
      <c r="T9" s="700">
        <f t="shared" si="4"/>
        <v>0.35974304068522484</v>
      </c>
      <c r="U9" s="82">
        <v>310</v>
      </c>
      <c r="V9" s="82">
        <v>21</v>
      </c>
      <c r="W9" s="701">
        <f t="shared" si="5"/>
        <v>6.7741935483870974E-2</v>
      </c>
    </row>
    <row r="10" spans="1:23" ht="20.25" customHeight="1">
      <c r="A10" s="990"/>
      <c r="B10" s="660" t="s">
        <v>705</v>
      </c>
      <c r="C10" s="624">
        <v>641</v>
      </c>
      <c r="D10" s="624">
        <v>310</v>
      </c>
      <c r="E10" s="700">
        <f t="shared" si="0"/>
        <v>0.48361934477379093</v>
      </c>
      <c r="F10" s="624">
        <v>314</v>
      </c>
      <c r="G10" s="82">
        <v>117</v>
      </c>
      <c r="H10" s="700">
        <f t="shared" si="1"/>
        <v>0.37261146496815284</v>
      </c>
      <c r="I10" s="82">
        <v>143</v>
      </c>
      <c r="J10" s="82">
        <v>15</v>
      </c>
      <c r="K10" s="700">
        <f t="shared" si="2"/>
        <v>0.1048951048951049</v>
      </c>
      <c r="M10" s="991"/>
      <c r="N10" s="660" t="s">
        <v>705</v>
      </c>
      <c r="O10" s="624">
        <v>641</v>
      </c>
      <c r="P10" s="624">
        <v>310</v>
      </c>
      <c r="Q10" s="700">
        <f t="shared" si="3"/>
        <v>0.48361934477379093</v>
      </c>
      <c r="R10" s="624">
        <v>314</v>
      </c>
      <c r="S10" s="82">
        <v>117</v>
      </c>
      <c r="T10" s="700">
        <f t="shared" si="4"/>
        <v>0.37261146496815284</v>
      </c>
      <c r="U10" s="82">
        <v>143</v>
      </c>
      <c r="V10" s="82">
        <v>15</v>
      </c>
      <c r="W10" s="701">
        <f t="shared" si="5"/>
        <v>0.1048951048951049</v>
      </c>
    </row>
    <row r="11" spans="1:23" ht="20.25" customHeight="1">
      <c r="A11" s="990"/>
      <c r="B11" s="660" t="s">
        <v>706</v>
      </c>
      <c r="C11" s="624">
        <v>354</v>
      </c>
      <c r="D11" s="624">
        <v>67</v>
      </c>
      <c r="E11" s="700">
        <f t="shared" si="0"/>
        <v>0.18926553672316385</v>
      </c>
      <c r="F11" s="624">
        <v>223</v>
      </c>
      <c r="G11" s="82">
        <v>26</v>
      </c>
      <c r="H11" s="700">
        <f t="shared" si="1"/>
        <v>0.11659192825112108</v>
      </c>
      <c r="I11" s="82">
        <v>96</v>
      </c>
      <c r="J11" s="82">
        <v>3</v>
      </c>
      <c r="K11" s="700">
        <f t="shared" si="2"/>
        <v>3.125E-2</v>
      </c>
      <c r="M11" s="991"/>
      <c r="N11" s="660" t="s">
        <v>706</v>
      </c>
      <c r="O11" s="624">
        <v>354</v>
      </c>
      <c r="P11" s="624">
        <v>67</v>
      </c>
      <c r="Q11" s="700">
        <f t="shared" si="3"/>
        <v>0.18926553672316385</v>
      </c>
      <c r="R11" s="624">
        <v>223</v>
      </c>
      <c r="S11" s="82">
        <v>26</v>
      </c>
      <c r="T11" s="700">
        <f t="shared" si="4"/>
        <v>0.11659192825112108</v>
      </c>
      <c r="U11" s="82">
        <v>96</v>
      </c>
      <c r="V11" s="82">
        <v>3</v>
      </c>
      <c r="W11" s="701">
        <f t="shared" si="5"/>
        <v>3.125E-2</v>
      </c>
    </row>
    <row r="12" spans="1:23" ht="20.25" customHeight="1">
      <c r="A12" s="990"/>
      <c r="B12" s="660" t="s">
        <v>707</v>
      </c>
      <c r="C12" s="624">
        <v>484</v>
      </c>
      <c r="D12" s="624">
        <v>103</v>
      </c>
      <c r="E12" s="700">
        <f t="shared" si="0"/>
        <v>0.21280991735537191</v>
      </c>
      <c r="F12" s="624">
        <v>152</v>
      </c>
      <c r="G12" s="82">
        <v>39</v>
      </c>
      <c r="H12" s="700">
        <f t="shared" si="1"/>
        <v>0.25657894736842107</v>
      </c>
      <c r="I12" s="82">
        <v>103</v>
      </c>
      <c r="J12" s="82">
        <v>5</v>
      </c>
      <c r="K12" s="700">
        <f t="shared" si="2"/>
        <v>4.8543689320388349E-2</v>
      </c>
      <c r="M12" s="991"/>
      <c r="N12" s="660" t="s">
        <v>707</v>
      </c>
      <c r="O12" s="624">
        <v>484</v>
      </c>
      <c r="P12" s="624">
        <v>103</v>
      </c>
      <c r="Q12" s="700">
        <f t="shared" si="3"/>
        <v>0.21280991735537191</v>
      </c>
      <c r="R12" s="624">
        <v>152</v>
      </c>
      <c r="S12" s="82">
        <v>39</v>
      </c>
      <c r="T12" s="700">
        <f t="shared" si="4"/>
        <v>0.25657894736842107</v>
      </c>
      <c r="U12" s="82">
        <v>103</v>
      </c>
      <c r="V12" s="82">
        <v>5</v>
      </c>
      <c r="W12" s="701">
        <f t="shared" si="5"/>
        <v>4.8543689320388349E-2</v>
      </c>
    </row>
    <row r="13" spans="1:23" ht="20.25" customHeight="1">
      <c r="A13" s="990"/>
      <c r="B13" s="660" t="s">
        <v>708</v>
      </c>
      <c r="C13" s="624">
        <v>1251</v>
      </c>
      <c r="D13" s="624">
        <v>527</v>
      </c>
      <c r="E13" s="700">
        <f t="shared" si="0"/>
        <v>0.42126298960831338</v>
      </c>
      <c r="F13" s="624">
        <v>85</v>
      </c>
      <c r="G13" s="82">
        <v>199</v>
      </c>
      <c r="H13" s="700">
        <f t="shared" si="1"/>
        <v>2.3411764705882354</v>
      </c>
      <c r="I13" s="82">
        <v>86</v>
      </c>
      <c r="J13" s="82">
        <v>25</v>
      </c>
      <c r="K13" s="700">
        <f t="shared" si="2"/>
        <v>0.29069767441860467</v>
      </c>
      <c r="M13" s="991"/>
      <c r="N13" s="660" t="s">
        <v>708</v>
      </c>
      <c r="O13" s="624">
        <v>1251</v>
      </c>
      <c r="P13" s="624">
        <v>527</v>
      </c>
      <c r="Q13" s="700">
        <f t="shared" si="3"/>
        <v>0.42126298960831338</v>
      </c>
      <c r="R13" s="624">
        <v>85</v>
      </c>
      <c r="S13" s="82">
        <v>199</v>
      </c>
      <c r="T13" s="700">
        <f t="shared" si="4"/>
        <v>2.3411764705882354</v>
      </c>
      <c r="U13" s="82">
        <v>86</v>
      </c>
      <c r="V13" s="82">
        <v>25</v>
      </c>
      <c r="W13" s="701">
        <f t="shared" si="5"/>
        <v>0.29069767441860467</v>
      </c>
    </row>
    <row r="14" spans="1:23" ht="20.25" customHeight="1">
      <c r="A14" s="990"/>
      <c r="B14" s="620" t="s">
        <v>709</v>
      </c>
      <c r="C14" s="624">
        <v>2119</v>
      </c>
      <c r="D14" s="624">
        <v>318</v>
      </c>
      <c r="E14" s="700">
        <f t="shared" si="0"/>
        <v>0.15007078810759791</v>
      </c>
      <c r="F14" s="624">
        <v>128</v>
      </c>
      <c r="G14" s="82">
        <v>120</v>
      </c>
      <c r="H14" s="700">
        <f t="shared" si="1"/>
        <v>0.9375</v>
      </c>
      <c r="I14" s="82">
        <v>87</v>
      </c>
      <c r="J14" s="82">
        <v>15</v>
      </c>
      <c r="K14" s="700">
        <f t="shared" si="2"/>
        <v>0.17241379310344829</v>
      </c>
      <c r="M14" s="991"/>
      <c r="N14" s="620" t="s">
        <v>709</v>
      </c>
      <c r="O14" s="624">
        <v>2119</v>
      </c>
      <c r="P14" s="624">
        <v>318</v>
      </c>
      <c r="Q14" s="700">
        <f t="shared" si="3"/>
        <v>0.15007078810759791</v>
      </c>
      <c r="R14" s="624">
        <v>128</v>
      </c>
      <c r="S14" s="82">
        <v>120</v>
      </c>
      <c r="T14" s="700">
        <f t="shared" si="4"/>
        <v>0.9375</v>
      </c>
      <c r="U14" s="82">
        <v>87</v>
      </c>
      <c r="V14" s="82">
        <v>15</v>
      </c>
      <c r="W14" s="701">
        <f t="shared" si="5"/>
        <v>0.17241379310344829</v>
      </c>
    </row>
    <row r="15" spans="1:23" ht="20.25" customHeight="1">
      <c r="A15" s="990"/>
      <c r="B15" s="660" t="s">
        <v>710</v>
      </c>
      <c r="C15" s="624">
        <v>1161</v>
      </c>
      <c r="D15" s="624">
        <v>123</v>
      </c>
      <c r="E15" s="700">
        <f t="shared" si="0"/>
        <v>0.10594315245478036</v>
      </c>
      <c r="F15" s="624">
        <v>487</v>
      </c>
      <c r="G15" s="82">
        <v>46</v>
      </c>
      <c r="H15" s="700">
        <f t="shared" si="1"/>
        <v>9.4455852156057493E-2</v>
      </c>
      <c r="I15" s="82">
        <v>34</v>
      </c>
      <c r="J15" s="82">
        <v>6</v>
      </c>
      <c r="K15" s="700">
        <f t="shared" si="2"/>
        <v>0.17647058823529413</v>
      </c>
      <c r="M15" s="991"/>
      <c r="N15" s="660" t="s">
        <v>710</v>
      </c>
      <c r="O15" s="624">
        <v>1161</v>
      </c>
      <c r="P15" s="624">
        <v>123</v>
      </c>
      <c r="Q15" s="700">
        <f t="shared" si="3"/>
        <v>0.10594315245478036</v>
      </c>
      <c r="R15" s="624">
        <v>487</v>
      </c>
      <c r="S15" s="82">
        <v>46</v>
      </c>
      <c r="T15" s="700">
        <f t="shared" si="4"/>
        <v>9.4455852156057493E-2</v>
      </c>
      <c r="U15" s="82">
        <v>34</v>
      </c>
      <c r="V15" s="82">
        <v>6</v>
      </c>
      <c r="W15" s="701">
        <f t="shared" si="5"/>
        <v>0.17647058823529413</v>
      </c>
    </row>
    <row r="16" spans="1:23" ht="20.25" customHeight="1">
      <c r="A16" s="990"/>
      <c r="B16" s="660" t="s">
        <v>711</v>
      </c>
      <c r="C16" s="624">
        <v>1281</v>
      </c>
      <c r="D16" s="624">
        <v>504</v>
      </c>
      <c r="E16" s="700">
        <f t="shared" si="0"/>
        <v>0.39344262295081966</v>
      </c>
      <c r="F16" s="624">
        <v>97</v>
      </c>
      <c r="G16" s="82">
        <v>191</v>
      </c>
      <c r="H16" s="700">
        <f t="shared" si="1"/>
        <v>1.9690721649484537</v>
      </c>
      <c r="I16" s="82">
        <v>76</v>
      </c>
      <c r="J16" s="82">
        <v>24</v>
      </c>
      <c r="K16" s="700">
        <f t="shared" si="2"/>
        <v>0.31578947368421051</v>
      </c>
      <c r="M16" s="991"/>
      <c r="N16" s="660" t="s">
        <v>711</v>
      </c>
      <c r="O16" s="624">
        <v>1281</v>
      </c>
      <c r="P16" s="624">
        <v>504</v>
      </c>
      <c r="Q16" s="700">
        <f t="shared" si="3"/>
        <v>0.39344262295081966</v>
      </c>
      <c r="R16" s="624">
        <v>97</v>
      </c>
      <c r="S16" s="82">
        <v>191</v>
      </c>
      <c r="T16" s="700">
        <f t="shared" si="4"/>
        <v>1.9690721649484537</v>
      </c>
      <c r="U16" s="82">
        <v>76</v>
      </c>
      <c r="V16" s="82">
        <v>24</v>
      </c>
      <c r="W16" s="701">
        <f t="shared" si="5"/>
        <v>0.31578947368421051</v>
      </c>
    </row>
    <row r="17" spans="1:23" ht="20.25" customHeight="1">
      <c r="A17" s="990"/>
      <c r="B17" s="660" t="s">
        <v>712</v>
      </c>
      <c r="C17" s="624">
        <v>513</v>
      </c>
      <c r="D17" s="624">
        <v>749</v>
      </c>
      <c r="E17" s="700">
        <f t="shared" si="0"/>
        <v>1.4600389863547758</v>
      </c>
      <c r="F17" s="624">
        <v>66</v>
      </c>
      <c r="G17" s="82">
        <v>283</v>
      </c>
      <c r="H17" s="700">
        <f t="shared" si="1"/>
        <v>4.2878787878787881</v>
      </c>
      <c r="I17" s="82">
        <v>78</v>
      </c>
      <c r="J17" s="82">
        <v>36</v>
      </c>
      <c r="K17" s="700">
        <f t="shared" si="2"/>
        <v>0.46153846153846156</v>
      </c>
      <c r="M17" s="991"/>
      <c r="N17" s="660" t="s">
        <v>712</v>
      </c>
      <c r="O17" s="624">
        <v>513</v>
      </c>
      <c r="P17" s="624">
        <v>749</v>
      </c>
      <c r="Q17" s="700">
        <f t="shared" si="3"/>
        <v>1.4600389863547758</v>
      </c>
      <c r="R17" s="624">
        <v>66</v>
      </c>
      <c r="S17" s="82">
        <v>283</v>
      </c>
      <c r="T17" s="700">
        <f t="shared" si="4"/>
        <v>4.2878787878787881</v>
      </c>
      <c r="U17" s="82">
        <v>78</v>
      </c>
      <c r="V17" s="82">
        <v>36</v>
      </c>
      <c r="W17" s="701">
        <f t="shared" si="5"/>
        <v>0.46153846153846156</v>
      </c>
    </row>
    <row r="18" spans="1:23" ht="20.25" customHeight="1">
      <c r="A18" s="990"/>
      <c r="B18" s="704" t="s">
        <v>713</v>
      </c>
      <c r="C18" s="624">
        <v>2699</v>
      </c>
      <c r="D18" s="624">
        <v>1166</v>
      </c>
      <c r="E18" s="700">
        <f t="shared" si="0"/>
        <v>0.43201185624305299</v>
      </c>
      <c r="F18" s="624">
        <v>162</v>
      </c>
      <c r="G18" s="82">
        <v>441</v>
      </c>
      <c r="H18" s="700">
        <f t="shared" si="1"/>
        <v>2.7222222222222223</v>
      </c>
      <c r="I18" s="82">
        <v>117</v>
      </c>
      <c r="J18" s="82">
        <v>56</v>
      </c>
      <c r="K18" s="700">
        <f t="shared" si="2"/>
        <v>0.47863247863247865</v>
      </c>
      <c r="M18" s="991"/>
      <c r="N18" s="704" t="s">
        <v>713</v>
      </c>
      <c r="O18" s="624">
        <v>2699</v>
      </c>
      <c r="P18" s="624">
        <v>1166</v>
      </c>
      <c r="Q18" s="700">
        <f t="shared" si="3"/>
        <v>0.43201185624305299</v>
      </c>
      <c r="R18" s="624">
        <v>162</v>
      </c>
      <c r="S18" s="82">
        <v>441</v>
      </c>
      <c r="T18" s="700">
        <f t="shared" si="4"/>
        <v>2.7222222222222223</v>
      </c>
      <c r="U18" s="82">
        <v>117</v>
      </c>
      <c r="V18" s="82">
        <v>56</v>
      </c>
      <c r="W18" s="701">
        <f t="shared" si="5"/>
        <v>0.47863247863247865</v>
      </c>
    </row>
    <row r="19" spans="1:23" ht="20.25" customHeight="1">
      <c r="A19" s="990"/>
      <c r="B19" s="704" t="s">
        <v>714</v>
      </c>
      <c r="C19" s="624">
        <v>130</v>
      </c>
      <c r="D19" s="624">
        <v>68</v>
      </c>
      <c r="E19" s="700">
        <f t="shared" si="0"/>
        <v>0.52307692307692311</v>
      </c>
      <c r="F19" s="624">
        <v>16</v>
      </c>
      <c r="G19" s="82">
        <v>26</v>
      </c>
      <c r="H19" s="700">
        <f t="shared" si="1"/>
        <v>1.625</v>
      </c>
      <c r="I19" s="82">
        <v>36</v>
      </c>
      <c r="J19" s="82">
        <v>3</v>
      </c>
      <c r="K19" s="700">
        <f t="shared" si="2"/>
        <v>8.3333333333333329E-2</v>
      </c>
      <c r="M19" s="991"/>
      <c r="N19" s="704" t="s">
        <v>714</v>
      </c>
      <c r="O19" s="624">
        <v>130</v>
      </c>
      <c r="P19" s="624">
        <v>68</v>
      </c>
      <c r="Q19" s="700">
        <f t="shared" si="3"/>
        <v>0.52307692307692311</v>
      </c>
      <c r="R19" s="624">
        <v>16</v>
      </c>
      <c r="S19" s="82">
        <v>26</v>
      </c>
      <c r="T19" s="700">
        <f t="shared" si="4"/>
        <v>1.625</v>
      </c>
      <c r="U19" s="82">
        <v>36</v>
      </c>
      <c r="V19" s="82">
        <v>3</v>
      </c>
      <c r="W19" s="701">
        <f t="shared" si="5"/>
        <v>8.3333333333333329E-2</v>
      </c>
    </row>
    <row r="20" spans="1:23" ht="20.25" customHeight="1">
      <c r="A20" s="990"/>
      <c r="B20" s="645" t="s">
        <v>689</v>
      </c>
      <c r="C20" s="646">
        <f>SUM(C9:C19)</f>
        <v>11545</v>
      </c>
      <c r="D20" s="646">
        <f t="shared" ref="D20:J20" si="11">SUM(D9:D19)</f>
        <v>4378</v>
      </c>
      <c r="E20" s="702">
        <f t="shared" si="0"/>
        <v>0.37921177999133826</v>
      </c>
      <c r="F20" s="646">
        <f>SUM(F9:F19)</f>
        <v>2197</v>
      </c>
      <c r="G20" s="646">
        <f t="shared" ref="G20" si="12">SUM(G9:G19)</f>
        <v>1656</v>
      </c>
      <c r="H20" s="702">
        <f t="shared" si="1"/>
        <v>0.75375512061902594</v>
      </c>
      <c r="I20" s="646">
        <f t="shared" si="11"/>
        <v>1166</v>
      </c>
      <c r="J20" s="646">
        <f t="shared" si="11"/>
        <v>209</v>
      </c>
      <c r="K20" s="702">
        <f t="shared" si="2"/>
        <v>0.17924528301886791</v>
      </c>
      <c r="M20" s="991"/>
      <c r="N20" s="645" t="s">
        <v>689</v>
      </c>
      <c r="O20" s="646">
        <f>SUM(O9:O19)</f>
        <v>11545</v>
      </c>
      <c r="P20" s="840">
        <f>SUM(P9:P19)*1.011-N34</f>
        <v>4423.1207408345499</v>
      </c>
      <c r="Q20" s="702">
        <f t="shared" si="3"/>
        <v>0.38312002952226504</v>
      </c>
      <c r="R20" s="646">
        <f>SUM(R9:R19)</f>
        <v>2197</v>
      </c>
      <c r="S20" s="840">
        <f>SUM(S9:S19)*1.011-M34</f>
        <v>1673.6340133770173</v>
      </c>
      <c r="T20" s="702">
        <f t="shared" si="4"/>
        <v>0.76178152634365826</v>
      </c>
      <c r="U20" s="646">
        <f t="shared" ref="U20" si="13">SUM(U9:U19)</f>
        <v>1166</v>
      </c>
      <c r="V20" s="840">
        <f>J20*(1+B24)</f>
        <v>211.23689694970741</v>
      </c>
      <c r="W20" s="703">
        <f t="shared" si="5"/>
        <v>0.1811637195108983</v>
      </c>
    </row>
    <row r="21" spans="1:23" ht="15.75" thickBot="1">
      <c r="A21" s="683" t="s">
        <v>692</v>
      </c>
      <c r="B21" s="684" t="s">
        <v>715</v>
      </c>
      <c r="C21" s="685">
        <f>C20+C8</f>
        <v>32191</v>
      </c>
      <c r="D21" s="685">
        <f>D20+D8</f>
        <v>13593</v>
      </c>
      <c r="E21" s="700">
        <f t="shared" si="0"/>
        <v>0.42226088037028986</v>
      </c>
      <c r="F21" s="685">
        <f>F20+F8</f>
        <v>6896</v>
      </c>
      <c r="G21" s="685">
        <f>G20+G8</f>
        <v>5000</v>
      </c>
      <c r="H21" s="700">
        <f t="shared" si="1"/>
        <v>0.72505800464037118</v>
      </c>
      <c r="I21" s="685">
        <f>I20+I8</f>
        <v>6341</v>
      </c>
      <c r="J21" s="685">
        <f>J20+J8</f>
        <v>818</v>
      </c>
      <c r="K21" s="700">
        <f t="shared" si="2"/>
        <v>0.12900173474215423</v>
      </c>
      <c r="M21" s="683" t="s">
        <v>692</v>
      </c>
      <c r="N21" s="705">
        <v>2013</v>
      </c>
      <c r="O21" s="685">
        <f>O20+O8</f>
        <v>32191</v>
      </c>
      <c r="P21" s="685">
        <f>P20+P8</f>
        <v>13736.596524844666</v>
      </c>
      <c r="Q21" s="706">
        <f t="shared" si="3"/>
        <v>0.42672164657341077</v>
      </c>
      <c r="R21" s="685">
        <f>R20+R8</f>
        <v>6896</v>
      </c>
      <c r="S21" s="685">
        <f>S20+S8</f>
        <v>5053.7552850689472</v>
      </c>
      <c r="T21" s="706">
        <f t="shared" si="4"/>
        <v>0.73285314458656425</v>
      </c>
      <c r="U21" s="685">
        <f>U20+U8</f>
        <v>6341</v>
      </c>
      <c r="V21" s="685">
        <f>V20+V8</f>
        <v>826.89370253276218</v>
      </c>
      <c r="W21" s="707">
        <f t="shared" si="5"/>
        <v>0.13040430571404546</v>
      </c>
    </row>
    <row r="23" spans="1:23">
      <c r="A23" s="708" t="s">
        <v>694</v>
      </c>
      <c r="B23" s="709" t="s">
        <v>396</v>
      </c>
    </row>
    <row r="24" spans="1:23">
      <c r="A24" s="82" t="s">
        <v>333</v>
      </c>
      <c r="B24" s="841">
        <f>'Duke System Fact'!N26</f>
        <v>1.0702856218695711E-2</v>
      </c>
    </row>
    <row r="25" spans="1:23">
      <c r="A25" s="82" t="s">
        <v>642</v>
      </c>
      <c r="B25" s="841">
        <f>B24</f>
        <v>1.0702856218695711E-2</v>
      </c>
    </row>
    <row r="26" spans="1:23" ht="15.75" thickBot="1">
      <c r="L26" t="s">
        <v>824</v>
      </c>
    </row>
    <row r="27" spans="1:23">
      <c r="A27" s="708" t="s">
        <v>694</v>
      </c>
      <c r="B27" s="709" t="s">
        <v>716</v>
      </c>
      <c r="D27" s="986" t="s">
        <v>818</v>
      </c>
      <c r="E27" s="821" t="s">
        <v>819</v>
      </c>
      <c r="F27" s="822">
        <v>520.83846528658478</v>
      </c>
      <c r="G27" s="823">
        <v>270.15453105986404</v>
      </c>
      <c r="H27" s="824">
        <v>411439.10751497099</v>
      </c>
      <c r="I27" s="822">
        <v>805.70018576298162</v>
      </c>
      <c r="J27" s="823">
        <v>417.9099094378081</v>
      </c>
      <c r="K27" s="824">
        <v>615905.48228985583</v>
      </c>
      <c r="L27" s="825"/>
      <c r="M27" s="825"/>
      <c r="N27" s="825"/>
    </row>
    <row r="28" spans="1:23">
      <c r="A28" s="82" t="s">
        <v>333</v>
      </c>
      <c r="B28" s="710">
        <v>14</v>
      </c>
      <c r="D28" s="987"/>
      <c r="E28" s="826" t="s">
        <v>820</v>
      </c>
      <c r="F28" s="827">
        <v>4.9311402849156538</v>
      </c>
      <c r="G28" s="828">
        <v>4.4972845946119167</v>
      </c>
      <c r="H28" s="829">
        <v>28641.882852320174</v>
      </c>
      <c r="I28" s="827">
        <v>8.6867377622333652</v>
      </c>
      <c r="J28" s="828">
        <v>7.9926400717885704</v>
      </c>
      <c r="K28" s="829">
        <v>50577.636706911544</v>
      </c>
      <c r="L28" s="825"/>
      <c r="M28" s="825"/>
      <c r="N28" s="825"/>
    </row>
    <row r="29" spans="1:23">
      <c r="A29" s="82" t="s">
        <v>642</v>
      </c>
      <c r="B29" s="698"/>
      <c r="D29" s="987"/>
      <c r="E29" s="830" t="s">
        <v>821</v>
      </c>
      <c r="F29" s="831">
        <v>0</v>
      </c>
      <c r="G29" s="832">
        <v>188.46797005255419</v>
      </c>
      <c r="H29" s="833">
        <v>983582.59545688855</v>
      </c>
      <c r="I29" s="831">
        <v>0</v>
      </c>
      <c r="J29" s="832">
        <v>243.08247616227393</v>
      </c>
      <c r="K29" s="833">
        <v>1268557.1273097596</v>
      </c>
      <c r="L29" s="825">
        <f t="shared" ref="L29:N31" si="14">F29+I29</f>
        <v>0</v>
      </c>
      <c r="M29" s="825">
        <f t="shared" si="14"/>
        <v>431.55044621482813</v>
      </c>
      <c r="N29" s="825">
        <f t="shared" si="14"/>
        <v>2252139.722766648</v>
      </c>
    </row>
    <row r="30" spans="1:23">
      <c r="D30" s="987" t="s">
        <v>822</v>
      </c>
      <c r="E30" s="826" t="s">
        <v>823</v>
      </c>
      <c r="F30" s="827">
        <v>0</v>
      </c>
      <c r="G30" s="828">
        <v>64.337624318212818</v>
      </c>
      <c r="H30" s="829">
        <v>335761.9769106732</v>
      </c>
      <c r="I30" s="827">
        <v>0</v>
      </c>
      <c r="J30" s="828">
        <v>33.653221354899244</v>
      </c>
      <c r="K30" s="829">
        <v>175627.74894588042</v>
      </c>
      <c r="L30" s="825">
        <f t="shared" si="14"/>
        <v>0</v>
      </c>
      <c r="M30" s="825">
        <f t="shared" si="14"/>
        <v>97.990845673112062</v>
      </c>
      <c r="N30" s="825">
        <f t="shared" si="14"/>
        <v>511389.72585655365</v>
      </c>
    </row>
    <row r="31" spans="1:23">
      <c r="D31" s="988"/>
      <c r="E31" s="826" t="s">
        <v>821</v>
      </c>
      <c r="F31" s="827">
        <v>0</v>
      </c>
      <c r="G31" s="828">
        <v>214.15751784158797</v>
      </c>
      <c r="H31" s="829">
        <v>1117656.7019760695</v>
      </c>
      <c r="I31" s="827">
        <v>0</v>
      </c>
      <c r="J31" s="828">
        <v>269.83825946785311</v>
      </c>
      <c r="K31" s="829">
        <v>1408212.7376167548</v>
      </c>
      <c r="L31" s="825">
        <f t="shared" si="14"/>
        <v>0</v>
      </c>
      <c r="M31" s="825">
        <f t="shared" si="14"/>
        <v>483.99577730944111</v>
      </c>
      <c r="N31" s="825">
        <f t="shared" si="14"/>
        <v>2525869.4395928243</v>
      </c>
    </row>
    <row r="32" spans="1:23">
      <c r="D32" s="834"/>
      <c r="E32" s="826"/>
      <c r="F32" s="827"/>
      <c r="G32" s="828"/>
      <c r="H32" s="829"/>
      <c r="I32" s="827"/>
      <c r="J32" s="828"/>
      <c r="K32" s="835" t="s">
        <v>410</v>
      </c>
      <c r="L32" s="825">
        <f>SUM(L27:L31)/1000</f>
        <v>0</v>
      </c>
      <c r="M32" s="825">
        <f>SUM(M27:M31)/1000</f>
        <v>1.0135370691973813</v>
      </c>
      <c r="N32" s="825">
        <f>SUM(N27:N31)/1000/1000</f>
        <v>5.2893988882160263</v>
      </c>
    </row>
    <row r="33" spans="4:14">
      <c r="K33" s="836" t="s">
        <v>825</v>
      </c>
      <c r="M33" s="837">
        <f>M29/1000</f>
        <v>0.43155044621482813</v>
      </c>
      <c r="N33" s="837">
        <f>N29/1000/1000</f>
        <v>2.252139722766648</v>
      </c>
    </row>
    <row r="34" spans="4:14">
      <c r="K34" s="836" t="s">
        <v>826</v>
      </c>
      <c r="M34" s="837">
        <f>(M30+M31)/1000</f>
        <v>0.58198662298255321</v>
      </c>
      <c r="N34" s="837">
        <f>(N30+N31)/1000/1000</f>
        <v>3.0372591654493779</v>
      </c>
    </row>
    <row r="35" spans="4:14">
      <c r="D35" t="s">
        <v>827</v>
      </c>
    </row>
  </sheetData>
  <mergeCells count="24">
    <mergeCell ref="A1:K1"/>
    <mergeCell ref="M1:W1"/>
    <mergeCell ref="A2:A4"/>
    <mergeCell ref="B2:B4"/>
    <mergeCell ref="C2:E2"/>
    <mergeCell ref="F2:H2"/>
    <mergeCell ref="I2:K2"/>
    <mergeCell ref="M2:M4"/>
    <mergeCell ref="N2:N4"/>
    <mergeCell ref="O2:Q2"/>
    <mergeCell ref="U2:W2"/>
    <mergeCell ref="D3:E3"/>
    <mergeCell ref="G3:H3"/>
    <mergeCell ref="J3:K3"/>
    <mergeCell ref="P3:Q3"/>
    <mergeCell ref="S3:T3"/>
    <mergeCell ref="D27:D29"/>
    <mergeCell ref="D30:D31"/>
    <mergeCell ref="R2:T2"/>
    <mergeCell ref="V3:W3"/>
    <mergeCell ref="A5:A8"/>
    <mergeCell ref="M5:M8"/>
    <mergeCell ref="A9:A20"/>
    <mergeCell ref="M9:M20"/>
  </mergeCells>
  <pageMargins left="0.7" right="0.7" top="0.75" bottom="0.75" header="0.3" footer="0.3"/>
  <pageSetup paperSize="17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22"/>
  <sheetViews>
    <sheetView zoomScale="120" zoomScaleNormal="120" workbookViewId="0"/>
  </sheetViews>
  <sheetFormatPr defaultRowHeight="15"/>
  <cols>
    <col min="1" max="1" width="2.7109375" customWidth="1"/>
    <col min="2" max="2" width="13.7109375" customWidth="1"/>
    <col min="5" max="5" width="12" bestFit="1" customWidth="1"/>
  </cols>
  <sheetData>
    <row r="1" spans="2:11" ht="8.25" customHeight="1"/>
    <row r="2" spans="2:11">
      <c r="B2" s="92" t="s">
        <v>734</v>
      </c>
      <c r="C2" s="92"/>
      <c r="D2" s="92"/>
      <c r="E2" s="92"/>
      <c r="F2" s="92"/>
      <c r="G2" s="92"/>
      <c r="H2" s="92"/>
    </row>
    <row r="3" spans="2:11" ht="15.75" thickBot="1">
      <c r="B3" s="92" t="s">
        <v>727</v>
      </c>
    </row>
    <row r="4" spans="2:11" ht="19.5" customHeight="1" thickBot="1">
      <c r="B4" s="993" t="s">
        <v>728</v>
      </c>
      <c r="C4" s="996" t="s">
        <v>698</v>
      </c>
      <c r="D4" s="997"/>
      <c r="E4" s="998"/>
      <c r="F4" s="996" t="s">
        <v>672</v>
      </c>
      <c r="G4" s="997"/>
      <c r="H4" s="998"/>
      <c r="I4" s="999" t="s">
        <v>673</v>
      </c>
      <c r="J4" s="997"/>
      <c r="K4" s="998"/>
    </row>
    <row r="5" spans="2:11" ht="18.75" customHeight="1" thickBot="1">
      <c r="B5" s="994"/>
      <c r="C5" s="732" t="s">
        <v>674</v>
      </c>
      <c r="D5" s="996" t="s">
        <v>729</v>
      </c>
      <c r="E5" s="998"/>
      <c r="F5" s="732" t="s">
        <v>674</v>
      </c>
      <c r="G5" s="996" t="s">
        <v>729</v>
      </c>
      <c r="H5" s="998"/>
      <c r="I5" s="733" t="s">
        <v>674</v>
      </c>
      <c r="J5" s="999" t="s">
        <v>729</v>
      </c>
      <c r="K5" s="998"/>
    </row>
    <row r="6" spans="2:11" ht="21" customHeight="1" thickBot="1">
      <c r="B6" s="995"/>
      <c r="C6" s="734" t="s">
        <v>700</v>
      </c>
      <c r="D6" s="735" t="s">
        <v>700</v>
      </c>
      <c r="E6" s="736" t="s">
        <v>678</v>
      </c>
      <c r="F6" s="734" t="s">
        <v>677</v>
      </c>
      <c r="G6" s="737" t="s">
        <v>677</v>
      </c>
      <c r="H6" s="738" t="s">
        <v>678</v>
      </c>
      <c r="I6" s="739" t="s">
        <v>677</v>
      </c>
      <c r="J6" s="737" t="s">
        <v>677</v>
      </c>
      <c r="K6" s="740" t="s">
        <v>678</v>
      </c>
    </row>
    <row r="7" spans="2:11" ht="20.100000000000001" customHeight="1" thickBot="1">
      <c r="B7" s="741" t="s">
        <v>333</v>
      </c>
      <c r="C7" s="742">
        <f>C19*'Total Summary Tab'!$F$6/'Total Summary Tab'!$F$5</f>
        <v>19757.352658486656</v>
      </c>
      <c r="D7" s="742">
        <f>'Total Summary Tab'!H9</f>
        <v>7973.0715654108626</v>
      </c>
      <c r="E7" s="747">
        <f>D7/C7</f>
        <v>0.40354959003002239</v>
      </c>
      <c r="F7" s="742">
        <f>F19*(1+'Percentage Approach W-ADJ'!C32)</f>
        <v>4488.0184154997123</v>
      </c>
      <c r="G7" s="742">
        <f>'Duke Delta'!H20</f>
        <v>1813.6543855865409</v>
      </c>
      <c r="H7" s="747">
        <f>G7/F7</f>
        <v>0.40411028157169493</v>
      </c>
      <c r="I7" s="742">
        <f>I19*(1+'Percentage Approach W-ADJ'!D32)</f>
        <v>5029.0384615384619</v>
      </c>
      <c r="J7" s="742">
        <f>'Duke Delta'!H31</f>
        <v>1110.7833323748423</v>
      </c>
      <c r="K7" s="747">
        <f>J7/I7</f>
        <v>0.22087389883175326</v>
      </c>
    </row>
    <row r="8" spans="2:11" ht="20.100000000000001" customHeight="1" thickBot="1">
      <c r="B8" s="741" t="s">
        <v>642</v>
      </c>
      <c r="C8" s="742">
        <f>C20*'Total Summary Tab'!$F$6/'Total Summary Tab'!$F$5</f>
        <v>11047.657015721479</v>
      </c>
      <c r="D8" s="742">
        <f>'Total Summary Tab'!K8-('Total Summary Tab'!K8/('Total Summary Tab'!K8+'Total Summary Tab'!N8))*'Total Summary Tab'!K10</f>
        <v>3610.7957623123816</v>
      </c>
      <c r="E8" s="747">
        <f t="shared" ref="E8" si="0">D8/C8</f>
        <v>0.32683814832176655</v>
      </c>
      <c r="F8" s="742">
        <f>F20*(1+'Percentage Approach W-ADJ'!C33)</f>
        <v>1671.9723464823098</v>
      </c>
      <c r="G8" s="742">
        <f>'Duke Delta'!K19-(('Duke Delta'!K19/('Duke Delta'!K19+'Duke Delta'!N19))*101)</f>
        <v>770.59368277033161</v>
      </c>
      <c r="H8" s="747">
        <f t="shared" ref="H8:H9" si="1">G8/F8</f>
        <v>0.46088901194544057</v>
      </c>
      <c r="I8" s="742">
        <f>I20*(1+'Percentage Approach W-ADJ'!D33)</f>
        <v>1028.8891013384323</v>
      </c>
      <c r="J8" s="742">
        <f>'Duke Delta'!K30-(('Duke Delta'!K30/('Duke Delta'!K30+'Duke Delta'!N30))*69)</f>
        <v>355.945887038975</v>
      </c>
      <c r="K8" s="747">
        <f t="shared" ref="K8:K9" si="2">J8/I8</f>
        <v>0.34595165463016581</v>
      </c>
    </row>
    <row r="9" spans="2:11" ht="20.100000000000001" customHeight="1" thickBot="1">
      <c r="B9" s="741" t="s">
        <v>565</v>
      </c>
      <c r="C9" s="742">
        <f>C21*'Total Summary Tab'!$F$6/'Total Summary Tab'!$F$5</f>
        <v>2555.2013367962882</v>
      </c>
      <c r="D9" s="743">
        <f>'Total Summary Tab'!N8-('Total Summary Tab'!N8/('Total Summary Tab'!K8+'Total Summary Tab'!N8))*'Total Summary Tab'!K10</f>
        <v>489.21714520794302</v>
      </c>
      <c r="E9" s="747">
        <f>D9/C9</f>
        <v>0.19145933361999706</v>
      </c>
      <c r="F9" s="742">
        <f>F21*(1+'Percentage Approach W-ADJ'!C34)</f>
        <v>342.48180242634317</v>
      </c>
      <c r="G9" s="742">
        <f>'Duke Delta'!N19-(('Duke Delta'!N19/('Duke Delta'!N19+'Duke Delta'!K19))*101)</f>
        <v>66.836092793705291</v>
      </c>
      <c r="H9" s="747">
        <f t="shared" si="1"/>
        <v>0.19515224552136484</v>
      </c>
      <c r="I9" s="742">
        <f>I21*(1+'Percentage Approach W-ADJ'!D34)</f>
        <v>240.82300884955751</v>
      </c>
      <c r="J9" s="742">
        <f>'Duke Delta'!N30-(('Duke Delta'!N30/('Duke Delta'!N30+'Duke Delta'!K30))*69)</f>
        <v>44.430653243014632</v>
      </c>
      <c r="K9" s="747">
        <f t="shared" si="2"/>
        <v>0.18449505076473208</v>
      </c>
    </row>
    <row r="10" spans="2:11" ht="20.100000000000001" customHeight="1" thickBot="1">
      <c r="B10" s="744" t="s">
        <v>410</v>
      </c>
      <c r="C10" s="745">
        <f>SUM(C7:C9)</f>
        <v>33360.211011004423</v>
      </c>
      <c r="D10" s="745">
        <f>SUM(D7:D9)</f>
        <v>12073.084472931188</v>
      </c>
      <c r="E10" s="748">
        <f>D10/C10</f>
        <v>0.36190072265875894</v>
      </c>
      <c r="F10" s="745">
        <f>SUM(F7:F9)</f>
        <v>6502.4725644083655</v>
      </c>
      <c r="G10" s="745">
        <f>SUM(G7:G9)</f>
        <v>2651.0841611505775</v>
      </c>
      <c r="H10" s="748">
        <f>G10/F10</f>
        <v>0.40770401334123724</v>
      </c>
      <c r="I10" s="745">
        <f>SUM(I7:I9)</f>
        <v>6298.7505717264512</v>
      </c>
      <c r="J10" s="745">
        <f>SUM(J7:J9)</f>
        <v>1511.1598726568318</v>
      </c>
      <c r="K10" s="748">
        <f t="shared" ref="K10" si="3">J10/I10</f>
        <v>0.23991422671030321</v>
      </c>
    </row>
    <row r="14" spans="2:11">
      <c r="B14" s="92" t="s">
        <v>735</v>
      </c>
      <c r="C14" s="92"/>
      <c r="D14" s="92"/>
      <c r="E14" s="92"/>
      <c r="F14" s="92"/>
      <c r="G14" s="92"/>
      <c r="H14" s="92"/>
    </row>
    <row r="15" spans="2:11" ht="15.75" thickBot="1">
      <c r="B15" s="92" t="s">
        <v>727</v>
      </c>
    </row>
    <row r="16" spans="2:11" ht="15.75" thickBot="1">
      <c r="B16" s="993" t="s">
        <v>728</v>
      </c>
      <c r="C16" s="996" t="s">
        <v>698</v>
      </c>
      <c r="D16" s="997"/>
      <c r="E16" s="998"/>
      <c r="F16" s="996" t="s">
        <v>672</v>
      </c>
      <c r="G16" s="997"/>
      <c r="H16" s="998"/>
      <c r="I16" s="999" t="s">
        <v>673</v>
      </c>
      <c r="J16" s="997"/>
      <c r="K16" s="998"/>
    </row>
    <row r="17" spans="2:11" ht="15.75" thickBot="1">
      <c r="B17" s="994"/>
      <c r="C17" s="732" t="s">
        <v>674</v>
      </c>
      <c r="D17" s="996" t="s">
        <v>729</v>
      </c>
      <c r="E17" s="998"/>
      <c r="F17" s="732" t="s">
        <v>674</v>
      </c>
      <c r="G17" s="996" t="s">
        <v>729</v>
      </c>
      <c r="H17" s="998"/>
      <c r="I17" s="733" t="s">
        <v>674</v>
      </c>
      <c r="J17" s="999" t="s">
        <v>729</v>
      </c>
      <c r="K17" s="998"/>
    </row>
    <row r="18" spans="2:11" ht="15.75" thickBot="1">
      <c r="B18" s="995"/>
      <c r="C18" s="734" t="s">
        <v>700</v>
      </c>
      <c r="D18" s="735" t="s">
        <v>700</v>
      </c>
      <c r="E18" s="736" t="s">
        <v>678</v>
      </c>
      <c r="F18" s="734" t="s">
        <v>677</v>
      </c>
      <c r="G18" s="737" t="s">
        <v>677</v>
      </c>
      <c r="H18" s="738" t="s">
        <v>678</v>
      </c>
      <c r="I18" s="739" t="s">
        <v>677</v>
      </c>
      <c r="J18" s="737" t="s">
        <v>677</v>
      </c>
      <c r="K18" s="740" t="s">
        <v>678</v>
      </c>
    </row>
    <row r="19" spans="2:11" ht="20.100000000000001" customHeight="1" thickBot="1">
      <c r="B19" s="741" t="s">
        <v>333</v>
      </c>
      <c r="C19" s="742">
        <v>20645</v>
      </c>
      <c r="D19" s="742">
        <v>8232</v>
      </c>
      <c r="E19" s="747">
        <v>0.39900000000000002</v>
      </c>
      <c r="F19" s="742">
        <v>4698</v>
      </c>
      <c r="G19" s="742">
        <v>2140</v>
      </c>
      <c r="H19" s="747">
        <v>0.45500000000000002</v>
      </c>
      <c r="I19" s="742">
        <v>5175</v>
      </c>
      <c r="J19" s="742">
        <v>1479</v>
      </c>
      <c r="K19" s="754">
        <v>0.28599999999999998</v>
      </c>
    </row>
    <row r="20" spans="2:11" ht="20.100000000000001" customHeight="1" thickBot="1">
      <c r="B20" s="741" t="s">
        <v>642</v>
      </c>
      <c r="C20" s="742">
        <v>11544</v>
      </c>
      <c r="D20" s="742">
        <v>3648</v>
      </c>
      <c r="E20" s="747">
        <v>0.316</v>
      </c>
      <c r="F20" s="742">
        <v>1757</v>
      </c>
      <c r="G20" s="743">
        <v>743</v>
      </c>
      <c r="H20" s="747">
        <v>0.42299999999999999</v>
      </c>
      <c r="I20" s="742">
        <v>1166</v>
      </c>
      <c r="J20" s="743">
        <v>371</v>
      </c>
      <c r="K20" s="754">
        <v>0.318</v>
      </c>
    </row>
    <row r="21" spans="2:11" ht="20.100000000000001" customHeight="1" thickBot="1">
      <c r="B21" s="741" t="s">
        <v>565</v>
      </c>
      <c r="C21" s="742">
        <v>2670</v>
      </c>
      <c r="D21" s="743">
        <v>471</v>
      </c>
      <c r="E21" s="747">
        <v>0.17599999999999999</v>
      </c>
      <c r="F21" s="743">
        <v>389</v>
      </c>
      <c r="G21" s="743">
        <v>60</v>
      </c>
      <c r="H21" s="747">
        <v>0.153</v>
      </c>
      <c r="I21" s="743">
        <v>282</v>
      </c>
      <c r="J21" s="743">
        <v>47</v>
      </c>
      <c r="K21" s="752">
        <v>0.16800000000000001</v>
      </c>
    </row>
    <row r="22" spans="2:11" ht="20.100000000000001" customHeight="1" thickBot="1">
      <c r="B22" s="744" t="s">
        <v>410</v>
      </c>
      <c r="C22" s="745">
        <v>34859</v>
      </c>
      <c r="D22" s="745">
        <v>12351</v>
      </c>
      <c r="E22" s="753">
        <v>0.35399999999999998</v>
      </c>
      <c r="F22" s="745">
        <v>6844</v>
      </c>
      <c r="G22" s="745">
        <v>2942</v>
      </c>
      <c r="H22" s="748">
        <v>0.43</v>
      </c>
      <c r="I22" s="745">
        <v>6622</v>
      </c>
      <c r="J22" s="745">
        <v>1897</v>
      </c>
      <c r="K22" s="755">
        <v>0.28699999999999998</v>
      </c>
    </row>
  </sheetData>
  <mergeCells count="14">
    <mergeCell ref="B4:B6"/>
    <mergeCell ref="C4:E4"/>
    <mergeCell ref="F4:H4"/>
    <mergeCell ref="I4:K4"/>
    <mergeCell ref="D5:E5"/>
    <mergeCell ref="G5:H5"/>
    <mergeCell ref="J5:K5"/>
    <mergeCell ref="B16:B18"/>
    <mergeCell ref="C16:E16"/>
    <mergeCell ref="F16:H16"/>
    <mergeCell ref="I16:K16"/>
    <mergeCell ref="D17:E17"/>
    <mergeCell ref="G17:H17"/>
    <mergeCell ref="J17:K17"/>
  </mergeCells>
  <pageMargins left="0.7" right="0.7" top="0.75" bottom="0.75" header="0.3" footer="0.3"/>
  <pageSetup orientation="landscape" r:id="rId1"/>
  <ignoredErrors>
    <ignoredError sqref="H10 E10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80" zoomScaleNormal="80" workbookViewId="0">
      <selection activeCell="I41" sqref="I41"/>
    </sheetView>
  </sheetViews>
  <sheetFormatPr defaultRowHeight="15"/>
  <cols>
    <col min="1" max="1" width="14.5703125" customWidth="1"/>
    <col min="2" max="2" width="33" customWidth="1"/>
    <col min="3" max="4" width="10" bestFit="1" customWidth="1"/>
    <col min="8" max="8" width="9.5703125" bestFit="1" customWidth="1"/>
    <col min="14" max="14" width="10" bestFit="1" customWidth="1"/>
  </cols>
  <sheetData>
    <row r="1" spans="1:22" ht="15.75" thickBot="1"/>
    <row r="2" spans="1:22" ht="15.75" thickBot="1">
      <c r="A2" s="974" t="s">
        <v>668</v>
      </c>
      <c r="B2" s="975"/>
      <c r="C2" s="975"/>
      <c r="D2" s="975"/>
      <c r="E2" s="975"/>
      <c r="F2" s="975"/>
      <c r="G2" s="975"/>
      <c r="H2" s="975"/>
      <c r="I2" s="975"/>
      <c r="J2" s="975"/>
      <c r="K2" s="975"/>
      <c r="L2" s="976"/>
      <c r="M2" s="977" t="s">
        <v>732</v>
      </c>
      <c r="N2" s="978"/>
      <c r="O2" s="978"/>
      <c r="P2" s="978"/>
      <c r="Q2" s="978"/>
      <c r="R2" s="978"/>
      <c r="S2" s="978"/>
      <c r="T2" s="978"/>
      <c r="U2" s="978"/>
      <c r="V2" s="979"/>
    </row>
    <row r="3" spans="1:22" ht="19.5" customHeight="1">
      <c r="A3" s="980" t="s">
        <v>670</v>
      </c>
      <c r="B3" s="982" t="s">
        <v>671</v>
      </c>
      <c r="C3" s="980" t="s">
        <v>672</v>
      </c>
      <c r="D3" s="984"/>
      <c r="E3" s="984"/>
      <c r="F3" s="984"/>
      <c r="G3" s="985"/>
      <c r="H3" s="980" t="s">
        <v>673</v>
      </c>
      <c r="I3" s="984"/>
      <c r="J3" s="984"/>
      <c r="K3" s="984"/>
      <c r="L3" s="985"/>
      <c r="M3" s="980" t="s">
        <v>672</v>
      </c>
      <c r="N3" s="984"/>
      <c r="O3" s="984"/>
      <c r="P3" s="984"/>
      <c r="Q3" s="985"/>
      <c r="R3" s="980" t="s">
        <v>673</v>
      </c>
      <c r="S3" s="984"/>
      <c r="T3" s="984"/>
      <c r="U3" s="984"/>
      <c r="V3" s="985"/>
    </row>
    <row r="4" spans="1:22">
      <c r="A4" s="981"/>
      <c r="B4" s="983"/>
      <c r="C4" s="616" t="s">
        <v>674</v>
      </c>
      <c r="D4" s="972" t="s">
        <v>675</v>
      </c>
      <c r="E4" s="972"/>
      <c r="F4" s="972" t="s">
        <v>676</v>
      </c>
      <c r="G4" s="973"/>
      <c r="H4" s="616" t="s">
        <v>674</v>
      </c>
      <c r="I4" s="972" t="s">
        <v>675</v>
      </c>
      <c r="J4" s="972"/>
      <c r="K4" s="972" t="s">
        <v>676</v>
      </c>
      <c r="L4" s="973"/>
      <c r="M4" s="616" t="s">
        <v>674</v>
      </c>
      <c r="N4" s="972" t="s">
        <v>675</v>
      </c>
      <c r="O4" s="972"/>
      <c r="P4" s="972" t="s">
        <v>676</v>
      </c>
      <c r="Q4" s="973"/>
      <c r="R4" s="616" t="s">
        <v>674</v>
      </c>
      <c r="S4" s="972" t="s">
        <v>675</v>
      </c>
      <c r="T4" s="972"/>
      <c r="U4" s="972" t="s">
        <v>676</v>
      </c>
      <c r="V4" s="973"/>
    </row>
    <row r="5" spans="1:22">
      <c r="A5" s="981"/>
      <c r="B5" s="983"/>
      <c r="C5" s="617" t="s">
        <v>677</v>
      </c>
      <c r="D5" s="749" t="s">
        <v>677</v>
      </c>
      <c r="E5" s="749" t="s">
        <v>678</v>
      </c>
      <c r="F5" s="749" t="s">
        <v>677</v>
      </c>
      <c r="G5" s="750" t="s">
        <v>678</v>
      </c>
      <c r="H5" s="617" t="s">
        <v>677</v>
      </c>
      <c r="I5" s="749" t="s">
        <v>677</v>
      </c>
      <c r="J5" s="749" t="s">
        <v>678</v>
      </c>
      <c r="K5" s="749" t="s">
        <v>677</v>
      </c>
      <c r="L5" s="750" t="s">
        <v>678</v>
      </c>
      <c r="M5" s="617" t="s">
        <v>677</v>
      </c>
      <c r="N5" s="749" t="s">
        <v>677</v>
      </c>
      <c r="O5" s="749" t="s">
        <v>678</v>
      </c>
      <c r="P5" s="749" t="s">
        <v>677</v>
      </c>
      <c r="Q5" s="750" t="s">
        <v>678</v>
      </c>
      <c r="R5" s="617" t="s">
        <v>677</v>
      </c>
      <c r="S5" s="749" t="s">
        <v>677</v>
      </c>
      <c r="T5" s="749" t="s">
        <v>678</v>
      </c>
      <c r="U5" s="749" t="s">
        <v>677</v>
      </c>
      <c r="V5" s="750" t="s">
        <v>678</v>
      </c>
    </row>
    <row r="6" spans="1:22" ht="21" customHeight="1">
      <c r="A6" s="968" t="s">
        <v>679</v>
      </c>
      <c r="B6" s="620" t="s">
        <v>680</v>
      </c>
      <c r="C6" s="621"/>
      <c r="D6" s="622">
        <v>97</v>
      </c>
      <c r="E6" s="623">
        <v>2.1000000000000001E-2</v>
      </c>
      <c r="F6" s="624">
        <v>175</v>
      </c>
      <c r="G6" s="625">
        <v>3.6999999999999998E-2</v>
      </c>
      <c r="H6" s="621"/>
      <c r="I6" s="626">
        <v>105</v>
      </c>
      <c r="J6" s="623">
        <v>0.02</v>
      </c>
      <c r="K6" s="82">
        <v>189</v>
      </c>
      <c r="L6" s="627">
        <v>3.5999999999999997E-2</v>
      </c>
      <c r="M6" s="628"/>
      <c r="N6" s="622">
        <f>$M$12*O6</f>
        <v>94.248386725493958</v>
      </c>
      <c r="O6" s="623">
        <v>2.1000000000000001E-2</v>
      </c>
      <c r="P6" s="622">
        <f t="shared" ref="P6:P11" si="0">$M$12*Q6</f>
        <v>166.05668137348934</v>
      </c>
      <c r="Q6" s="629">
        <v>3.6999999999999998E-2</v>
      </c>
      <c r="R6" s="621"/>
      <c r="S6" s="630">
        <f>$R$12*T6</f>
        <v>100.58076923076923</v>
      </c>
      <c r="T6" s="631">
        <v>0.02</v>
      </c>
      <c r="U6" s="630">
        <f>$R$12*V6</f>
        <v>181.04538461538462</v>
      </c>
      <c r="V6" s="632">
        <v>3.5999999999999997E-2</v>
      </c>
    </row>
    <row r="7" spans="1:22" ht="20.25" customHeight="1">
      <c r="A7" s="968"/>
      <c r="B7" s="620" t="s">
        <v>681</v>
      </c>
      <c r="C7" s="633"/>
      <c r="D7" s="622">
        <v>157</v>
      </c>
      <c r="E7" s="623">
        <v>3.3000000000000002E-2</v>
      </c>
      <c r="F7" s="624">
        <v>282</v>
      </c>
      <c r="G7" s="625">
        <v>0.06</v>
      </c>
      <c r="H7" s="633"/>
      <c r="I7" s="626">
        <v>169</v>
      </c>
      <c r="J7" s="623">
        <v>3.3000000000000002E-2</v>
      </c>
      <c r="K7" s="82">
        <v>304</v>
      </c>
      <c r="L7" s="627">
        <v>5.8999999999999997E-2</v>
      </c>
      <c r="M7" s="634"/>
      <c r="N7" s="622">
        <f t="shared" ref="N7:N11" si="1">$M$12*O7</f>
        <v>148.1046077114905</v>
      </c>
      <c r="O7" s="623">
        <v>3.3000000000000002E-2</v>
      </c>
      <c r="P7" s="622">
        <f t="shared" si="0"/>
        <v>269.28110492998275</v>
      </c>
      <c r="Q7" s="629">
        <v>0.06</v>
      </c>
      <c r="R7" s="633"/>
      <c r="S7" s="630">
        <f t="shared" ref="S7:S11" si="2">$R$12*T7</f>
        <v>165.95826923076925</v>
      </c>
      <c r="T7" s="631">
        <v>3.3000000000000002E-2</v>
      </c>
      <c r="U7" s="630">
        <f t="shared" ref="U7:U11" si="3">$R$12*V7</f>
        <v>296.71326923076924</v>
      </c>
      <c r="V7" s="632">
        <v>5.8999999999999997E-2</v>
      </c>
    </row>
    <row r="8" spans="1:22">
      <c r="A8" s="968"/>
      <c r="B8" s="620" t="s">
        <v>682</v>
      </c>
      <c r="C8" s="633"/>
      <c r="D8" s="622">
        <v>282</v>
      </c>
      <c r="E8" s="623">
        <v>0.06</v>
      </c>
      <c r="F8" s="624">
        <v>56</v>
      </c>
      <c r="G8" s="625">
        <v>1.2E-2</v>
      </c>
      <c r="H8" s="633"/>
      <c r="I8" s="626">
        <v>304</v>
      </c>
      <c r="J8" s="623">
        <v>5.8999999999999997E-2</v>
      </c>
      <c r="K8" s="82">
        <v>61</v>
      </c>
      <c r="L8" s="627">
        <v>1.2E-2</v>
      </c>
      <c r="M8" s="634"/>
      <c r="N8" s="622">
        <f t="shared" si="1"/>
        <v>269.28110492998275</v>
      </c>
      <c r="O8" s="623">
        <v>0.06</v>
      </c>
      <c r="P8" s="622">
        <f t="shared" si="0"/>
        <v>53.856220985996551</v>
      </c>
      <c r="Q8" s="629">
        <v>1.2E-2</v>
      </c>
      <c r="R8" s="633"/>
      <c r="S8" s="630">
        <f t="shared" si="2"/>
        <v>296.71326923076924</v>
      </c>
      <c r="T8" s="631">
        <v>5.8999999999999997E-2</v>
      </c>
      <c r="U8" s="630">
        <f t="shared" si="3"/>
        <v>60.348461538461542</v>
      </c>
      <c r="V8" s="632">
        <v>1.2E-2</v>
      </c>
    </row>
    <row r="9" spans="1:22" ht="47.25" customHeight="1">
      <c r="A9" s="968"/>
      <c r="B9" s="620" t="s">
        <v>683</v>
      </c>
      <c r="C9" s="633"/>
      <c r="D9" s="622">
        <v>65</v>
      </c>
      <c r="E9" s="623">
        <v>1.4E-2</v>
      </c>
      <c r="F9" s="624">
        <v>13</v>
      </c>
      <c r="G9" s="625">
        <v>3.0000000000000001E-3</v>
      </c>
      <c r="H9" s="633"/>
      <c r="I9" s="626">
        <v>180</v>
      </c>
      <c r="J9" s="623">
        <v>3.5000000000000003E-2</v>
      </c>
      <c r="K9" s="82">
        <v>36</v>
      </c>
      <c r="L9" s="627">
        <v>7.0000000000000001E-3</v>
      </c>
      <c r="M9" s="634"/>
      <c r="N9" s="622">
        <f t="shared" si="1"/>
        <v>62.832257816995977</v>
      </c>
      <c r="O9" s="623">
        <v>1.4E-2</v>
      </c>
      <c r="P9" s="622">
        <f t="shared" si="0"/>
        <v>13.464055246499138</v>
      </c>
      <c r="Q9" s="629">
        <v>3.0000000000000001E-3</v>
      </c>
      <c r="R9" s="633"/>
      <c r="S9" s="630">
        <f t="shared" si="2"/>
        <v>176.01634615384617</v>
      </c>
      <c r="T9" s="631">
        <v>3.5000000000000003E-2</v>
      </c>
      <c r="U9" s="630">
        <f t="shared" si="3"/>
        <v>35.203269230769237</v>
      </c>
      <c r="V9" s="632">
        <v>7.0000000000000001E-3</v>
      </c>
    </row>
    <row r="10" spans="1:22" ht="50.25" customHeight="1">
      <c r="A10" s="968"/>
      <c r="B10" s="620" t="s">
        <v>684</v>
      </c>
      <c r="C10" s="633"/>
      <c r="D10" s="622">
        <v>51</v>
      </c>
      <c r="E10" s="623">
        <v>1.0999999999999999E-2</v>
      </c>
      <c r="F10" s="624">
        <v>10</v>
      </c>
      <c r="G10" s="625">
        <v>2E-3</v>
      </c>
      <c r="H10" s="633"/>
      <c r="I10" s="626">
        <v>10</v>
      </c>
      <c r="J10" s="623">
        <v>2E-3</v>
      </c>
      <c r="K10" s="82">
        <v>2</v>
      </c>
      <c r="L10" s="627">
        <v>0</v>
      </c>
      <c r="M10" s="634"/>
      <c r="N10" s="622">
        <f t="shared" si="1"/>
        <v>49.368202570496834</v>
      </c>
      <c r="O10" s="623">
        <v>1.0999999999999999E-2</v>
      </c>
      <c r="P10" s="622">
        <f t="shared" si="0"/>
        <v>8.9760368309994245</v>
      </c>
      <c r="Q10" s="629">
        <v>2E-3</v>
      </c>
      <c r="R10" s="633"/>
      <c r="S10" s="630">
        <f t="shared" si="2"/>
        <v>10.058076923076923</v>
      </c>
      <c r="T10" s="631">
        <v>2E-3</v>
      </c>
      <c r="U10" s="630">
        <f t="shared" si="3"/>
        <v>2.0116153846153848</v>
      </c>
      <c r="V10" s="632">
        <v>4.0000000000000002E-4</v>
      </c>
    </row>
    <row r="11" spans="1:22" ht="38.25" customHeight="1">
      <c r="A11" s="968"/>
      <c r="B11" s="635" t="s">
        <v>685</v>
      </c>
      <c r="C11" s="636"/>
      <c r="D11" s="637">
        <v>82</v>
      </c>
      <c r="E11" s="638">
        <v>1.7000000000000001E-2</v>
      </c>
      <c r="F11" s="639">
        <v>16</v>
      </c>
      <c r="G11" s="640">
        <v>3.0000000000000001E-3</v>
      </c>
      <c r="H11" s="633"/>
      <c r="I11" s="641">
        <v>89</v>
      </c>
      <c r="J11" s="638">
        <v>1.7000000000000001E-2</v>
      </c>
      <c r="K11" s="621">
        <v>18</v>
      </c>
      <c r="L11" s="627">
        <v>3.0000000000000001E-3</v>
      </c>
      <c r="M11" s="642"/>
      <c r="N11" s="622">
        <f t="shared" si="1"/>
        <v>76.29631306349512</v>
      </c>
      <c r="O11" s="638">
        <v>1.7000000000000001E-2</v>
      </c>
      <c r="P11" s="622">
        <f t="shared" si="0"/>
        <v>13.464055246499138</v>
      </c>
      <c r="Q11" s="643">
        <v>3.0000000000000001E-3</v>
      </c>
      <c r="R11" s="633"/>
      <c r="S11" s="630">
        <f t="shared" si="2"/>
        <v>85.493653846153862</v>
      </c>
      <c r="T11" s="644">
        <v>1.7000000000000001E-2</v>
      </c>
      <c r="U11" s="630">
        <f t="shared" si="3"/>
        <v>15.087115384615386</v>
      </c>
      <c r="V11" s="632">
        <v>3.0000000000000001E-3</v>
      </c>
    </row>
    <row r="12" spans="1:22" ht="24" customHeight="1">
      <c r="A12" s="968"/>
      <c r="B12" s="645" t="s">
        <v>686</v>
      </c>
      <c r="C12" s="646">
        <v>4698</v>
      </c>
      <c r="D12" s="647">
        <v>734</v>
      </c>
      <c r="E12" s="648">
        <v>0.156</v>
      </c>
      <c r="F12" s="646">
        <v>553</v>
      </c>
      <c r="G12" s="649">
        <v>0.11799999999999999</v>
      </c>
      <c r="H12" s="646">
        <v>5175</v>
      </c>
      <c r="I12" s="650">
        <v>856</v>
      </c>
      <c r="J12" s="648">
        <v>0.16500000000000001</v>
      </c>
      <c r="K12" s="651">
        <v>609</v>
      </c>
      <c r="L12" s="652">
        <v>0.11799999999999999</v>
      </c>
      <c r="M12" s="653">
        <f>C12*(1+$C$32)</f>
        <v>4488.0184154997123</v>
      </c>
      <c r="N12" s="654">
        <f>M12*O12</f>
        <v>700.13087281795515</v>
      </c>
      <c r="O12" s="655">
        <v>0.156</v>
      </c>
      <c r="P12" s="656">
        <f>M12*Q12</f>
        <v>529.58617302896607</v>
      </c>
      <c r="Q12" s="657">
        <v>0.11799999999999999</v>
      </c>
      <c r="R12" s="653">
        <f>H12*(1+$D$32)</f>
        <v>5029.0384615384619</v>
      </c>
      <c r="S12" s="654">
        <f>R12*T12</f>
        <v>829.79134615384623</v>
      </c>
      <c r="T12" s="658">
        <v>0.16500000000000001</v>
      </c>
      <c r="U12" s="656">
        <f>R12*V12</f>
        <v>593.42653846153848</v>
      </c>
      <c r="V12" s="659">
        <v>0.11799999999999999</v>
      </c>
    </row>
    <row r="13" spans="1:22" ht="30">
      <c r="A13" s="969" t="s">
        <v>642</v>
      </c>
      <c r="B13" s="660" t="s">
        <v>687</v>
      </c>
      <c r="C13" s="633"/>
      <c r="D13" s="661">
        <v>109</v>
      </c>
      <c r="E13" s="662">
        <v>6.2E-2</v>
      </c>
      <c r="F13" s="663">
        <v>31</v>
      </c>
      <c r="G13" s="664">
        <v>1.7999999999999999E-2</v>
      </c>
      <c r="H13" s="633"/>
      <c r="I13" s="665">
        <v>55</v>
      </c>
      <c r="J13" s="662">
        <v>4.7E-2</v>
      </c>
      <c r="K13" s="636">
        <v>16</v>
      </c>
      <c r="L13" s="627">
        <v>1.2999999999999999E-2</v>
      </c>
      <c r="M13" s="634"/>
      <c r="N13" s="666">
        <f>$M$15*O13</f>
        <v>103.66228548190321</v>
      </c>
      <c r="O13" s="662">
        <v>6.2E-2</v>
      </c>
      <c r="P13" s="666">
        <f>$M$15*Q13</f>
        <v>30.095502236681575</v>
      </c>
      <c r="Q13" s="667">
        <v>1.7999999999999999E-2</v>
      </c>
      <c r="R13" s="633"/>
      <c r="S13" s="666">
        <f>$R$15*T13</f>
        <v>48.35778776290632</v>
      </c>
      <c r="T13" s="668">
        <v>4.7E-2</v>
      </c>
      <c r="U13" s="666">
        <f>$R$15*V13</f>
        <v>13.375558317399619</v>
      </c>
      <c r="V13" s="632">
        <v>1.2999999999999999E-2</v>
      </c>
    </row>
    <row r="14" spans="1:22">
      <c r="A14" s="970"/>
      <c r="B14" s="620" t="s">
        <v>688</v>
      </c>
      <c r="C14" s="633"/>
      <c r="D14" s="622">
        <v>144</v>
      </c>
      <c r="E14" s="623">
        <v>8.2000000000000003E-2</v>
      </c>
      <c r="F14" s="624">
        <v>144</v>
      </c>
      <c r="G14" s="625">
        <v>8.2000000000000003E-2</v>
      </c>
      <c r="H14" s="633"/>
      <c r="I14" s="626">
        <v>31</v>
      </c>
      <c r="J14" s="623">
        <v>2.7E-2</v>
      </c>
      <c r="K14" s="82">
        <v>31</v>
      </c>
      <c r="L14" s="627">
        <v>2.7E-2</v>
      </c>
      <c r="M14" s="634"/>
      <c r="N14" s="666">
        <f>$M$15*O14</f>
        <v>137.10173241154942</v>
      </c>
      <c r="O14" s="623">
        <v>8.2000000000000003E-2</v>
      </c>
      <c r="P14" s="666">
        <f>$M$15*Q14</f>
        <v>137.10173241154942</v>
      </c>
      <c r="Q14" s="629">
        <v>8.2000000000000003E-2</v>
      </c>
      <c r="R14" s="633"/>
      <c r="S14" s="666">
        <f>$R$15*T14</f>
        <v>27.780005736137671</v>
      </c>
      <c r="T14" s="631">
        <v>2.7E-2</v>
      </c>
      <c r="U14" s="666">
        <f>$R$15*V14</f>
        <v>27.780005736137671</v>
      </c>
      <c r="V14" s="632">
        <v>2.7E-2</v>
      </c>
    </row>
    <row r="15" spans="1:22">
      <c r="A15" s="971"/>
      <c r="B15" s="645" t="s">
        <v>689</v>
      </c>
      <c r="C15" s="646">
        <v>1757</v>
      </c>
      <c r="D15" s="647">
        <v>252</v>
      </c>
      <c r="E15" s="648">
        <v>0.14399999999999999</v>
      </c>
      <c r="F15" s="646">
        <v>175</v>
      </c>
      <c r="G15" s="649">
        <v>9.9000000000000005E-2</v>
      </c>
      <c r="H15" s="646">
        <v>1166</v>
      </c>
      <c r="I15" s="650">
        <v>86</v>
      </c>
      <c r="J15" s="648">
        <v>7.3999999999999996E-2</v>
      </c>
      <c r="K15" s="651">
        <v>47</v>
      </c>
      <c r="L15" s="652">
        <v>0.04</v>
      </c>
      <c r="M15" s="653">
        <f>C15*(1+$C$33)</f>
        <v>1671.9723464823098</v>
      </c>
      <c r="N15" s="654">
        <f>M15*O15</f>
        <v>240.7640178934526</v>
      </c>
      <c r="O15" s="655">
        <v>0.14399999999999999</v>
      </c>
      <c r="P15" s="656">
        <f>M15*Q15</f>
        <v>165.52526230174868</v>
      </c>
      <c r="Q15" s="657">
        <v>9.9000000000000005E-2</v>
      </c>
      <c r="R15" s="653">
        <f>H15*(1+$D$33)</f>
        <v>1028.8891013384323</v>
      </c>
      <c r="S15" s="654">
        <f>R15*T15</f>
        <v>76.13779349904398</v>
      </c>
      <c r="T15" s="658">
        <v>7.3999999999999996E-2</v>
      </c>
      <c r="U15" s="656">
        <f>R15*V15</f>
        <v>41.15556405353729</v>
      </c>
      <c r="V15" s="659">
        <v>0.04</v>
      </c>
    </row>
    <row r="16" spans="1:22" ht="30">
      <c r="A16" s="970" t="s">
        <v>565</v>
      </c>
      <c r="B16" s="620" t="s">
        <v>690</v>
      </c>
      <c r="C16" s="633"/>
      <c r="D16" s="622">
        <v>9</v>
      </c>
      <c r="E16" s="623">
        <v>1.6E-2</v>
      </c>
      <c r="F16" s="624">
        <v>3</v>
      </c>
      <c r="G16" s="625">
        <v>5.0000000000000001E-3</v>
      </c>
      <c r="H16" s="633"/>
      <c r="I16" s="626">
        <v>4</v>
      </c>
      <c r="J16" s="623">
        <v>0.01</v>
      </c>
      <c r="K16" s="82">
        <v>1</v>
      </c>
      <c r="L16" s="627">
        <v>3.0000000000000001E-3</v>
      </c>
      <c r="M16" s="634"/>
      <c r="N16" s="666">
        <f>$M$18*O16</f>
        <v>7.7476603119584064</v>
      </c>
      <c r="O16" s="623">
        <v>1.6E-2</v>
      </c>
      <c r="P16" s="666">
        <f>$M$18*Q16</f>
        <v>2.4211438474870017</v>
      </c>
      <c r="Q16" s="629">
        <v>5.0000000000000001E-3</v>
      </c>
      <c r="R16" s="633"/>
      <c r="S16" s="666">
        <f>$R$18*T16</f>
        <v>3.6977433628318583</v>
      </c>
      <c r="T16" s="631">
        <v>0.01</v>
      </c>
      <c r="U16" s="666">
        <f>$R$18*V16</f>
        <v>1.1093230088495576</v>
      </c>
      <c r="V16" s="632">
        <v>3.0000000000000001E-3</v>
      </c>
    </row>
    <row r="17" spans="1:22">
      <c r="A17" s="970"/>
      <c r="B17" s="620" t="s">
        <v>688</v>
      </c>
      <c r="C17" s="633"/>
      <c r="D17" s="622">
        <v>11</v>
      </c>
      <c r="E17" s="623">
        <v>0.02</v>
      </c>
      <c r="F17" s="669">
        <v>11</v>
      </c>
      <c r="G17" s="625">
        <v>0.02</v>
      </c>
      <c r="H17" s="633"/>
      <c r="I17" s="626">
        <v>2</v>
      </c>
      <c r="J17" s="623">
        <v>4.0000000000000001E-3</v>
      </c>
      <c r="K17" s="82">
        <v>2</v>
      </c>
      <c r="L17" s="627">
        <v>4.0000000000000001E-3</v>
      </c>
      <c r="M17" s="634"/>
      <c r="N17" s="666">
        <f>$M$18*O17</f>
        <v>9.6845753899480069</v>
      </c>
      <c r="O17" s="623">
        <v>0.02</v>
      </c>
      <c r="P17" s="666">
        <f>$M$18*Q17</f>
        <v>9.6845753899480069</v>
      </c>
      <c r="Q17" s="629">
        <v>0.02</v>
      </c>
      <c r="R17" s="633"/>
      <c r="S17" s="666">
        <f>$R$18*T17</f>
        <v>1.4790973451327434</v>
      </c>
      <c r="T17" s="631">
        <v>4.0000000000000001E-3</v>
      </c>
      <c r="U17" s="666">
        <f>$R$18*V17</f>
        <v>1.4790973451327434</v>
      </c>
      <c r="V17" s="632">
        <v>4.0000000000000001E-3</v>
      </c>
    </row>
    <row r="18" spans="1:22">
      <c r="A18" s="971"/>
      <c r="B18" s="670" t="s">
        <v>691</v>
      </c>
      <c r="C18" s="671">
        <v>550</v>
      </c>
      <c r="D18" s="672">
        <v>20</v>
      </c>
      <c r="E18" s="673">
        <v>3.5999999999999997E-2</v>
      </c>
      <c r="F18" s="674">
        <v>13</v>
      </c>
      <c r="G18" s="675">
        <v>2.4E-2</v>
      </c>
      <c r="H18" s="671">
        <v>433</v>
      </c>
      <c r="I18" s="676">
        <v>6</v>
      </c>
      <c r="J18" s="673">
        <v>1.4E-2</v>
      </c>
      <c r="K18" s="677">
        <v>3</v>
      </c>
      <c r="L18" s="678">
        <v>7.0000000000000001E-3</v>
      </c>
      <c r="M18" s="653">
        <f>C18*(1+$C$34)</f>
        <v>484.22876949740038</v>
      </c>
      <c r="N18" s="654">
        <f>M18*O18</f>
        <v>17.432235701906411</v>
      </c>
      <c r="O18" s="679">
        <v>3.5999999999999997E-2</v>
      </c>
      <c r="P18" s="656">
        <f>M18*Q18</f>
        <v>11.62149046793761</v>
      </c>
      <c r="Q18" s="680">
        <v>2.4E-2</v>
      </c>
      <c r="R18" s="653">
        <f>H18*(1+$D$34)</f>
        <v>369.77433628318585</v>
      </c>
      <c r="S18" s="654">
        <f>R18*T18</f>
        <v>5.1768407079646019</v>
      </c>
      <c r="T18" s="681">
        <v>1.4E-2</v>
      </c>
      <c r="U18" s="656">
        <f>R18*V18</f>
        <v>2.588420353982301</v>
      </c>
      <c r="V18" s="682">
        <v>7.0000000000000001E-3</v>
      </c>
    </row>
    <row r="19" spans="1:22" ht="15.75" thickBot="1">
      <c r="A19" s="683" t="s">
        <v>692</v>
      </c>
      <c r="B19" s="684"/>
      <c r="C19" s="685">
        <v>7005</v>
      </c>
      <c r="D19" s="686">
        <v>1006</v>
      </c>
      <c r="E19" s="687">
        <v>0.14399999999999999</v>
      </c>
      <c r="F19" s="688">
        <v>741</v>
      </c>
      <c r="G19" s="687">
        <v>0.106</v>
      </c>
      <c r="H19" s="685">
        <v>6773</v>
      </c>
      <c r="I19" s="689">
        <v>948</v>
      </c>
      <c r="J19" s="687">
        <v>0.14000000000000001</v>
      </c>
      <c r="K19" s="689">
        <v>659</v>
      </c>
      <c r="L19" s="690">
        <v>9.7000000000000003E-2</v>
      </c>
      <c r="M19" s="691">
        <f>SUM(M12:M18)</f>
        <v>6644.2195314794226</v>
      </c>
      <c r="N19" s="686">
        <f>N12+N15+N18</f>
        <v>958.32712641331409</v>
      </c>
      <c r="O19" s="687">
        <v>0.14399999999999999</v>
      </c>
      <c r="P19" s="686">
        <f>P12+P15+P18</f>
        <v>706.73292579865245</v>
      </c>
      <c r="Q19" s="692">
        <v>0.106</v>
      </c>
      <c r="R19" s="691">
        <f>SUM(R12:R18)</f>
        <v>6427.7018991600798</v>
      </c>
      <c r="S19" s="686">
        <f>S12+S15+S18</f>
        <v>911.1059803608548</v>
      </c>
      <c r="T19" s="692">
        <v>0.14000000000000001</v>
      </c>
      <c r="U19" s="686">
        <f>U12+U15+U18</f>
        <v>637.17052286905812</v>
      </c>
      <c r="V19" s="693">
        <v>9.7000000000000003E-2</v>
      </c>
    </row>
    <row r="20" spans="1:22">
      <c r="B20" s="694"/>
    </row>
    <row r="21" spans="1:22">
      <c r="B21" s="694"/>
    </row>
    <row r="22" spans="1:22">
      <c r="B22" s="694"/>
      <c r="F22" t="s">
        <v>679</v>
      </c>
    </row>
    <row r="23" spans="1:22">
      <c r="B23" s="708" t="s">
        <v>694</v>
      </c>
      <c r="C23" s="709" t="s">
        <v>473</v>
      </c>
      <c r="D23" s="709" t="s">
        <v>474</v>
      </c>
    </row>
    <row r="24" spans="1:22">
      <c r="B24" s="82" t="s">
        <v>333</v>
      </c>
      <c r="C24" s="698">
        <v>-0.10896403650026838</v>
      </c>
      <c r="D24" s="698">
        <v>0.14133708090744831</v>
      </c>
    </row>
    <row r="25" spans="1:22">
      <c r="B25" s="82" t="s">
        <v>642</v>
      </c>
      <c r="C25" s="698">
        <v>-7.3634204275534437E-2</v>
      </c>
      <c r="D25" s="698">
        <v>-0.117168818747011</v>
      </c>
    </row>
    <row r="26" spans="1:22">
      <c r="B26" s="82" t="s">
        <v>565</v>
      </c>
      <c r="C26" s="698">
        <v>-0.1195840554592721</v>
      </c>
      <c r="D26" s="698">
        <v>-0.14601769911504425</v>
      </c>
    </row>
    <row r="27" spans="1:22">
      <c r="B27" s="699" t="s">
        <v>731</v>
      </c>
    </row>
    <row r="29" spans="1:22" ht="15.75" thickBot="1">
      <c r="B29" s="694"/>
    </row>
    <row r="30" spans="1:22" ht="15.75" thickBot="1">
      <c r="B30" s="695" t="s">
        <v>730</v>
      </c>
    </row>
    <row r="31" spans="1:22">
      <c r="B31" s="696" t="s">
        <v>694</v>
      </c>
      <c r="C31" s="697" t="s">
        <v>473</v>
      </c>
      <c r="D31" s="697" t="s">
        <v>474</v>
      </c>
      <c r="N31" s="1"/>
    </row>
    <row r="32" spans="1:22">
      <c r="B32" s="82" t="s">
        <v>333</v>
      </c>
      <c r="C32" s="698">
        <v>-4.4695952426625746E-2</v>
      </c>
      <c r="D32" s="698">
        <v>-2.8205128205128206E-2</v>
      </c>
    </row>
    <row r="33" spans="2:4">
      <c r="B33" s="82" t="s">
        <v>642</v>
      </c>
      <c r="C33" s="698">
        <v>-4.8393655957706387E-2</v>
      </c>
      <c r="D33" s="698">
        <v>-0.11759082217973231</v>
      </c>
    </row>
    <row r="34" spans="2:4">
      <c r="B34" s="82" t="s">
        <v>565</v>
      </c>
      <c r="C34" s="698">
        <v>-0.1195840554592721</v>
      </c>
      <c r="D34" s="698">
        <v>-0.14601769911504425</v>
      </c>
    </row>
    <row r="35" spans="2:4">
      <c r="B35" s="699" t="s">
        <v>731</v>
      </c>
    </row>
  </sheetData>
  <mergeCells count="19">
    <mergeCell ref="N4:O4"/>
    <mergeCell ref="P4:Q4"/>
    <mergeCell ref="S4:T4"/>
    <mergeCell ref="U4:V4"/>
    <mergeCell ref="A2:L2"/>
    <mergeCell ref="M2:V2"/>
    <mergeCell ref="A3:A5"/>
    <mergeCell ref="B3:B5"/>
    <mergeCell ref="C3:G3"/>
    <mergeCell ref="H3:L3"/>
    <mergeCell ref="M3:Q3"/>
    <mergeCell ref="R3:V3"/>
    <mergeCell ref="D4:E4"/>
    <mergeCell ref="F4:G4"/>
    <mergeCell ref="A6:A12"/>
    <mergeCell ref="A13:A15"/>
    <mergeCell ref="A16:A18"/>
    <mergeCell ref="I4:J4"/>
    <mergeCell ref="K4:L4"/>
  </mergeCells>
  <pageMargins left="0.7" right="0.7" top="0.75" bottom="0.75" header="0.3" footer="0.3"/>
  <pageSetup paperSize="17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1"/>
  <sheetViews>
    <sheetView topLeftCell="D1" zoomScale="85" zoomScaleNormal="85" workbookViewId="0"/>
  </sheetViews>
  <sheetFormatPr defaultRowHeight="15"/>
  <cols>
    <col min="1" max="1" width="22" style="19" customWidth="1"/>
    <col min="2" max="2" width="62.85546875" style="19" customWidth="1"/>
    <col min="3" max="3" width="48" style="19" customWidth="1"/>
    <col min="4" max="4" width="89.140625" style="19" customWidth="1"/>
    <col min="5" max="5" width="9.140625" style="19" customWidth="1"/>
    <col min="6" max="6" width="18.5703125" style="19" bestFit="1" customWidth="1"/>
    <col min="7" max="8" width="9.140625" style="19" customWidth="1"/>
    <col min="9" max="9" width="9.7109375" style="19" bestFit="1" customWidth="1"/>
    <col min="10" max="10" width="13.7109375" style="19" bestFit="1" customWidth="1"/>
    <col min="11" max="11" width="9.7109375" style="19" customWidth="1"/>
    <col min="12" max="12" width="8.85546875" style="19" customWidth="1"/>
    <col min="13" max="13" width="15.7109375" style="193" bestFit="1" customWidth="1"/>
    <col min="14" max="14" width="16.140625" style="193" customWidth="1"/>
    <col min="15" max="15" width="12.7109375" style="193" customWidth="1"/>
    <col min="16" max="18" width="12.7109375" style="194" customWidth="1"/>
    <col min="19" max="16384" width="9.140625" style="19"/>
  </cols>
  <sheetData>
    <row r="1" spans="1:21" ht="12.75" customHeight="1">
      <c r="A1" s="192"/>
      <c r="B1" s="192"/>
    </row>
    <row r="2" spans="1:21">
      <c r="A2" s="942"/>
      <c r="B2" s="942"/>
      <c r="J2" s="195" t="s">
        <v>390</v>
      </c>
      <c r="K2" s="195" t="s">
        <v>398</v>
      </c>
      <c r="L2" s="195" t="s">
        <v>399</v>
      </c>
      <c r="M2" s="196"/>
      <c r="N2" s="196"/>
      <c r="O2" s="817" t="s">
        <v>390</v>
      </c>
      <c r="P2" s="817" t="s">
        <v>388</v>
      </c>
      <c r="Q2" s="817" t="s">
        <v>398</v>
      </c>
      <c r="R2" s="817" t="s">
        <v>399</v>
      </c>
      <c r="S2" s="816" t="s">
        <v>388</v>
      </c>
      <c r="T2" s="816" t="s">
        <v>398</v>
      </c>
      <c r="U2" s="816" t="s">
        <v>399</v>
      </c>
    </row>
    <row r="3" spans="1:21">
      <c r="A3" s="942"/>
      <c r="B3" s="942"/>
      <c r="J3" s="913">
        <f>SUM(J9:J156)</f>
        <v>8148.3575315631415</v>
      </c>
      <c r="K3" s="913">
        <f>SUM(K9:K156)</f>
        <v>2135.6140636139994</v>
      </c>
      <c r="L3" s="913">
        <f>SUM(L9:L156)</f>
        <v>1426.5873814244815</v>
      </c>
      <c r="M3" s="197"/>
      <c r="O3" s="912">
        <v>8232</v>
      </c>
      <c r="P3" s="912">
        <f>SUM(P9:P165)</f>
        <v>8105.9065928890832</v>
      </c>
      <c r="Q3" s="912">
        <f>SUM(Q9:Q165)</f>
        <v>1908.7993928742562</v>
      </c>
      <c r="R3" s="912">
        <f>SUM(R9:R165)</f>
        <v>1290.5902883041963</v>
      </c>
      <c r="S3" s="816">
        <f>SUM(S8:S165)</f>
        <v>7973.0715654108653</v>
      </c>
      <c r="T3" s="816">
        <f t="shared" ref="T3:U3" si="0">SUM(T8:T165)</f>
        <v>1813.6543855865414</v>
      </c>
      <c r="U3" s="816">
        <f t="shared" si="0"/>
        <v>1110.7833323748418</v>
      </c>
    </row>
    <row r="4" spans="1:21">
      <c r="A4" s="942"/>
      <c r="B4" s="942"/>
      <c r="I4" s="236" t="s">
        <v>653</v>
      </c>
      <c r="J4" s="238">
        <v>8232</v>
      </c>
      <c r="K4" s="238">
        <v>2140</v>
      </c>
      <c r="L4" s="238">
        <v>1479</v>
      </c>
      <c r="M4" s="149"/>
      <c r="N4" s="198"/>
      <c r="O4" s="149"/>
      <c r="P4" s="197">
        <f>P3/O3</f>
        <v>0.98468253072024825</v>
      </c>
      <c r="Q4" s="149"/>
      <c r="R4" s="149"/>
      <c r="S4" s="940" t="s">
        <v>817</v>
      </c>
      <c r="T4" s="940"/>
      <c r="U4" s="940"/>
    </row>
    <row r="5" spans="1:21">
      <c r="A5" s="942"/>
      <c r="B5" s="942"/>
      <c r="J5" s="199">
        <f>(J4-J3)/J4</f>
        <v>1.0160649712932278E-2</v>
      </c>
      <c r="K5" s="199">
        <f>(K4-K3)/K4</f>
        <v>2.0495029841124273E-3</v>
      </c>
      <c r="L5" s="199">
        <f>(L4-L3)/L4</f>
        <v>3.5437875980742758E-2</v>
      </c>
      <c r="M5" s="200"/>
      <c r="N5" s="151"/>
      <c r="O5" s="200"/>
      <c r="P5" s="152">
        <f>P4-1</f>
        <v>-1.531746927975175E-2</v>
      </c>
      <c r="Q5" s="152"/>
      <c r="R5" s="152"/>
    </row>
    <row r="6" spans="1:21">
      <c r="A6" s="192"/>
      <c r="B6" s="192"/>
      <c r="D6" s="201" t="s">
        <v>326</v>
      </c>
      <c r="G6" s="19" t="s">
        <v>87</v>
      </c>
      <c r="H6" s="43" t="s">
        <v>857</v>
      </c>
      <c r="J6" s="202" t="s">
        <v>391</v>
      </c>
      <c r="K6" s="202"/>
      <c r="L6" s="203"/>
      <c r="M6" s="149" t="s">
        <v>406</v>
      </c>
      <c r="N6" s="149" t="s">
        <v>406</v>
      </c>
      <c r="O6" s="149" t="s">
        <v>406</v>
      </c>
      <c r="P6" s="149" t="s">
        <v>406</v>
      </c>
      <c r="Q6" s="149" t="s">
        <v>406</v>
      </c>
      <c r="R6" s="149" t="s">
        <v>406</v>
      </c>
    </row>
    <row r="7" spans="1:21">
      <c r="A7" s="204" t="s">
        <v>86</v>
      </c>
      <c r="B7" s="204" t="s">
        <v>87</v>
      </c>
      <c r="D7" s="19" t="s">
        <v>324</v>
      </c>
      <c r="E7" s="21"/>
      <c r="F7" s="22" t="s">
        <v>294</v>
      </c>
      <c r="G7" s="43" t="s">
        <v>419</v>
      </c>
      <c r="H7" s="43" t="s">
        <v>858</v>
      </c>
      <c r="J7" s="205" t="s">
        <v>388</v>
      </c>
      <c r="K7" s="205" t="s">
        <v>398</v>
      </c>
      <c r="L7" s="205" t="s">
        <v>399</v>
      </c>
      <c r="M7" s="206" t="s">
        <v>421</v>
      </c>
      <c r="N7" s="206" t="s">
        <v>392</v>
      </c>
      <c r="O7" s="206" t="s">
        <v>397</v>
      </c>
      <c r="P7" s="206" t="s">
        <v>393</v>
      </c>
      <c r="Q7" s="206" t="s">
        <v>394</v>
      </c>
      <c r="R7" s="206" t="s">
        <v>395</v>
      </c>
    </row>
    <row r="8" spans="1:21">
      <c r="A8" s="207">
        <v>100</v>
      </c>
      <c r="B8" s="208" t="s">
        <v>0</v>
      </c>
      <c r="E8" s="21"/>
      <c r="F8" s="22"/>
      <c r="G8" s="21"/>
      <c r="H8" s="21"/>
      <c r="I8" s="21"/>
      <c r="J8" s="209"/>
      <c r="K8" s="209"/>
      <c r="L8" s="209"/>
      <c r="M8" s="206"/>
      <c r="N8" s="206"/>
      <c r="O8" s="206"/>
      <c r="P8" s="206"/>
      <c r="Q8" s="206"/>
      <c r="R8" s="206"/>
      <c r="S8" s="815"/>
      <c r="T8" s="815"/>
      <c r="U8" s="815"/>
    </row>
    <row r="9" spans="1:21">
      <c r="A9" s="210">
        <v>101</v>
      </c>
      <c r="B9" s="211" t="s">
        <v>315</v>
      </c>
      <c r="C9" s="15" t="s">
        <v>305</v>
      </c>
      <c r="D9" s="26" t="s">
        <v>306</v>
      </c>
      <c r="E9" s="23"/>
      <c r="F9" s="22" t="s">
        <v>293</v>
      </c>
      <c r="G9" s="212">
        <v>18</v>
      </c>
      <c r="H9" s="212">
        <v>2</v>
      </c>
      <c r="I9" s="212"/>
      <c r="J9" s="213">
        <v>54.071236536464944</v>
      </c>
      <c r="K9" s="213">
        <v>25.915571746397404</v>
      </c>
      <c r="L9" s="213">
        <v>0</v>
      </c>
      <c r="M9" s="149">
        <v>0</v>
      </c>
      <c r="N9" s="149">
        <v>0</v>
      </c>
      <c r="O9" s="149">
        <v>0</v>
      </c>
      <c r="P9" s="214">
        <f t="shared" ref="P9:P40" si="1">O9*M9</f>
        <v>0</v>
      </c>
      <c r="Q9" s="214">
        <f>K9*M9</f>
        <v>0</v>
      </c>
      <c r="R9" s="214">
        <f>L9*M9</f>
        <v>0</v>
      </c>
      <c r="S9" s="819">
        <f>P9*('Total Summary Tab'!$H$9/'Total Summary Tab'!$H$7)</f>
        <v>0</v>
      </c>
      <c r="T9" s="819">
        <f>Q9*('Total Summary Tab'!$H$9/'Total Summary Tab'!$H$7)</f>
        <v>0</v>
      </c>
      <c r="U9" s="819">
        <f>R9*('Total Summary Tab'!$H$9/'Total Summary Tab'!$H$7)</f>
        <v>0</v>
      </c>
    </row>
    <row r="10" spans="1:21" s="22" customFormat="1">
      <c r="A10" s="215">
        <v>102</v>
      </c>
      <c r="B10" s="216" t="s">
        <v>1</v>
      </c>
      <c r="D10" s="26" t="s">
        <v>306</v>
      </c>
      <c r="E10" s="24"/>
      <c r="F10" s="22" t="s">
        <v>298</v>
      </c>
      <c r="G10" s="217">
        <v>18</v>
      </c>
      <c r="H10" s="217">
        <v>2</v>
      </c>
      <c r="I10" s="217"/>
      <c r="J10" s="218">
        <v>38.428873809099208</v>
      </c>
      <c r="K10" s="218">
        <v>20.27610094306732</v>
      </c>
      <c r="L10" s="218">
        <v>0</v>
      </c>
      <c r="M10" s="149">
        <f>'Res Assumptions'!H10</f>
        <v>0.42953686273306985</v>
      </c>
      <c r="N10" s="149">
        <f>M10</f>
        <v>0.42953686273306985</v>
      </c>
      <c r="O10" s="149">
        <v>38.428873809099208</v>
      </c>
      <c r="P10" s="214">
        <f t="shared" si="1"/>
        <v>16.506617894325508</v>
      </c>
      <c r="Q10" s="214">
        <f t="shared" ref="Q10:Q15" si="2">K10*M10</f>
        <v>8.7093327875441755</v>
      </c>
      <c r="R10" s="214">
        <f t="shared" ref="R10:R14" si="3">L10*M10</f>
        <v>0</v>
      </c>
      <c r="S10" s="819">
        <f>P10*('Total Summary Tab'!$H$9/'Total Summary Tab'!$H$7)</f>
        <v>16.236116746003773</v>
      </c>
      <c r="T10" s="819">
        <f>Q10*('Duke Delta'!$H$20/'Duke Delta'!$H$18)</f>
        <v>8.275211981221906</v>
      </c>
      <c r="U10" s="819">
        <f>R10*('Duke Delta'!$H$31/'Duke Delta'!$H$29)</f>
        <v>0</v>
      </c>
    </row>
    <row r="11" spans="1:21" s="22" customFormat="1">
      <c r="A11" s="215">
        <v>103</v>
      </c>
      <c r="B11" s="216" t="s">
        <v>2</v>
      </c>
      <c r="D11" s="26" t="s">
        <v>306</v>
      </c>
      <c r="E11" s="25"/>
      <c r="F11" s="22" t="s">
        <v>299</v>
      </c>
      <c r="G11" s="217">
        <v>18</v>
      </c>
      <c r="H11" s="217">
        <v>2</v>
      </c>
      <c r="I11" s="217"/>
      <c r="J11" s="218">
        <v>51.884864475902049</v>
      </c>
      <c r="K11" s="218">
        <v>29.323707879791755</v>
      </c>
      <c r="L11" s="218">
        <v>0</v>
      </c>
      <c r="M11" s="149">
        <f>'Res Assumptions'!H11</f>
        <v>0.63948078133587838</v>
      </c>
      <c r="N11" s="149">
        <f>M11</f>
        <v>0.63948078133587838</v>
      </c>
      <c r="O11" s="149">
        <v>51.884864475902049</v>
      </c>
      <c r="P11" s="214">
        <f t="shared" si="1"/>
        <v>33.179373674556004</v>
      </c>
      <c r="Q11" s="214">
        <f t="shared" si="2"/>
        <v>18.751947626634283</v>
      </c>
      <c r="R11" s="214">
        <f t="shared" si="3"/>
        <v>0</v>
      </c>
      <c r="S11" s="819">
        <f>P11*('Total Summary Tab'!$H$9/'Total Summary Tab'!$H$7)</f>
        <v>32.635648803899812</v>
      </c>
      <c r="T11" s="819">
        <f>Q11*('Duke Delta'!$H$20/'Duke Delta'!$H$18)</f>
        <v>17.817247940404602</v>
      </c>
      <c r="U11" s="819">
        <f>R11*('Duke Delta'!$H$31/'Duke Delta'!$H$29)</f>
        <v>0</v>
      </c>
    </row>
    <row r="12" spans="1:21" s="22" customFormat="1">
      <c r="A12" s="215">
        <v>104</v>
      </c>
      <c r="B12" s="216" t="s">
        <v>3</v>
      </c>
      <c r="D12" s="26" t="s">
        <v>306</v>
      </c>
      <c r="G12" s="217">
        <v>18</v>
      </c>
      <c r="H12" s="217">
        <v>2</v>
      </c>
      <c r="I12" s="217"/>
      <c r="J12" s="218">
        <v>38.619650674864062</v>
      </c>
      <c r="K12" s="218">
        <v>21.815769299096814</v>
      </c>
      <c r="L12" s="218">
        <v>0</v>
      </c>
      <c r="M12" s="149">
        <f>'Res Assumptions'!H12</f>
        <v>0.71759641494550863</v>
      </c>
      <c r="N12" s="149">
        <f>M12</f>
        <v>0.71759641494550863</v>
      </c>
      <c r="O12" s="149">
        <v>38.619650674864062</v>
      </c>
      <c r="P12" s="214">
        <f t="shared" si="1"/>
        <v>27.713322870730345</v>
      </c>
      <c r="Q12" s="214">
        <f t="shared" si="2"/>
        <v>15.654917838310165</v>
      </c>
      <c r="R12" s="214">
        <f t="shared" si="3"/>
        <v>0</v>
      </c>
      <c r="S12" s="819">
        <f>P12*('Total Summary Tab'!$H$9/'Total Summary Tab'!$H$7)</f>
        <v>27.259172559119836</v>
      </c>
      <c r="T12" s="819">
        <f>Q12*('Duke Delta'!$H$20/'Duke Delta'!$H$18)</f>
        <v>14.874591064645518</v>
      </c>
      <c r="U12" s="819">
        <f>R12*('Duke Delta'!$H$31/'Duke Delta'!$H$29)</f>
        <v>0</v>
      </c>
    </row>
    <row r="13" spans="1:21" s="22" customFormat="1">
      <c r="A13" s="215">
        <v>105</v>
      </c>
      <c r="B13" s="216" t="s">
        <v>4</v>
      </c>
      <c r="D13" s="26" t="s">
        <v>306</v>
      </c>
      <c r="G13" s="217">
        <v>15</v>
      </c>
      <c r="H13" s="217">
        <v>2</v>
      </c>
      <c r="I13" s="217"/>
      <c r="J13" s="218">
        <v>171.36798488108113</v>
      </c>
      <c r="K13" s="218">
        <v>26.203316237055123</v>
      </c>
      <c r="L13" s="218">
        <v>124.72778528838239</v>
      </c>
      <c r="M13" s="149">
        <f>'Res Assumptions'!H13</f>
        <v>0.68165286194345842</v>
      </c>
      <c r="N13" s="149">
        <v>0.68</v>
      </c>
      <c r="O13" s="149">
        <v>171.36798488108113</v>
      </c>
      <c r="P13" s="214">
        <f t="shared" si="1"/>
        <v>116.81347733967226</v>
      </c>
      <c r="Q13" s="214">
        <f>K13*M13</f>
        <v>17.861565505398119</v>
      </c>
      <c r="R13" s="214">
        <f t="shared" si="3"/>
        <v>85.021051805695052</v>
      </c>
      <c r="S13" s="819">
        <f>P13*('Total Summary Tab'!$H$9/'Total Summary Tab'!$H$7)</f>
        <v>114.89920392750957</v>
      </c>
      <c r="T13" s="819">
        <f>Q13*('Duke Delta'!$H$20/'Duke Delta'!$H$18)</f>
        <v>16.971247336540099</v>
      </c>
      <c r="U13" s="819">
        <f>R13*('Duke Delta'!$H$31/'Duke Delta'!$H$29)</f>
        <v>73.175792583125542</v>
      </c>
    </row>
    <row r="14" spans="1:21" s="22" customFormat="1">
      <c r="A14" s="215">
        <v>106</v>
      </c>
      <c r="B14" s="216" t="s">
        <v>5</v>
      </c>
      <c r="D14" s="26" t="s">
        <v>306</v>
      </c>
      <c r="G14" s="217">
        <v>15</v>
      </c>
      <c r="H14" s="217">
        <v>2</v>
      </c>
      <c r="I14" s="217"/>
      <c r="J14" s="218">
        <v>62.946489971781332</v>
      </c>
      <c r="K14" s="218">
        <v>14.67636307471858</v>
      </c>
      <c r="L14" s="218">
        <v>38.745598517257051</v>
      </c>
      <c r="M14" s="149">
        <f>'Res Assumptions'!H14</f>
        <v>0.74783011750030726</v>
      </c>
      <c r="N14" s="149">
        <v>0.75</v>
      </c>
      <c r="O14" s="149">
        <v>62.946489971781332</v>
      </c>
      <c r="P14" s="214">
        <f t="shared" si="1"/>
        <v>47.073280991829144</v>
      </c>
      <c r="Q14" s="214">
        <f t="shared" si="2"/>
        <v>10.975426322643967</v>
      </c>
      <c r="R14" s="214">
        <f t="shared" si="3"/>
        <v>28.975125491780069</v>
      </c>
      <c r="S14" s="819">
        <f>P14*('Total Summary Tab'!$H$9/'Total Summary Tab'!$H$7)</f>
        <v>46.301870600852638</v>
      </c>
      <c r="T14" s="819">
        <f>Q14*('Duke Delta'!$H$20/'Duke Delta'!$H$18)</f>
        <v>10.428351013760246</v>
      </c>
      <c r="U14" s="819">
        <f>R14*('Duke Delta'!$H$31/'Duke Delta'!$H$29)</f>
        <v>24.938267970409971</v>
      </c>
    </row>
    <row r="15" spans="1:21" s="22" customFormat="1">
      <c r="A15" s="215">
        <v>107</v>
      </c>
      <c r="B15" s="216" t="s">
        <v>6</v>
      </c>
      <c r="D15" s="26" t="s">
        <v>306</v>
      </c>
      <c r="G15" s="217">
        <v>15</v>
      </c>
      <c r="H15" s="217">
        <v>2</v>
      </c>
      <c r="I15" s="217"/>
      <c r="J15" s="218">
        <v>82.727743339467935</v>
      </c>
      <c r="K15" s="218">
        <v>25.454434602041275</v>
      </c>
      <c r="L15" s="218">
        <v>43.527083169490574</v>
      </c>
      <c r="M15" s="149">
        <f>'Res Assumptions'!H15</f>
        <v>0.8040747066181938</v>
      </c>
      <c r="N15" s="149">
        <v>0.8</v>
      </c>
      <c r="O15" s="149">
        <v>82.727743339467935</v>
      </c>
      <c r="P15" s="214">
        <f t="shared" si="1"/>
        <v>66.519285954867911</v>
      </c>
      <c r="Q15" s="214">
        <f t="shared" si="2"/>
        <v>20.467267034768337</v>
      </c>
      <c r="R15" s="214">
        <f>L15*M15</f>
        <v>34.999026629453851</v>
      </c>
      <c r="S15" s="819">
        <f>P15*('Total Summary Tab'!$H$9/'Total Summary Tab'!$H$7)</f>
        <v>65.429205397389254</v>
      </c>
      <c r="T15" s="819">
        <f>Q15*('Duke Delta'!$H$20/'Duke Delta'!$H$18)</f>
        <v>19.447066442473339</v>
      </c>
      <c r="U15" s="819">
        <f>R15*('Duke Delta'!$H$31/'Duke Delta'!$H$29)</f>
        <v>30.1229102540537</v>
      </c>
    </row>
    <row r="16" spans="1:21" s="22" customFormat="1">
      <c r="A16" s="215">
        <v>108</v>
      </c>
      <c r="B16" s="216" t="s">
        <v>7</v>
      </c>
      <c r="D16" s="26" t="s">
        <v>306</v>
      </c>
      <c r="G16" s="217"/>
      <c r="H16" s="217"/>
      <c r="I16" s="217"/>
      <c r="J16" s="218"/>
      <c r="K16" s="218"/>
      <c r="L16" s="218"/>
      <c r="M16" s="149"/>
      <c r="N16" s="149"/>
      <c r="O16" s="149"/>
      <c r="P16" s="214"/>
      <c r="Q16" s="214"/>
      <c r="R16" s="214"/>
      <c r="S16" s="819">
        <f>P16*('Total Summary Tab'!$H$9/'Total Summary Tab'!$H$7)</f>
        <v>0</v>
      </c>
      <c r="T16" s="819">
        <f>Q16*('Duke Delta'!$H$20/'Duke Delta'!$H$18)</f>
        <v>0</v>
      </c>
      <c r="U16" s="819">
        <f>R16*('Duke Delta'!$H$31/'Duke Delta'!$H$29)</f>
        <v>0</v>
      </c>
    </row>
    <row r="17" spans="1:21" s="22" customFormat="1">
      <c r="A17" s="207">
        <v>109</v>
      </c>
      <c r="B17" s="208" t="s">
        <v>8</v>
      </c>
      <c r="G17" s="219">
        <v>15</v>
      </c>
      <c r="H17" s="219">
        <v>2</v>
      </c>
      <c r="I17" s="219"/>
      <c r="J17" s="220">
        <v>17.307407999395142</v>
      </c>
      <c r="K17" s="220">
        <v>23.17195994518363</v>
      </c>
      <c r="L17" s="220"/>
      <c r="M17" s="149">
        <v>0</v>
      </c>
      <c r="N17" s="149">
        <v>0</v>
      </c>
      <c r="O17" s="149">
        <v>0</v>
      </c>
      <c r="P17" s="214">
        <f t="shared" si="1"/>
        <v>0</v>
      </c>
      <c r="Q17" s="214">
        <f>K17*M17</f>
        <v>0</v>
      </c>
      <c r="R17" s="214">
        <f>L17*M17</f>
        <v>0</v>
      </c>
      <c r="S17" s="819">
        <f>P17*('Total Summary Tab'!$H$9/'Total Summary Tab'!$H$7)</f>
        <v>0</v>
      </c>
      <c r="T17" s="819">
        <f>Q17*('Duke Delta'!$H$20/'Duke Delta'!$H$18)</f>
        <v>0</v>
      </c>
      <c r="U17" s="819">
        <f>R17*('Duke Delta'!$H$31/'Duke Delta'!$H$29)</f>
        <v>0</v>
      </c>
    </row>
    <row r="18" spans="1:21" s="22" customFormat="1">
      <c r="A18" s="221">
        <v>110</v>
      </c>
      <c r="B18" s="222" t="s">
        <v>9</v>
      </c>
      <c r="D18" s="943" t="s">
        <v>865</v>
      </c>
      <c r="G18" s="223"/>
      <c r="H18" s="223"/>
      <c r="I18" s="223"/>
      <c r="J18" s="224"/>
      <c r="K18" s="224"/>
      <c r="L18" s="224"/>
      <c r="M18" s="149"/>
      <c r="N18" s="149"/>
      <c r="O18" s="149"/>
      <c r="P18" s="214"/>
      <c r="Q18" s="214"/>
      <c r="R18" s="214"/>
      <c r="S18" s="819">
        <f>P18*('Total Summary Tab'!$H$9/'Total Summary Tab'!$H$7)</f>
        <v>0</v>
      </c>
      <c r="T18" s="819">
        <f>Q18*('Duke Delta'!$H$20/'Duke Delta'!$H$18)</f>
        <v>0</v>
      </c>
      <c r="U18" s="819">
        <f>R18*('Duke Delta'!$H$31/'Duke Delta'!$H$29)</f>
        <v>0</v>
      </c>
    </row>
    <row r="19" spans="1:21" s="22" customFormat="1">
      <c r="A19" s="221">
        <v>111</v>
      </c>
      <c r="B19" s="222" t="s">
        <v>10</v>
      </c>
      <c r="D19" s="943"/>
      <c r="G19" s="223">
        <v>40</v>
      </c>
      <c r="H19" s="223">
        <v>1</v>
      </c>
      <c r="I19" s="223"/>
      <c r="J19" s="224">
        <v>156.97729064395273</v>
      </c>
      <c r="K19" s="224">
        <v>57.111615512927884</v>
      </c>
      <c r="L19" s="224">
        <v>145.06350340283683</v>
      </c>
      <c r="M19" s="149">
        <f>1-'Res Assumptions'!$F$9</f>
        <v>0.93523289413415644</v>
      </c>
      <c r="N19" s="149">
        <v>0.93523289413415644</v>
      </c>
      <c r="O19" s="149">
        <v>156.97729064395273</v>
      </c>
      <c r="P19" s="214">
        <f t="shared" si="1"/>
        <v>146.81032584228254</v>
      </c>
      <c r="Q19" s="214">
        <f t="shared" ref="Q19:Q34" si="4">K19*M19</f>
        <v>53.41266146483273</v>
      </c>
      <c r="R19" s="214">
        <f t="shared" ref="R19:R34" si="5">L19*M19</f>
        <v>135.66816012067514</v>
      </c>
      <c r="S19" s="819">
        <f>P19*('Total Summary Tab'!$H$9/'Total Summary Tab'!$H$7)</f>
        <v>144.40448098780891</v>
      </c>
      <c r="T19" s="819">
        <f>Q19*('Duke Delta'!$H$20/'Duke Delta'!$H$18)</f>
        <v>50.750282126648102</v>
      </c>
      <c r="U19" s="819">
        <f>R19*('Duke Delta'!$H$31/'Duke Delta'!$H$29)</f>
        <v>116.76667053958741</v>
      </c>
    </row>
    <row r="20" spans="1:21" s="22" customFormat="1">
      <c r="A20" s="221">
        <v>112</v>
      </c>
      <c r="B20" s="225" t="s">
        <v>11</v>
      </c>
      <c r="D20" s="943"/>
      <c r="G20" s="223">
        <v>4</v>
      </c>
      <c r="H20" s="223">
        <v>1</v>
      </c>
      <c r="I20" s="223"/>
      <c r="J20" s="224">
        <v>180.00050726266824</v>
      </c>
      <c r="K20" s="224">
        <v>71.758885365829371</v>
      </c>
      <c r="L20" s="224">
        <v>0</v>
      </c>
      <c r="M20" s="149">
        <f>1-'Res Assumptions'!$F$9</f>
        <v>0.93523289413415644</v>
      </c>
      <c r="N20" s="149">
        <v>0.93523289413415644</v>
      </c>
      <c r="O20" s="149">
        <v>180.00050726266824</v>
      </c>
      <c r="P20" s="214">
        <f t="shared" si="1"/>
        <v>168.34239535288145</v>
      </c>
      <c r="Q20" s="214">
        <f t="shared" si="4"/>
        <v>67.111270040525767</v>
      </c>
      <c r="R20" s="214">
        <f t="shared" si="5"/>
        <v>0</v>
      </c>
      <c r="S20" s="819">
        <f>P20*('Total Summary Tab'!$H$9/'Total Summary Tab'!$H$7)</f>
        <v>165.58369508213488</v>
      </c>
      <c r="T20" s="819">
        <f>Q20*('Duke Delta'!$H$20/'Duke Delta'!$H$18)</f>
        <v>63.766077087861049</v>
      </c>
      <c r="U20" s="819">
        <f>R20*('Duke Delta'!$H$31/'Duke Delta'!$H$29)</f>
        <v>0</v>
      </c>
    </row>
    <row r="21" spans="1:21" s="22" customFormat="1">
      <c r="A21" s="221">
        <v>113</v>
      </c>
      <c r="B21" s="222" t="s">
        <v>12</v>
      </c>
      <c r="D21" s="943"/>
      <c r="G21" s="223">
        <v>4</v>
      </c>
      <c r="H21" s="223">
        <v>1</v>
      </c>
      <c r="I21" s="223"/>
      <c r="J21" s="224">
        <v>168.48097940424742</v>
      </c>
      <c r="K21" s="224">
        <v>67.209339338212658</v>
      </c>
      <c r="L21" s="224">
        <v>0</v>
      </c>
      <c r="M21" s="149">
        <f>1-'Res Assumptions'!$F$9</f>
        <v>0.93523289413415644</v>
      </c>
      <c r="N21" s="149">
        <v>0.93523289413415644</v>
      </c>
      <c r="O21" s="149">
        <v>168.48097940424742</v>
      </c>
      <c r="P21" s="214">
        <f t="shared" si="1"/>
        <v>157.56895397479153</v>
      </c>
      <c r="Q21" s="214">
        <f t="shared" si="4"/>
        <v>62.856384942121238</v>
      </c>
      <c r="R21" s="214">
        <f t="shared" si="5"/>
        <v>0</v>
      </c>
      <c r="S21" s="819">
        <f>P21*('Total Summary Tab'!$H$9/'Total Summary Tab'!$H$7)</f>
        <v>154.98680278774017</v>
      </c>
      <c r="T21" s="819">
        <f>Q21*('Duke Delta'!$H$20/'Duke Delta'!$H$18)</f>
        <v>59.723278746822096</v>
      </c>
      <c r="U21" s="819">
        <f>R21*('Duke Delta'!$H$31/'Duke Delta'!$H$29)</f>
        <v>0</v>
      </c>
    </row>
    <row r="22" spans="1:21" s="22" customFormat="1">
      <c r="A22" s="221">
        <v>114</v>
      </c>
      <c r="B22" s="222" t="s">
        <v>13</v>
      </c>
      <c r="D22" s="943"/>
      <c r="G22" s="223">
        <v>10</v>
      </c>
      <c r="H22" s="223">
        <v>1</v>
      </c>
      <c r="I22" s="223"/>
      <c r="J22" s="224">
        <v>185.59163829448011</v>
      </c>
      <c r="K22" s="224">
        <v>73.138656870165164</v>
      </c>
      <c r="L22" s="224">
        <v>0</v>
      </c>
      <c r="M22" s="149">
        <f>1-'Res Assumptions'!$F$9</f>
        <v>0.93523289413415644</v>
      </c>
      <c r="N22" s="149">
        <v>0.93523289413415644</v>
      </c>
      <c r="O22" s="149">
        <v>185.59163829448011</v>
      </c>
      <c r="P22" s="214">
        <f t="shared" si="1"/>
        <v>173.57140500924618</v>
      </c>
      <c r="Q22" s="214">
        <f t="shared" si="4"/>
        <v>68.401677737769575</v>
      </c>
      <c r="R22" s="214">
        <f t="shared" si="5"/>
        <v>0</v>
      </c>
      <c r="S22" s="819">
        <f>P22*('Total Summary Tab'!$H$9/'Total Summary Tab'!$H$7)</f>
        <v>170.72701467614479</v>
      </c>
      <c r="T22" s="819">
        <f>Q22*('Duke Delta'!$H$20/'Duke Delta'!$H$18)</f>
        <v>64.992163803959997</v>
      </c>
      <c r="U22" s="819">
        <f>R22*('Duke Delta'!$H$31/'Duke Delta'!$H$29)</f>
        <v>0</v>
      </c>
    </row>
    <row r="23" spans="1:21" s="22" customFormat="1">
      <c r="A23" s="221">
        <v>115</v>
      </c>
      <c r="B23" s="222" t="s">
        <v>14</v>
      </c>
      <c r="D23" s="943"/>
      <c r="G23" s="223">
        <v>15</v>
      </c>
      <c r="H23" s="223">
        <v>2</v>
      </c>
      <c r="I23" s="223"/>
      <c r="J23" s="224">
        <v>113.17543689876835</v>
      </c>
      <c r="K23" s="224">
        <v>38.376008347153608</v>
      </c>
      <c r="L23" s="224">
        <v>0</v>
      </c>
      <c r="M23" s="149">
        <f>1-'Res Assumptions'!$F$9</f>
        <v>0.93523289413415644</v>
      </c>
      <c r="N23" s="149">
        <v>0.93523289413415644</v>
      </c>
      <c r="O23" s="149">
        <v>113.17543689876835</v>
      </c>
      <c r="P23" s="214">
        <f t="shared" si="1"/>
        <v>105.84539139573273</v>
      </c>
      <c r="Q23" s="214">
        <f t="shared" si="4"/>
        <v>35.890505351825013</v>
      </c>
      <c r="R23" s="214">
        <f t="shared" si="5"/>
        <v>0</v>
      </c>
      <c r="S23" s="819">
        <f>P23*('Total Summary Tab'!$H$9/'Total Summary Tab'!$H$7)</f>
        <v>104.11085679267806</v>
      </c>
      <c r="T23" s="819">
        <f>Q23*('Duke Delta'!$H$20/'Duke Delta'!$H$18)</f>
        <v>34.101526161027394</v>
      </c>
      <c r="U23" s="819">
        <f>R23*('Duke Delta'!$H$31/'Duke Delta'!$H$29)</f>
        <v>0</v>
      </c>
    </row>
    <row r="24" spans="1:21" s="22" customFormat="1">
      <c r="A24" s="221">
        <v>116</v>
      </c>
      <c r="B24" s="222" t="s">
        <v>15</v>
      </c>
      <c r="D24" s="943"/>
      <c r="G24" s="223">
        <v>18</v>
      </c>
      <c r="H24" s="223">
        <v>1</v>
      </c>
      <c r="I24" s="223"/>
      <c r="J24" s="224">
        <v>219.82565617235045</v>
      </c>
      <c r="K24" s="224">
        <v>101.07144121916541</v>
      </c>
      <c r="L24" s="224">
        <v>124.31787269957346</v>
      </c>
      <c r="M24" s="149">
        <f>1-'Res Assumptions'!$F$9</f>
        <v>0.93523289413415644</v>
      </c>
      <c r="N24" s="149">
        <v>0.93523289413415644</v>
      </c>
      <c r="O24" s="149">
        <v>219.82565617235045</v>
      </c>
      <c r="P24" s="214">
        <f t="shared" si="1"/>
        <v>205.58818462700731</v>
      </c>
      <c r="Q24" s="214">
        <f t="shared" si="4"/>
        <v>94.525336485710341</v>
      </c>
      <c r="R24" s="214">
        <f t="shared" si="5"/>
        <v>116.26616387742372</v>
      </c>
      <c r="S24" s="819">
        <f>P24*('Total Summary Tab'!$H$9/'Total Summary Tab'!$H$7)</f>
        <v>202.21912135923131</v>
      </c>
      <c r="T24" s="819">
        <f>Q24*('Duke Delta'!$H$20/'Duke Delta'!$H$18)</f>
        <v>89.813676443077924</v>
      </c>
      <c r="U24" s="819">
        <f>R24*('Duke Delta'!$H$31/'Duke Delta'!$H$29)</f>
        <v>100.06778923146831</v>
      </c>
    </row>
    <row r="25" spans="1:21" s="22" customFormat="1">
      <c r="A25" s="221">
        <v>117</v>
      </c>
      <c r="B25" s="222" t="s">
        <v>16</v>
      </c>
      <c r="D25" s="943"/>
      <c r="G25" s="223">
        <v>15</v>
      </c>
      <c r="H25" s="223">
        <v>2</v>
      </c>
      <c r="I25" s="223"/>
      <c r="J25" s="224">
        <v>225.44089938647139</v>
      </c>
      <c r="K25" s="224">
        <v>91.48593256976713</v>
      </c>
      <c r="L25" s="224">
        <v>0</v>
      </c>
      <c r="M25" s="149">
        <f>1-'Res Assumptions'!$F$9</f>
        <v>0.93523289413415644</v>
      </c>
      <c r="N25" s="149">
        <v>0.93523289413415644</v>
      </c>
      <c r="O25" s="149">
        <v>225.44089938647139</v>
      </c>
      <c r="P25" s="214">
        <f t="shared" si="1"/>
        <v>210.83974478941681</v>
      </c>
      <c r="Q25" s="214">
        <f t="shared" si="4"/>
        <v>85.560653489785594</v>
      </c>
      <c r="R25" s="214">
        <f t="shared" si="5"/>
        <v>0</v>
      </c>
      <c r="S25" s="819">
        <f>P25*('Total Summary Tab'!$H$9/'Total Summary Tab'!$H$7)</f>
        <v>207.38462191430594</v>
      </c>
      <c r="T25" s="819">
        <f>Q25*('Duke Delta'!$H$20/'Duke Delta'!$H$18)</f>
        <v>81.295842305217278</v>
      </c>
      <c r="U25" s="819">
        <f>R25*('Duke Delta'!$H$31/'Duke Delta'!$H$29)</f>
        <v>0</v>
      </c>
    </row>
    <row r="26" spans="1:21" s="22" customFormat="1">
      <c r="A26" s="221">
        <v>118</v>
      </c>
      <c r="B26" s="222" t="s">
        <v>17</v>
      </c>
      <c r="D26" s="943"/>
      <c r="G26" s="223">
        <v>10</v>
      </c>
      <c r="H26" s="223">
        <v>1</v>
      </c>
      <c r="I26" s="223"/>
      <c r="J26" s="224">
        <v>162.07678509208603</v>
      </c>
      <c r="K26" s="224">
        <v>91.956075570543305</v>
      </c>
      <c r="L26" s="224">
        <v>44.138916273860787</v>
      </c>
      <c r="M26" s="149">
        <f>1-'Res Assumptions'!$F$9</f>
        <v>0.93523289413415644</v>
      </c>
      <c r="N26" s="149">
        <v>0.93523289413415644</v>
      </c>
      <c r="O26" s="149">
        <v>162.07678509208603</v>
      </c>
      <c r="P26" s="214">
        <f t="shared" si="1"/>
        <v>151.57954079363131</v>
      </c>
      <c r="Q26" s="214">
        <f>K26*M26</f>
        <v>86.000346689058418</v>
      </c>
      <c r="R26" s="214">
        <f t="shared" si="5"/>
        <v>41.280166410748038</v>
      </c>
      <c r="S26" s="819">
        <f>P26*('Total Summary Tab'!$H$9/'Total Summary Tab'!$H$7)</f>
        <v>149.09554073321593</v>
      </c>
      <c r="T26" s="819">
        <f>Q26*('Duke Delta'!$H$20/'Duke Delta'!$H$18)</f>
        <v>81.71361878929973</v>
      </c>
      <c r="U26" s="819">
        <f>R26*('Duke Delta'!$H$31/'Duke Delta'!$H$29)</f>
        <v>35.528952311402307</v>
      </c>
    </row>
    <row r="27" spans="1:21" s="22" customFormat="1">
      <c r="A27" s="221">
        <v>119</v>
      </c>
      <c r="B27" s="222" t="s">
        <v>18</v>
      </c>
      <c r="D27" s="943"/>
      <c r="G27" s="223">
        <v>10</v>
      </c>
      <c r="H27" s="223">
        <v>1</v>
      </c>
      <c r="I27" s="223"/>
      <c r="J27" s="224">
        <v>55.571283733961309</v>
      </c>
      <c r="K27" s="224">
        <v>19.003192578630483</v>
      </c>
      <c r="L27" s="224">
        <v>-6.8411493283069733</v>
      </c>
      <c r="M27" s="149">
        <f>1-'Res Assumptions'!$F$9</f>
        <v>0.93523289413415644</v>
      </c>
      <c r="N27" s="149">
        <v>0.93523289413415644</v>
      </c>
      <c r="O27" s="149">
        <v>55.571283733961309</v>
      </c>
      <c r="P27" s="214">
        <f t="shared" si="1"/>
        <v>51.972092517263007</v>
      </c>
      <c r="Q27" s="214">
        <f t="shared" si="4"/>
        <v>17.772410793101308</v>
      </c>
      <c r="R27" s="214">
        <f t="shared" si="5"/>
        <v>-6.398067885516471</v>
      </c>
      <c r="S27" s="819">
        <f>P27*('Total Summary Tab'!$H$9/'Total Summary Tab'!$H$7)</f>
        <v>51.120403164749675</v>
      </c>
      <c r="T27" s="819">
        <f>Q27*('Duke Delta'!$H$20/'Duke Delta'!$H$18)</f>
        <v>16.886536582986611</v>
      </c>
      <c r="U27" s="819">
        <f>R27*('Duke Delta'!$H$31/'Duke Delta'!$H$29)</f>
        <v>-5.5066795644128819</v>
      </c>
    </row>
    <row r="28" spans="1:21" s="22" customFormat="1">
      <c r="A28" s="221">
        <v>120</v>
      </c>
      <c r="B28" s="222" t="s">
        <v>19</v>
      </c>
      <c r="D28" s="943"/>
      <c r="G28" s="223">
        <v>40</v>
      </c>
      <c r="H28" s="223">
        <v>2</v>
      </c>
      <c r="I28" s="223"/>
      <c r="J28" s="224">
        <v>17.382874966154251</v>
      </c>
      <c r="K28" s="224">
        <v>8.0637104674405435</v>
      </c>
      <c r="L28" s="224">
        <v>0</v>
      </c>
      <c r="M28" s="149">
        <f>1-'Res Assumptions'!$F$9</f>
        <v>0.93523289413415644</v>
      </c>
      <c r="N28" s="149">
        <v>0.93523289413415644</v>
      </c>
      <c r="O28" s="149">
        <v>17.382874966154251</v>
      </c>
      <c r="P28" s="214">
        <f t="shared" si="1"/>
        <v>16.257036462968617</v>
      </c>
      <c r="Q28" s="214">
        <f t="shared" si="4"/>
        <v>7.5414472779243109</v>
      </c>
      <c r="R28" s="214">
        <f t="shared" si="5"/>
        <v>0</v>
      </c>
      <c r="S28" s="819">
        <f>P28*('Total Summary Tab'!$H$9/'Total Summary Tab'!$H$7)</f>
        <v>15.990625314440544</v>
      </c>
      <c r="T28" s="819">
        <f>Q28*('Duke Delta'!$H$20/'Duke Delta'!$H$18)</f>
        <v>7.1655402764360208</v>
      </c>
      <c r="U28" s="819">
        <f>R28*('Duke Delta'!$H$31/'Duke Delta'!$H$29)</f>
        <v>0</v>
      </c>
    </row>
    <row r="29" spans="1:21" s="22" customFormat="1">
      <c r="A29" s="221">
        <v>121</v>
      </c>
      <c r="B29" s="222" t="s">
        <v>20</v>
      </c>
      <c r="D29" s="943"/>
      <c r="G29" s="223">
        <v>10</v>
      </c>
      <c r="H29" s="223">
        <v>1</v>
      </c>
      <c r="I29" s="223"/>
      <c r="J29" s="224">
        <v>161.27133165198683</v>
      </c>
      <c r="K29" s="224">
        <v>120.8575079707886</v>
      </c>
      <c r="L29" s="224">
        <v>-16.920051115910407</v>
      </c>
      <c r="M29" s="149">
        <f>1-'Res Assumptions'!$F$9</f>
        <v>0.93523289413415644</v>
      </c>
      <c r="N29" s="149">
        <v>0.93523289413415644</v>
      </c>
      <c r="O29" s="149">
        <v>161.27133165198683</v>
      </c>
      <c r="P29" s="214">
        <f t="shared" si="1"/>
        <v>150.82625424175703</v>
      </c>
      <c r="Q29" s="214">
        <f t="shared" si="4"/>
        <v>113.0299169573625</v>
      </c>
      <c r="R29" s="214">
        <f t="shared" si="5"/>
        <v>-15.824188374030754</v>
      </c>
      <c r="S29" s="819">
        <f>P29*('Total Summary Tab'!$H$9/'Total Summary Tab'!$H$7)</f>
        <v>148.35459861668278</v>
      </c>
      <c r="T29" s="819">
        <f>Q29*('Duke Delta'!$H$20/'Duke Delta'!$H$18)</f>
        <v>107.3958873611751</v>
      </c>
      <c r="U29" s="819">
        <f>R29*('Duke Delta'!$H$31/'Duke Delta'!$H$29)</f>
        <v>-13.619538945492286</v>
      </c>
    </row>
    <row r="30" spans="1:21" s="22" customFormat="1">
      <c r="A30" s="221">
        <v>122</v>
      </c>
      <c r="B30" s="222" t="s">
        <v>21</v>
      </c>
      <c r="D30" s="943"/>
      <c r="G30" s="223">
        <v>40</v>
      </c>
      <c r="H30" s="223">
        <v>2</v>
      </c>
      <c r="I30" s="223"/>
      <c r="J30" s="224">
        <v>105.00743245945742</v>
      </c>
      <c r="K30" s="224">
        <v>43.208483981871176</v>
      </c>
      <c r="L30" s="224">
        <v>23.76466619002915</v>
      </c>
      <c r="M30" s="149">
        <f>1-'Res Assumptions'!$F$9</f>
        <v>0.93523289413415644</v>
      </c>
      <c r="N30" s="149">
        <v>0.93523289413415644</v>
      </c>
      <c r="O30" s="149">
        <v>105.00743245945742</v>
      </c>
      <c r="P30" s="214">
        <f t="shared" si="1"/>
        <v>98.20640496465532</v>
      </c>
      <c r="Q30" s="214">
        <f t="shared" si="4"/>
        <v>40.409995525514717</v>
      </c>
      <c r="R30" s="214">
        <f t="shared" si="5"/>
        <v>22.2254975390331</v>
      </c>
      <c r="S30" s="819">
        <f>P30*('Total Summary Tab'!$H$9/'Total Summary Tab'!$H$7)</f>
        <v>96.597053764696867</v>
      </c>
      <c r="T30" s="819">
        <f>Q30*('Duke Delta'!$H$20/'Duke Delta'!$H$18)</f>
        <v>38.395740212397627</v>
      </c>
      <c r="U30" s="819">
        <f>R30*('Duke Delta'!$H$31/'Duke Delta'!$H$29)</f>
        <v>19.129008209518673</v>
      </c>
    </row>
    <row r="31" spans="1:21" s="22" customFormat="1">
      <c r="A31" s="221">
        <v>124</v>
      </c>
      <c r="B31" s="222" t="s">
        <v>22</v>
      </c>
      <c r="D31" s="943"/>
      <c r="G31" s="223">
        <v>20</v>
      </c>
      <c r="H31" s="223">
        <v>1</v>
      </c>
      <c r="I31" s="223"/>
      <c r="J31" s="224">
        <v>22.363363331955153</v>
      </c>
      <c r="K31" s="224">
        <v>8.4087885745265609</v>
      </c>
      <c r="L31" s="224">
        <v>21.358322979297466</v>
      </c>
      <c r="M31" s="149">
        <f>1-'Res Assumptions'!$F$9</f>
        <v>0.93523289413415644</v>
      </c>
      <c r="N31" s="149">
        <v>0.93523289413415644</v>
      </c>
      <c r="O31" s="149">
        <v>22.363363331955153</v>
      </c>
      <c r="P31" s="214">
        <f t="shared" si="1"/>
        <v>20.91495301151809</v>
      </c>
      <c r="Q31" s="214">
        <f t="shared" si="4"/>
        <v>7.8641756747167033</v>
      </c>
      <c r="R31" s="214">
        <f t="shared" si="5"/>
        <v>19.975006213780429</v>
      </c>
      <c r="S31" s="819">
        <f>P31*('Total Summary Tab'!$H$9/'Total Summary Tab'!$H$7)</f>
        <v>20.572210552528013</v>
      </c>
      <c r="T31" s="819">
        <f>Q31*('Duke Delta'!$H$20/'Duke Delta'!$H$18)</f>
        <v>7.4721821238616268</v>
      </c>
      <c r="U31" s="819">
        <f>R31*('Duke Delta'!$H$31/'Duke Delta'!$H$29)</f>
        <v>17.192058678440517</v>
      </c>
    </row>
    <row r="32" spans="1:21" s="22" customFormat="1">
      <c r="A32" s="221">
        <v>125</v>
      </c>
      <c r="B32" s="222" t="s">
        <v>23</v>
      </c>
      <c r="D32" s="943"/>
      <c r="G32" s="223">
        <v>20</v>
      </c>
      <c r="H32" s="223">
        <v>1</v>
      </c>
      <c r="I32" s="223"/>
      <c r="J32" s="224">
        <v>5.4441262415359448</v>
      </c>
      <c r="K32" s="224">
        <v>1.9658825562081612</v>
      </c>
      <c r="L32" s="224">
        <v>0</v>
      </c>
      <c r="M32" s="149">
        <f>1-'Res Assumptions'!$F$9</f>
        <v>0.93523289413415644</v>
      </c>
      <c r="N32" s="149">
        <v>0.93523289413415644</v>
      </c>
      <c r="O32" s="149">
        <v>5.4441262415359448</v>
      </c>
      <c r="P32" s="214">
        <f t="shared" si="1"/>
        <v>5.0915259409033693</v>
      </c>
      <c r="Q32" s="214">
        <f t="shared" si="4"/>
        <v>1.8385580325704121</v>
      </c>
      <c r="R32" s="214">
        <f t="shared" si="5"/>
        <v>0</v>
      </c>
      <c r="S32" s="819">
        <f>P32*('Total Summary Tab'!$H$9/'Total Summary Tab'!$H$7)</f>
        <v>5.0080888841700384</v>
      </c>
      <c r="T32" s="819">
        <f>Q32*('Duke Delta'!$H$20/'Duke Delta'!$H$18)</f>
        <v>1.7469142390629173</v>
      </c>
      <c r="U32" s="819">
        <f>R32*('Duke Delta'!$H$31/'Duke Delta'!$H$29)</f>
        <v>0</v>
      </c>
    </row>
    <row r="33" spans="1:21" s="22" customFormat="1">
      <c r="A33" s="221">
        <v>126</v>
      </c>
      <c r="B33" s="222" t="s">
        <v>24</v>
      </c>
      <c r="D33" s="943"/>
      <c r="G33" s="223">
        <v>20</v>
      </c>
      <c r="H33" s="223">
        <v>1</v>
      </c>
      <c r="I33" s="223"/>
      <c r="J33" s="224">
        <v>11.026089860861337</v>
      </c>
      <c r="K33" s="224">
        <v>3.9550388991958934</v>
      </c>
      <c r="L33" s="224">
        <v>9.7531259254170735</v>
      </c>
      <c r="M33" s="149">
        <f>1-'Res Assumptions'!$F$9</f>
        <v>0.93523289413415644</v>
      </c>
      <c r="N33" s="149">
        <v>0.93523289413415644</v>
      </c>
      <c r="O33" s="149">
        <v>11.026089860861337</v>
      </c>
      <c r="P33" s="214">
        <f t="shared" si="1"/>
        <v>10.311961931556626</v>
      </c>
      <c r="Q33" s="214">
        <f>K33*M33</f>
        <v>3.6988824761081434</v>
      </c>
      <c r="R33" s="214">
        <f t="shared" si="5"/>
        <v>9.121444186082682</v>
      </c>
      <c r="S33" s="819">
        <f>P33*('Total Summary Tab'!$H$9/'Total Summary Tab'!$H$7)</f>
        <v>10.142975312868677</v>
      </c>
      <c r="T33" s="819">
        <f>Q33*('Duke Delta'!$H$20/'Duke Delta'!$H$18)</f>
        <v>3.5145099320579392</v>
      </c>
      <c r="U33" s="819">
        <f>R33*('Duke Delta'!$H$31/'Duke Delta'!$H$29)</f>
        <v>7.8506310336498677</v>
      </c>
    </row>
    <row r="34" spans="1:21" s="22" customFormat="1">
      <c r="A34" s="221">
        <v>127</v>
      </c>
      <c r="B34" s="222" t="s">
        <v>25</v>
      </c>
      <c r="D34" s="943"/>
      <c r="G34" s="223">
        <v>5</v>
      </c>
      <c r="H34" s="223">
        <v>1</v>
      </c>
      <c r="I34" s="223"/>
      <c r="J34" s="224">
        <v>21.998990495878978</v>
      </c>
      <c r="K34" s="224">
        <v>0.68960931410225734</v>
      </c>
      <c r="L34" s="224">
        <v>1.2538351165495587</v>
      </c>
      <c r="M34" s="149">
        <f>1-'Res Assumptions'!$F$9</f>
        <v>0.93523289413415644</v>
      </c>
      <c r="N34" s="149">
        <v>0.93523289413415644</v>
      </c>
      <c r="O34" s="149">
        <v>21.998990495878978</v>
      </c>
      <c r="P34" s="214">
        <f t="shared" si="1"/>
        <v>20.574179549490697</v>
      </c>
      <c r="Q34" s="214">
        <f t="shared" si="4"/>
        <v>0.64494531464972471</v>
      </c>
      <c r="R34" s="214">
        <f t="shared" si="5"/>
        <v>1.1726278448176812</v>
      </c>
      <c r="S34" s="819">
        <f>P34*('Total Summary Tab'!$H$9/'Total Summary Tab'!$H$7)</f>
        <v>20.237021493882711</v>
      </c>
      <c r="T34" s="819">
        <f>Q34*('Duke Delta'!$H$20/'Duke Delta'!$H$18)</f>
        <v>0.61279771082524659</v>
      </c>
      <c r="U34" s="819">
        <f>R34*('Duke Delta'!$H$31/'Duke Delta'!$H$29)</f>
        <v>1.0092555917289698</v>
      </c>
    </row>
    <row r="35" spans="1:21">
      <c r="A35" s="207">
        <v>130</v>
      </c>
      <c r="B35" s="208" t="s">
        <v>26</v>
      </c>
      <c r="D35" s="19" t="s">
        <v>324</v>
      </c>
      <c r="G35" s="219"/>
      <c r="H35" s="219"/>
      <c r="I35" s="219"/>
      <c r="J35" s="220"/>
      <c r="K35" s="220"/>
      <c r="L35" s="220"/>
      <c r="M35" s="149"/>
      <c r="N35" s="149"/>
      <c r="O35" s="149"/>
      <c r="P35" s="214"/>
      <c r="Q35" s="214"/>
      <c r="R35" s="214"/>
      <c r="S35" s="819">
        <f>P35*('Total Summary Tab'!$H$9/'Total Summary Tab'!$H$7)</f>
        <v>0</v>
      </c>
      <c r="T35" s="819">
        <f>Q35*('Duke Delta'!$H$20/'Duke Delta'!$H$18)</f>
        <v>0</v>
      </c>
      <c r="U35" s="819">
        <f>R35*('Duke Delta'!$H$31/'Duke Delta'!$H$29)</f>
        <v>0</v>
      </c>
    </row>
    <row r="36" spans="1:21">
      <c r="A36" s="215">
        <v>131</v>
      </c>
      <c r="B36" s="216" t="s">
        <v>316</v>
      </c>
      <c r="C36" s="15" t="s">
        <v>305</v>
      </c>
      <c r="D36" s="26" t="s">
        <v>306</v>
      </c>
      <c r="G36" s="212">
        <v>15</v>
      </c>
      <c r="H36" s="212">
        <v>2</v>
      </c>
      <c r="I36" s="212"/>
      <c r="J36" s="213">
        <v>66.884251989609297</v>
      </c>
      <c r="K36" s="213">
        <v>25.298347708487579</v>
      </c>
      <c r="L36" s="213">
        <v>13.408124285498417</v>
      </c>
      <c r="M36" s="149">
        <v>0</v>
      </c>
      <c r="N36" s="149">
        <v>0</v>
      </c>
      <c r="O36" s="149">
        <v>0</v>
      </c>
      <c r="P36" s="214">
        <f t="shared" si="1"/>
        <v>0</v>
      </c>
      <c r="Q36" s="214">
        <f t="shared" ref="Q36:Q38" si="6">K36*M36</f>
        <v>0</v>
      </c>
      <c r="R36" s="214">
        <f t="shared" ref="R36:R38" si="7">L36*M36</f>
        <v>0</v>
      </c>
      <c r="S36" s="819">
        <f>P36*('Total Summary Tab'!$H$9/'Total Summary Tab'!$H$7)</f>
        <v>0</v>
      </c>
      <c r="T36" s="819">
        <f>Q36*('Duke Delta'!$H$20/'Duke Delta'!$H$18)</f>
        <v>0</v>
      </c>
      <c r="U36" s="819">
        <f>R36*('Duke Delta'!$H$31/'Duke Delta'!$H$29)</f>
        <v>0</v>
      </c>
    </row>
    <row r="37" spans="1:21" s="22" customFormat="1">
      <c r="A37" s="215">
        <v>132</v>
      </c>
      <c r="B37" s="216" t="s">
        <v>5</v>
      </c>
      <c r="D37" s="26" t="s">
        <v>306</v>
      </c>
      <c r="G37" s="217">
        <v>15</v>
      </c>
      <c r="H37" s="217">
        <v>2</v>
      </c>
      <c r="I37" s="217"/>
      <c r="J37" s="218">
        <v>141.82112270671533</v>
      </c>
      <c r="K37" s="218">
        <v>58.566828181797973</v>
      </c>
      <c r="L37" s="218">
        <v>29.869082372716964</v>
      </c>
      <c r="M37" s="149">
        <f>'Res Assumptions'!H10</f>
        <v>0.42953686273306985</v>
      </c>
      <c r="N37" s="149">
        <v>0.46428571428571541</v>
      </c>
      <c r="O37" s="149">
        <v>141.82112270671533</v>
      </c>
      <c r="P37" s="214">
        <f t="shared" si="1"/>
        <v>60.917400116724238</v>
      </c>
      <c r="Q37" s="214">
        <f t="shared" si="6"/>
        <v>25.156611637436242</v>
      </c>
      <c r="R37" s="214">
        <f t="shared" si="7"/>
        <v>12.829871935092482</v>
      </c>
      <c r="S37" s="819">
        <f>P37*('Total Summary Tab'!$H$9/'Total Summary Tab'!$H$7)</f>
        <v>59.91912010625564</v>
      </c>
      <c r="T37" s="819">
        <f>Q37*('Duke Delta'!$H$20/'Duke Delta'!$H$18)</f>
        <v>23.902668448584979</v>
      </c>
      <c r="U37" s="819">
        <f>R37*('Duke Delta'!$H$31/'Duke Delta'!$H$29)</f>
        <v>11.042395120398922</v>
      </c>
    </row>
    <row r="38" spans="1:21" s="22" customFormat="1">
      <c r="A38" s="215">
        <v>133</v>
      </c>
      <c r="B38" s="216" t="s">
        <v>6</v>
      </c>
      <c r="D38" s="26" t="s">
        <v>306</v>
      </c>
      <c r="G38" s="217">
        <v>15</v>
      </c>
      <c r="H38" s="217">
        <v>2</v>
      </c>
      <c r="I38" s="217"/>
      <c r="J38" s="218">
        <v>180.39343480094976</v>
      </c>
      <c r="K38" s="218">
        <v>79.256466839269947</v>
      </c>
      <c r="L38" s="218">
        <v>42.005927424813073</v>
      </c>
      <c r="M38" s="149">
        <f>'Res Assumptions'!H11</f>
        <v>0.63948078133587838</v>
      </c>
      <c r="N38" s="149">
        <v>0.69642857142857217</v>
      </c>
      <c r="O38" s="149">
        <v>180.39343480094976</v>
      </c>
      <c r="P38" s="214">
        <f t="shared" si="1"/>
        <v>115.35813463437418</v>
      </c>
      <c r="Q38" s="214">
        <f t="shared" si="6"/>
        <v>50.68298734029748</v>
      </c>
      <c r="R38" s="214">
        <f t="shared" si="7"/>
        <v>26.861983290357667</v>
      </c>
      <c r="S38" s="819">
        <f>P38*('Total Summary Tab'!$H$9/'Total Summary Tab'!$H$7)</f>
        <v>113.46771055800548</v>
      </c>
      <c r="T38" s="819">
        <f>Q38*('Duke Delta'!$H$20/'Duke Delta'!$H$18)</f>
        <v>48.156669898109641</v>
      </c>
      <c r="U38" s="819">
        <f>R38*('Duke Delta'!$H$31/'Duke Delta'!$H$29)</f>
        <v>23.119531879220176</v>
      </c>
    </row>
    <row r="39" spans="1:21" s="22" customFormat="1">
      <c r="A39" s="215">
        <v>134</v>
      </c>
      <c r="B39" s="216" t="s">
        <v>7</v>
      </c>
      <c r="D39" s="26" t="s">
        <v>306</v>
      </c>
      <c r="G39" s="217"/>
      <c r="H39" s="217"/>
      <c r="I39" s="217"/>
      <c r="J39" s="218"/>
      <c r="K39" s="218"/>
      <c r="L39" s="218"/>
      <c r="M39" s="149"/>
      <c r="N39" s="149"/>
      <c r="O39" s="149"/>
      <c r="P39" s="214"/>
      <c r="Q39" s="214"/>
      <c r="R39" s="214"/>
      <c r="S39" s="819">
        <f>P39*('Total Summary Tab'!$H$9/'Total Summary Tab'!$H$7)</f>
        <v>0</v>
      </c>
      <c r="T39" s="819">
        <f>Q39*('Duke Delta'!$H$20/'Duke Delta'!$H$18)</f>
        <v>0</v>
      </c>
      <c r="U39" s="819">
        <f>R39*('Duke Delta'!$H$31/'Duke Delta'!$H$29)</f>
        <v>0</v>
      </c>
    </row>
    <row r="40" spans="1:21" s="22" customFormat="1">
      <c r="A40" s="207">
        <v>135</v>
      </c>
      <c r="B40" s="208" t="s">
        <v>8</v>
      </c>
      <c r="G40" s="219">
        <v>15</v>
      </c>
      <c r="H40" s="219">
        <v>2</v>
      </c>
      <c r="I40" s="219"/>
      <c r="J40" s="220">
        <v>9.0818293523200744</v>
      </c>
      <c r="K40" s="220">
        <v>11.956277414717807</v>
      </c>
      <c r="L40" s="220"/>
      <c r="M40" s="149">
        <v>0</v>
      </c>
      <c r="N40" s="149">
        <v>0</v>
      </c>
      <c r="O40" s="149">
        <v>0</v>
      </c>
      <c r="P40" s="214">
        <f t="shared" si="1"/>
        <v>0</v>
      </c>
      <c r="Q40" s="214">
        <f>K40*M40</f>
        <v>0</v>
      </c>
      <c r="R40" s="214">
        <f>L40*M40</f>
        <v>0</v>
      </c>
      <c r="S40" s="819">
        <f>P40*('Total Summary Tab'!$H$9/'Total Summary Tab'!$H$7)</f>
        <v>0</v>
      </c>
      <c r="T40" s="819">
        <f>Q40*('Duke Delta'!$H$20/'Duke Delta'!$H$18)</f>
        <v>0</v>
      </c>
      <c r="U40" s="819">
        <f>R40*('Duke Delta'!$H$31/'Duke Delta'!$H$29)</f>
        <v>0</v>
      </c>
    </row>
    <row r="41" spans="1:21" s="22" customFormat="1" ht="15" customHeight="1">
      <c r="A41" s="221">
        <v>136</v>
      </c>
      <c r="B41" s="222" t="s">
        <v>9</v>
      </c>
      <c r="D41" s="943" t="s">
        <v>865</v>
      </c>
      <c r="G41" s="223"/>
      <c r="H41" s="223"/>
      <c r="I41" s="223"/>
      <c r="J41" s="224"/>
      <c r="K41" s="224"/>
      <c r="L41" s="224"/>
      <c r="M41" s="149"/>
      <c r="N41" s="149"/>
      <c r="O41" s="149"/>
      <c r="P41" s="214"/>
      <c r="Q41" s="214"/>
      <c r="R41" s="214"/>
      <c r="S41" s="819">
        <f>P41*('Total Summary Tab'!$H$9/'Total Summary Tab'!$H$7)</f>
        <v>0</v>
      </c>
      <c r="T41" s="819">
        <f>Q41*('Duke Delta'!$H$20/'Duke Delta'!$H$18)</f>
        <v>0</v>
      </c>
      <c r="U41" s="819">
        <f>R41*('Duke Delta'!$H$31/'Duke Delta'!$H$29)</f>
        <v>0</v>
      </c>
    </row>
    <row r="42" spans="1:21" s="22" customFormat="1">
      <c r="A42" s="221">
        <v>137</v>
      </c>
      <c r="B42" s="222" t="s">
        <v>27</v>
      </c>
      <c r="D42" s="943"/>
      <c r="G42" s="223">
        <v>40</v>
      </c>
      <c r="H42" s="223">
        <v>1</v>
      </c>
      <c r="I42" s="223"/>
      <c r="J42" s="224">
        <v>66.159806353054563</v>
      </c>
      <c r="K42" s="224">
        <v>23.017593884520053</v>
      </c>
      <c r="L42" s="224">
        <v>99.436005581126636</v>
      </c>
      <c r="M42" s="149">
        <f>1-'Res Assumptions'!$G$18</f>
        <v>0.91900000000000004</v>
      </c>
      <c r="N42" s="149">
        <v>0.93523289413415644</v>
      </c>
      <c r="O42" s="149">
        <v>66.159806353054563</v>
      </c>
      <c r="P42" s="214">
        <f t="shared" ref="P42:P57" si="8">O42*M42</f>
        <v>60.800862038457147</v>
      </c>
      <c r="Q42" s="214">
        <f t="shared" ref="Q42:Q57" si="9">K42*M42</f>
        <v>21.15316877987393</v>
      </c>
      <c r="R42" s="214">
        <f t="shared" ref="R42:R57" si="10">L42*M42</f>
        <v>91.381689129055388</v>
      </c>
      <c r="S42" s="819">
        <f>P42*('Total Summary Tab'!$H$9/'Total Summary Tab'!$H$7)</f>
        <v>59.804491788315964</v>
      </c>
      <c r="T42" s="819">
        <f>Q42*('Duke Delta'!$H$20/'Duke Delta'!$H$18)</f>
        <v>20.098779091134144</v>
      </c>
      <c r="U42" s="819">
        <f>R42*('Duke Delta'!$H$31/'Duke Delta'!$H$29)</f>
        <v>78.650256466898909</v>
      </c>
    </row>
    <row r="43" spans="1:21" s="22" customFormat="1">
      <c r="A43" s="221">
        <v>138</v>
      </c>
      <c r="B43" s="222" t="s">
        <v>11</v>
      </c>
      <c r="D43" s="943"/>
      <c r="G43" s="223">
        <v>4</v>
      </c>
      <c r="H43" s="223">
        <v>1</v>
      </c>
      <c r="I43" s="223"/>
      <c r="J43" s="224">
        <v>93.598036142683341</v>
      </c>
      <c r="K43" s="224">
        <v>36.724864187693079</v>
      </c>
      <c r="L43" s="224">
        <v>0</v>
      </c>
      <c r="M43" s="149">
        <f>1-'Res Assumptions'!$G$18</f>
        <v>0.91900000000000004</v>
      </c>
      <c r="N43" s="149">
        <v>0.93523289413415644</v>
      </c>
      <c r="O43" s="149">
        <v>93.598036142683341</v>
      </c>
      <c r="P43" s="214">
        <f t="shared" si="8"/>
        <v>86.016595215125989</v>
      </c>
      <c r="Q43" s="214">
        <f t="shared" si="9"/>
        <v>33.75015018848994</v>
      </c>
      <c r="R43" s="214">
        <f t="shared" si="10"/>
        <v>0</v>
      </c>
      <c r="S43" s="819">
        <f>P43*('Total Summary Tab'!$H$9/'Total Summary Tab'!$H$7)</f>
        <v>84.607003745245535</v>
      </c>
      <c r="T43" s="819">
        <f>Q43*('Duke Delta'!$H$20/'Duke Delta'!$H$18)</f>
        <v>32.067858011725349</v>
      </c>
      <c r="U43" s="819">
        <f>R43*('Duke Delta'!$H$31/'Duke Delta'!$H$29)</f>
        <v>0</v>
      </c>
    </row>
    <row r="44" spans="1:21" s="22" customFormat="1">
      <c r="A44" s="221">
        <v>139</v>
      </c>
      <c r="B44" s="222" t="s">
        <v>12</v>
      </c>
      <c r="D44" s="943"/>
      <c r="G44" s="223">
        <v>4</v>
      </c>
      <c r="H44" s="223">
        <v>1</v>
      </c>
      <c r="I44" s="223"/>
      <c r="J44" s="224">
        <v>87.629240027344565</v>
      </c>
      <c r="K44" s="224">
        <v>34.399114633623206</v>
      </c>
      <c r="L44" s="224">
        <v>0</v>
      </c>
      <c r="M44" s="149">
        <f>1-'Res Assumptions'!$G$18</f>
        <v>0.91900000000000004</v>
      </c>
      <c r="N44" s="149">
        <v>0.93523289413415644</v>
      </c>
      <c r="O44" s="149">
        <v>87.629240027344565</v>
      </c>
      <c r="P44" s="214">
        <f t="shared" si="8"/>
        <v>80.531271585129659</v>
      </c>
      <c r="Q44" s="214">
        <f t="shared" si="9"/>
        <v>31.612786348299728</v>
      </c>
      <c r="R44" s="214">
        <f t="shared" si="10"/>
        <v>0</v>
      </c>
      <c r="S44" s="819">
        <f>P44*('Total Summary Tab'!$H$9/'Total Summary Tab'!$H$7)</f>
        <v>79.21157050650497</v>
      </c>
      <c r="T44" s="819">
        <f>Q44*('Duke Delta'!$H$20/'Duke Delta'!$H$18)</f>
        <v>30.037032081653173</v>
      </c>
      <c r="U44" s="819">
        <f>R44*('Duke Delta'!$H$31/'Duke Delta'!$H$29)</f>
        <v>0</v>
      </c>
    </row>
    <row r="45" spans="1:21" s="22" customFormat="1">
      <c r="A45" s="221">
        <v>140</v>
      </c>
      <c r="B45" s="222" t="s">
        <v>13</v>
      </c>
      <c r="D45" s="943"/>
      <c r="G45" s="223">
        <v>10</v>
      </c>
      <c r="H45" s="223">
        <v>1</v>
      </c>
      <c r="I45" s="223"/>
      <c r="J45" s="224">
        <v>94.641109898514571</v>
      </c>
      <c r="K45" s="224">
        <v>36.675035273053652</v>
      </c>
      <c r="L45" s="224">
        <v>0</v>
      </c>
      <c r="M45" s="149">
        <f>1-'Res Assumptions'!$G$18</f>
        <v>0.91900000000000004</v>
      </c>
      <c r="N45" s="149">
        <v>0.93523289413415644</v>
      </c>
      <c r="O45" s="149">
        <v>94.641109898514571</v>
      </c>
      <c r="P45" s="214">
        <f t="shared" si="8"/>
        <v>86.975179996734894</v>
      </c>
      <c r="Q45" s="214">
        <f t="shared" si="9"/>
        <v>33.704357415936308</v>
      </c>
      <c r="R45" s="214">
        <f t="shared" si="10"/>
        <v>0</v>
      </c>
      <c r="S45" s="819">
        <f>P45*('Total Summary Tab'!$H$9/'Total Summary Tab'!$H$7)</f>
        <v>85.549879779862835</v>
      </c>
      <c r="T45" s="819">
        <f>Q45*('Duke Delta'!$H$20/'Duke Delta'!$H$18)</f>
        <v>32.024347801548153</v>
      </c>
      <c r="U45" s="819">
        <f>R45*('Duke Delta'!$H$31/'Duke Delta'!$H$29)</f>
        <v>0</v>
      </c>
    </row>
    <row r="46" spans="1:21" s="22" customFormat="1">
      <c r="A46" s="221">
        <v>141</v>
      </c>
      <c r="B46" s="222" t="s">
        <v>14</v>
      </c>
      <c r="D46" s="943"/>
      <c r="G46" s="223">
        <v>15</v>
      </c>
      <c r="H46" s="223">
        <v>2</v>
      </c>
      <c r="I46" s="223"/>
      <c r="J46" s="224">
        <v>121.20673180717149</v>
      </c>
      <c r="K46" s="224">
        <v>38.994168894660113</v>
      </c>
      <c r="L46" s="224">
        <v>70.579445699334812</v>
      </c>
      <c r="M46" s="149">
        <f>1-'Res Assumptions'!$G$18</f>
        <v>0.91900000000000004</v>
      </c>
      <c r="N46" s="149">
        <v>0.93523289413415644</v>
      </c>
      <c r="O46" s="149">
        <v>121.20673180717149</v>
      </c>
      <c r="P46" s="214">
        <f t="shared" si="8"/>
        <v>111.3889865307906</v>
      </c>
      <c r="Q46" s="214">
        <f t="shared" si="9"/>
        <v>35.835641214192648</v>
      </c>
      <c r="R46" s="214">
        <f t="shared" si="10"/>
        <v>64.862510597688697</v>
      </c>
      <c r="S46" s="819">
        <f>P46*('Total Summary Tab'!$H$9/'Total Summary Tab'!$H$7)</f>
        <v>109.56360661590621</v>
      </c>
      <c r="T46" s="819">
        <f>Q46*('Duke Delta'!$H$20/'Duke Delta'!$H$18)</f>
        <v>34.049396752248335</v>
      </c>
      <c r="U46" s="819">
        <f>R46*('Duke Delta'!$H$31/'Duke Delta'!$H$29)</f>
        <v>55.825769278466154</v>
      </c>
    </row>
    <row r="47" spans="1:21" s="22" customFormat="1">
      <c r="A47" s="221">
        <v>142</v>
      </c>
      <c r="B47" s="222" t="s">
        <v>15</v>
      </c>
      <c r="D47" s="943"/>
      <c r="G47" s="223">
        <v>18</v>
      </c>
      <c r="H47" s="223">
        <v>1</v>
      </c>
      <c r="I47" s="223"/>
      <c r="J47" s="224">
        <v>109.04248165177012</v>
      </c>
      <c r="K47" s="224">
        <v>59.589193614400173</v>
      </c>
      <c r="L47" s="224">
        <v>75.678275890288219</v>
      </c>
      <c r="M47" s="149">
        <f>1-'Res Assumptions'!$G$18</f>
        <v>0.91900000000000004</v>
      </c>
      <c r="N47" s="149">
        <v>0.93523289413415644</v>
      </c>
      <c r="O47" s="149">
        <v>109.04248165177012</v>
      </c>
      <c r="P47" s="214">
        <f t="shared" si="8"/>
        <v>100.21004063797675</v>
      </c>
      <c r="Q47" s="214">
        <f t="shared" si="9"/>
        <v>54.762468931633762</v>
      </c>
      <c r="R47" s="214">
        <f t="shared" si="10"/>
        <v>69.548335543174872</v>
      </c>
      <c r="S47" s="819">
        <f>P47*('Total Summary Tab'!$H$9/'Total Summary Tab'!$H$7)</f>
        <v>98.567854986168641</v>
      </c>
      <c r="T47" s="819">
        <f>Q47*('Duke Delta'!$H$20/'Duke Delta'!$H$18)</f>
        <v>52.032807802735434</v>
      </c>
      <c r="U47" s="819">
        <f>R47*('Duke Delta'!$H$31/'Duke Delta'!$H$29)</f>
        <v>59.858758132513287</v>
      </c>
    </row>
    <row r="48" spans="1:21" s="22" customFormat="1">
      <c r="A48" s="221">
        <v>143</v>
      </c>
      <c r="B48" s="222" t="s">
        <v>16</v>
      </c>
      <c r="D48" s="943"/>
      <c r="G48" s="223">
        <v>15</v>
      </c>
      <c r="H48" s="223">
        <v>2</v>
      </c>
      <c r="I48" s="223"/>
      <c r="J48" s="224">
        <v>112.63663613429088</v>
      </c>
      <c r="K48" s="224">
        <v>43.358047187308337</v>
      </c>
      <c r="L48" s="224">
        <v>0</v>
      </c>
      <c r="M48" s="149">
        <f>1-'Res Assumptions'!$G$18</f>
        <v>0.91900000000000004</v>
      </c>
      <c r="N48" s="149">
        <v>0.93523289413415644</v>
      </c>
      <c r="O48" s="149">
        <v>112.63663613429088</v>
      </c>
      <c r="P48" s="214">
        <f t="shared" si="8"/>
        <v>103.51306860741333</v>
      </c>
      <c r="Q48" s="214">
        <f t="shared" si="9"/>
        <v>39.846045365136362</v>
      </c>
      <c r="R48" s="214">
        <f t="shared" si="10"/>
        <v>0</v>
      </c>
      <c r="S48" s="819">
        <f>P48*('Total Summary Tab'!$H$9/'Total Summary Tab'!$H$7)</f>
        <v>101.81675479534906</v>
      </c>
      <c r="T48" s="819">
        <f>Q48*('Duke Delta'!$H$20/'Duke Delta'!$H$18)</f>
        <v>37.85990041412407</v>
      </c>
      <c r="U48" s="819">
        <f>R48*('Duke Delta'!$H$31/'Duke Delta'!$H$29)</f>
        <v>0</v>
      </c>
    </row>
    <row r="49" spans="1:21" s="22" customFormat="1">
      <c r="A49" s="221">
        <v>144</v>
      </c>
      <c r="B49" s="222" t="s">
        <v>17</v>
      </c>
      <c r="D49" s="943"/>
      <c r="G49" s="223">
        <v>10</v>
      </c>
      <c r="H49" s="223">
        <v>1</v>
      </c>
      <c r="I49" s="223"/>
      <c r="J49" s="224">
        <v>82.702709874867566</v>
      </c>
      <c r="K49" s="224">
        <v>46.185266389849929</v>
      </c>
      <c r="L49" s="224">
        <v>22.168927867127966</v>
      </c>
      <c r="M49" s="149">
        <f>1-'Res Assumptions'!$G$18</f>
        <v>0.91900000000000004</v>
      </c>
      <c r="N49" s="149">
        <v>0.93523289413415644</v>
      </c>
      <c r="O49" s="149">
        <v>82.702709874867566</v>
      </c>
      <c r="P49" s="214">
        <f t="shared" si="8"/>
        <v>76.003790375003291</v>
      </c>
      <c r="Q49" s="214">
        <f t="shared" si="9"/>
        <v>42.444259812272087</v>
      </c>
      <c r="R49" s="214">
        <f t="shared" si="10"/>
        <v>20.373244709890603</v>
      </c>
      <c r="S49" s="819">
        <f>P49*('Total Summary Tab'!$H$9/'Total Summary Tab'!$H$7)</f>
        <v>74.758283106048438</v>
      </c>
      <c r="T49" s="819">
        <f>Q49*('Duke Delta'!$H$20/'Duke Delta'!$H$18)</f>
        <v>40.328605634973037</v>
      </c>
      <c r="U49" s="819">
        <f>R49*('Duke Delta'!$H$31/'Duke Delta'!$H$29)</f>
        <v>17.534813995753847</v>
      </c>
    </row>
    <row r="50" spans="1:21" s="22" customFormat="1">
      <c r="A50" s="221">
        <v>145</v>
      </c>
      <c r="B50" s="222" t="s">
        <v>18</v>
      </c>
      <c r="D50" s="943"/>
      <c r="G50" s="223">
        <v>10</v>
      </c>
      <c r="H50" s="223">
        <v>1</v>
      </c>
      <c r="I50" s="223"/>
      <c r="J50" s="224">
        <v>28.881727792597033</v>
      </c>
      <c r="K50" s="224">
        <v>8.0850436349287218</v>
      </c>
      <c r="L50" s="224">
        <v>-2.7489148358757656</v>
      </c>
      <c r="M50" s="149">
        <f>1-'Res Assumptions'!$G$18</f>
        <v>0.91900000000000004</v>
      </c>
      <c r="N50" s="149">
        <v>0.93523289413415644</v>
      </c>
      <c r="O50" s="149">
        <v>28.881727792597033</v>
      </c>
      <c r="P50" s="214">
        <f t="shared" si="8"/>
        <v>26.542307841396674</v>
      </c>
      <c r="Q50" s="214">
        <f t="shared" si="9"/>
        <v>7.4301551004994959</v>
      </c>
      <c r="R50" s="214">
        <f t="shared" si="10"/>
        <v>-2.5262527341698289</v>
      </c>
      <c r="S50" s="819">
        <f>P50*('Total Summary Tab'!$H$9/'Total Summary Tab'!$H$7)</f>
        <v>26.10734746391832</v>
      </c>
      <c r="T50" s="819">
        <f>Q50*('Duke Delta'!$H$20/'Duke Delta'!$H$18)</f>
        <v>7.0597955101596375</v>
      </c>
      <c r="U50" s="819">
        <f>R50*('Duke Delta'!$H$31/'Duke Delta'!$H$29)</f>
        <v>-2.174291450906074</v>
      </c>
    </row>
    <row r="51" spans="1:21" s="22" customFormat="1">
      <c r="A51" s="221">
        <v>146</v>
      </c>
      <c r="B51" s="222" t="s">
        <v>19</v>
      </c>
      <c r="D51" s="943"/>
      <c r="G51" s="223">
        <v>40</v>
      </c>
      <c r="H51" s="223">
        <v>2</v>
      </c>
      <c r="I51" s="223"/>
      <c r="J51" s="224">
        <v>7.9154220224144893</v>
      </c>
      <c r="K51" s="224">
        <v>3.6057063163178724</v>
      </c>
      <c r="L51" s="224">
        <v>0</v>
      </c>
      <c r="M51" s="149">
        <f>1-'Res Assumptions'!$G$18</f>
        <v>0.91900000000000004</v>
      </c>
      <c r="N51" s="149">
        <v>0.93523289413415644</v>
      </c>
      <c r="O51" s="149">
        <v>7.9154220224144893</v>
      </c>
      <c r="P51" s="214">
        <f t="shared" si="8"/>
        <v>7.2742728385989164</v>
      </c>
      <c r="Q51" s="214">
        <f t="shared" si="9"/>
        <v>3.3136441046961247</v>
      </c>
      <c r="R51" s="214">
        <f t="shared" si="10"/>
        <v>0</v>
      </c>
      <c r="S51" s="819">
        <f>P51*('Total Summary Tab'!$H$9/'Total Summary Tab'!$H$7)</f>
        <v>7.1550661562461952</v>
      </c>
      <c r="T51" s="819">
        <f>Q51*('Duke Delta'!$H$20/'Duke Delta'!$H$18)</f>
        <v>3.1484739492218679</v>
      </c>
      <c r="U51" s="819">
        <f>R51*('Duke Delta'!$H$31/'Duke Delta'!$H$29)</f>
        <v>0</v>
      </c>
    </row>
    <row r="52" spans="1:21" s="22" customFormat="1">
      <c r="A52" s="221">
        <v>147</v>
      </c>
      <c r="B52" s="222" t="s">
        <v>20</v>
      </c>
      <c r="D52" s="943"/>
      <c r="G52" s="223">
        <v>10</v>
      </c>
      <c r="H52" s="223">
        <v>1</v>
      </c>
      <c r="I52" s="223"/>
      <c r="J52" s="224">
        <v>74.877090809913696</v>
      </c>
      <c r="K52" s="224">
        <v>55.137112250350135</v>
      </c>
      <c r="L52" s="224">
        <v>-7.71919571504902</v>
      </c>
      <c r="M52" s="149">
        <f>1-'Res Assumptions'!$G$18</f>
        <v>0.91900000000000004</v>
      </c>
      <c r="N52" s="149">
        <v>0.93523289413415644</v>
      </c>
      <c r="O52" s="149">
        <v>74.877090809913696</v>
      </c>
      <c r="P52" s="214">
        <f t="shared" si="8"/>
        <v>68.812046454310689</v>
      </c>
      <c r="Q52" s="214">
        <f t="shared" si="9"/>
        <v>50.671006158071776</v>
      </c>
      <c r="R52" s="214">
        <f t="shared" si="10"/>
        <v>-7.0939408621300499</v>
      </c>
      <c r="S52" s="819">
        <f>P52*('Total Summary Tab'!$H$9/'Total Summary Tab'!$H$7)</f>
        <v>67.6843934303282</v>
      </c>
      <c r="T52" s="819">
        <f>Q52*('Duke Delta'!$H$20/'Duke Delta'!$H$18)</f>
        <v>48.145285923570839</v>
      </c>
      <c r="U52" s="819">
        <f>R52*('Duke Delta'!$H$31/'Duke Delta'!$H$29)</f>
        <v>-6.105602484318073</v>
      </c>
    </row>
    <row r="53" spans="1:21" s="22" customFormat="1">
      <c r="A53" s="221">
        <v>148</v>
      </c>
      <c r="B53" s="222" t="s">
        <v>21</v>
      </c>
      <c r="D53" s="943"/>
      <c r="G53" s="223">
        <v>40</v>
      </c>
      <c r="H53" s="223">
        <v>2</v>
      </c>
      <c r="I53" s="223"/>
      <c r="J53" s="224">
        <v>53.028569642867765</v>
      </c>
      <c r="K53" s="224">
        <v>21.410767656834363</v>
      </c>
      <c r="L53" s="224">
        <v>11.7759222112589</v>
      </c>
      <c r="M53" s="149">
        <f>1-'Res Assumptions'!$G$18</f>
        <v>0.91900000000000004</v>
      </c>
      <c r="N53" s="149">
        <v>0.93523289413415644</v>
      </c>
      <c r="O53" s="149">
        <v>53.028569642867765</v>
      </c>
      <c r="P53" s="214">
        <f t="shared" si="8"/>
        <v>48.733255501795476</v>
      </c>
      <c r="Q53" s="214">
        <f t="shared" si="9"/>
        <v>19.67649547663078</v>
      </c>
      <c r="R53" s="214">
        <f t="shared" si="10"/>
        <v>10.82207251214693</v>
      </c>
      <c r="S53" s="819">
        <f>P53*('Total Summary Tab'!$H$9/'Total Summary Tab'!$H$7)</f>
        <v>47.934642384372808</v>
      </c>
      <c r="T53" s="819">
        <f>Q53*('Duke Delta'!$H$20/'Duke Delta'!$H$18)</f>
        <v>18.695711266142474</v>
      </c>
      <c r="U53" s="819">
        <f>R53*('Duke Delta'!$H$31/'Duke Delta'!$H$29)</f>
        <v>9.3143252953189464</v>
      </c>
    </row>
    <row r="54" spans="1:21" s="22" customFormat="1">
      <c r="A54" s="221">
        <v>150</v>
      </c>
      <c r="B54" s="222" t="s">
        <v>22</v>
      </c>
      <c r="D54" s="943"/>
      <c r="G54" s="223">
        <v>20</v>
      </c>
      <c r="H54" s="223">
        <v>1</v>
      </c>
      <c r="I54" s="223"/>
      <c r="J54" s="224">
        <v>10.121557857785785</v>
      </c>
      <c r="K54" s="224">
        <v>3.5847569455854149</v>
      </c>
      <c r="L54" s="224">
        <v>15.486150004928993</v>
      </c>
      <c r="M54" s="149">
        <f>1-'Res Assumptions'!$G$18</f>
        <v>0.91900000000000004</v>
      </c>
      <c r="N54" s="149">
        <v>0.93523289413415644</v>
      </c>
      <c r="O54" s="149">
        <v>10.121557857785785</v>
      </c>
      <c r="P54" s="214">
        <f t="shared" si="8"/>
        <v>9.3017116713051369</v>
      </c>
      <c r="Q54" s="214">
        <f t="shared" si="9"/>
        <v>3.2943916329929963</v>
      </c>
      <c r="R54" s="214">
        <f t="shared" si="10"/>
        <v>14.231771854529745</v>
      </c>
      <c r="S54" s="819">
        <f>P54*('Total Summary Tab'!$H$9/'Total Summary Tab'!$H$7)</f>
        <v>9.149280464345976</v>
      </c>
      <c r="T54" s="819">
        <f>Q54*('Duke Delta'!$H$20/'Duke Delta'!$H$18)</f>
        <v>3.1301811260639658</v>
      </c>
      <c r="U54" s="819">
        <f>R54*('Duke Delta'!$H$31/'Duke Delta'!$H$29)</f>
        <v>12.248980260764945</v>
      </c>
    </row>
    <row r="55" spans="1:21" s="22" customFormat="1">
      <c r="A55" s="221">
        <v>151</v>
      </c>
      <c r="B55" s="222" t="s">
        <v>23</v>
      </c>
      <c r="D55" s="943"/>
      <c r="G55" s="223">
        <v>20</v>
      </c>
      <c r="H55" s="223">
        <v>1</v>
      </c>
      <c r="I55" s="223"/>
      <c r="J55" s="224">
        <v>2.2074210584924523</v>
      </c>
      <c r="K55" s="224">
        <v>0.75801930624748604</v>
      </c>
      <c r="L55" s="224">
        <v>0</v>
      </c>
      <c r="M55" s="149">
        <f>1-'Res Assumptions'!$G$18</f>
        <v>0.91900000000000004</v>
      </c>
      <c r="N55" s="149">
        <v>0.93523289413415644</v>
      </c>
      <c r="O55" s="149">
        <v>2.2074210584924523</v>
      </c>
      <c r="P55" s="214">
        <f t="shared" si="8"/>
        <v>2.0286199527545636</v>
      </c>
      <c r="Q55" s="214">
        <f t="shared" si="9"/>
        <v>0.69661974244143965</v>
      </c>
      <c r="R55" s="214">
        <f t="shared" si="10"/>
        <v>0</v>
      </c>
      <c r="S55" s="819">
        <f>P55*('Total Summary Tab'!$H$9/'Total Summary Tab'!$H$7)</f>
        <v>1.9953760726186374</v>
      </c>
      <c r="T55" s="819">
        <f>Q55*('Duke Delta'!$H$20/'Duke Delta'!$H$18)</f>
        <v>0.66189640235720304</v>
      </c>
      <c r="U55" s="819">
        <f>R55*('Duke Delta'!$H$31/'Duke Delta'!$H$29)</f>
        <v>0</v>
      </c>
    </row>
    <row r="56" spans="1:21" s="22" customFormat="1">
      <c r="A56" s="221">
        <v>152</v>
      </c>
      <c r="B56" s="222" t="s">
        <v>24</v>
      </c>
      <c r="D56" s="943"/>
      <c r="G56" s="223">
        <v>20</v>
      </c>
      <c r="H56" s="223">
        <v>1</v>
      </c>
      <c r="I56" s="223"/>
      <c r="J56" s="224">
        <v>4.3563377190905381</v>
      </c>
      <c r="K56" s="224">
        <v>1.4887841549820924</v>
      </c>
      <c r="L56" s="224">
        <v>0</v>
      </c>
      <c r="M56" s="149">
        <f>1-'Res Assumptions'!$G$18</f>
        <v>0.91900000000000004</v>
      </c>
      <c r="N56" s="149">
        <v>0.93523289413415644</v>
      </c>
      <c r="O56" s="149">
        <v>4.3563377190905381</v>
      </c>
      <c r="P56" s="214">
        <f t="shared" si="8"/>
        <v>4.0034743638442043</v>
      </c>
      <c r="Q56" s="214">
        <f t="shared" si="9"/>
        <v>1.368192638428543</v>
      </c>
      <c r="R56" s="214">
        <f t="shared" si="10"/>
        <v>0</v>
      </c>
      <c r="S56" s="819">
        <f>P56*('Total Summary Tab'!$H$9/'Total Summary Tab'!$H$7)</f>
        <v>3.9378676829584265</v>
      </c>
      <c r="T56" s="819">
        <f>Q56*('Duke Delta'!$H$20/'Duke Delta'!$H$18)</f>
        <v>1.2999944301515258</v>
      </c>
      <c r="U56" s="819">
        <f>R56*('Duke Delta'!$H$31/'Duke Delta'!$H$29)</f>
        <v>0</v>
      </c>
    </row>
    <row r="57" spans="1:21" s="22" customFormat="1">
      <c r="A57" s="221">
        <v>153</v>
      </c>
      <c r="B57" s="222" t="s">
        <v>25</v>
      </c>
      <c r="D57" s="943"/>
      <c r="G57" s="223">
        <v>5</v>
      </c>
      <c r="H57" s="223">
        <v>1</v>
      </c>
      <c r="I57" s="223"/>
      <c r="J57" s="224">
        <v>10.862673585407205</v>
      </c>
      <c r="K57" s="224">
        <v>0.33500223983082911</v>
      </c>
      <c r="L57" s="224">
        <v>0.18425123190695603</v>
      </c>
      <c r="M57" s="149">
        <f>1-'Res Assumptions'!$G$18</f>
        <v>0.91900000000000004</v>
      </c>
      <c r="N57" s="149">
        <v>0.93523289413415644</v>
      </c>
      <c r="O57" s="149">
        <v>10.862673585407205</v>
      </c>
      <c r="P57" s="214">
        <f t="shared" si="8"/>
        <v>9.9827970249892211</v>
      </c>
      <c r="Q57" s="214">
        <f t="shared" si="9"/>
        <v>0.30786705840453199</v>
      </c>
      <c r="R57" s="214">
        <f t="shared" si="10"/>
        <v>0.16932688212249258</v>
      </c>
      <c r="S57" s="819">
        <f>P57*('Total Summary Tab'!$H$9/'Total Summary Tab'!$H$7)</f>
        <v>9.8192045752208958</v>
      </c>
      <c r="T57" s="819">
        <f>Q57*('Duke Delta'!$H$20/'Duke Delta'!$H$18)</f>
        <v>0.2925212794688844</v>
      </c>
      <c r="U57" s="819">
        <f>R57*('Duke Delta'!$H$31/'Duke Delta'!$H$29)</f>
        <v>0.14573600939753242</v>
      </c>
    </row>
    <row r="58" spans="1:21">
      <c r="A58" s="207">
        <v>160</v>
      </c>
      <c r="B58" s="208" t="s">
        <v>28</v>
      </c>
      <c r="D58" s="19" t="s">
        <v>324</v>
      </c>
      <c r="G58" s="219"/>
      <c r="H58" s="219"/>
      <c r="I58" s="219"/>
      <c r="J58" s="220"/>
      <c r="K58" s="220"/>
      <c r="L58" s="220"/>
      <c r="M58" s="149"/>
      <c r="N58" s="149"/>
      <c r="O58" s="149"/>
      <c r="P58" s="214"/>
      <c r="Q58" s="214"/>
      <c r="R58" s="214"/>
      <c r="S58" s="819">
        <f>P58*('Total Summary Tab'!$H$9/'Total Summary Tab'!$H$7)</f>
        <v>0</v>
      </c>
      <c r="T58" s="819">
        <f>Q58*('Duke Delta'!$H$20/'Duke Delta'!$H$18)</f>
        <v>0</v>
      </c>
      <c r="U58" s="819">
        <f>R58*('Duke Delta'!$H$31/'Duke Delta'!$H$29)</f>
        <v>0</v>
      </c>
    </row>
    <row r="59" spans="1:21">
      <c r="A59" s="215">
        <v>161</v>
      </c>
      <c r="B59" s="216" t="s">
        <v>315</v>
      </c>
      <c r="C59" s="15" t="s">
        <v>305</v>
      </c>
      <c r="D59" s="26" t="s">
        <v>306</v>
      </c>
      <c r="G59" s="212"/>
      <c r="H59" s="212"/>
      <c r="I59" s="212"/>
      <c r="J59" s="213"/>
      <c r="K59" s="213"/>
      <c r="L59" s="213"/>
      <c r="M59" s="149"/>
      <c r="N59" s="149"/>
      <c r="O59" s="149"/>
      <c r="P59" s="214"/>
      <c r="Q59" s="214"/>
      <c r="R59" s="214"/>
      <c r="S59" s="819">
        <f>P59*('Total Summary Tab'!$H$9/'Total Summary Tab'!$H$7)</f>
        <v>0</v>
      </c>
      <c r="T59" s="819">
        <f>Q59*('Duke Delta'!$H$20/'Duke Delta'!$H$18)</f>
        <v>0</v>
      </c>
      <c r="U59" s="819">
        <f>R59*('Duke Delta'!$H$31/'Duke Delta'!$H$29)</f>
        <v>0</v>
      </c>
    </row>
    <row r="60" spans="1:21" s="22" customFormat="1">
      <c r="A60" s="215">
        <v>162</v>
      </c>
      <c r="B60" s="216" t="s">
        <v>1</v>
      </c>
      <c r="D60" s="26" t="s">
        <v>306</v>
      </c>
      <c r="G60" s="217"/>
      <c r="H60" s="217"/>
      <c r="I60" s="217"/>
      <c r="J60" s="218"/>
      <c r="K60" s="218"/>
      <c r="L60" s="218"/>
      <c r="M60" s="149"/>
      <c r="N60" s="149"/>
      <c r="O60" s="149"/>
      <c r="P60" s="214"/>
      <c r="Q60" s="214"/>
      <c r="R60" s="214"/>
      <c r="S60" s="819">
        <f>P60*('Total Summary Tab'!$H$9/'Total Summary Tab'!$H$7)</f>
        <v>0</v>
      </c>
      <c r="T60" s="819">
        <f>Q60*('Duke Delta'!$H$20/'Duke Delta'!$H$18)</f>
        <v>0</v>
      </c>
      <c r="U60" s="819">
        <f>R60*('Duke Delta'!$H$31/'Duke Delta'!$H$29)</f>
        <v>0</v>
      </c>
    </row>
    <row r="61" spans="1:21" s="22" customFormat="1">
      <c r="A61" s="215">
        <v>163</v>
      </c>
      <c r="B61" s="216" t="s">
        <v>2</v>
      </c>
      <c r="D61" s="26" t="s">
        <v>306</v>
      </c>
      <c r="G61" s="217"/>
      <c r="H61" s="217"/>
      <c r="I61" s="217"/>
      <c r="J61" s="218"/>
      <c r="K61" s="218"/>
      <c r="L61" s="218"/>
      <c r="M61" s="149"/>
      <c r="N61" s="149"/>
      <c r="O61" s="149"/>
      <c r="P61" s="214"/>
      <c r="Q61" s="214"/>
      <c r="R61" s="214"/>
      <c r="S61" s="819">
        <f>P61*('Total Summary Tab'!$H$9/'Total Summary Tab'!$H$7)</f>
        <v>0</v>
      </c>
      <c r="T61" s="819">
        <f>Q61*('Duke Delta'!$H$20/'Duke Delta'!$H$18)</f>
        <v>0</v>
      </c>
      <c r="U61" s="819">
        <f>R61*('Duke Delta'!$H$31/'Duke Delta'!$H$29)</f>
        <v>0</v>
      </c>
    </row>
    <row r="62" spans="1:21" s="22" customFormat="1">
      <c r="A62" s="215">
        <v>164</v>
      </c>
      <c r="B62" s="216" t="s">
        <v>3</v>
      </c>
      <c r="D62" s="26" t="s">
        <v>306</v>
      </c>
      <c r="G62" s="217"/>
      <c r="H62" s="217"/>
      <c r="I62" s="217"/>
      <c r="J62" s="218"/>
      <c r="K62" s="218"/>
      <c r="L62" s="218"/>
      <c r="M62" s="149"/>
      <c r="N62" s="149"/>
      <c r="O62" s="149"/>
      <c r="P62" s="214"/>
      <c r="Q62" s="214"/>
      <c r="R62" s="214"/>
      <c r="S62" s="819">
        <f>P62*('Total Summary Tab'!$H$9/'Total Summary Tab'!$H$7)</f>
        <v>0</v>
      </c>
      <c r="T62" s="819">
        <f>Q62*('Duke Delta'!$H$20/'Duke Delta'!$H$18)</f>
        <v>0</v>
      </c>
      <c r="U62" s="819">
        <f>R62*('Duke Delta'!$H$31/'Duke Delta'!$H$29)</f>
        <v>0</v>
      </c>
    </row>
    <row r="63" spans="1:21" s="22" customFormat="1">
      <c r="A63" s="207">
        <v>165</v>
      </c>
      <c r="B63" s="208" t="s">
        <v>8</v>
      </c>
      <c r="G63" s="219"/>
      <c r="H63" s="219"/>
      <c r="I63" s="219"/>
      <c r="J63" s="220"/>
      <c r="K63" s="220"/>
      <c r="L63" s="220"/>
      <c r="M63" s="149"/>
      <c r="N63" s="149"/>
      <c r="O63" s="149"/>
      <c r="P63" s="214"/>
      <c r="Q63" s="214"/>
      <c r="R63" s="214"/>
      <c r="S63" s="819">
        <f>P63*('Total Summary Tab'!$H$9/'Total Summary Tab'!$H$7)</f>
        <v>0</v>
      </c>
      <c r="T63" s="819">
        <f>Q63*('Duke Delta'!$H$20/'Duke Delta'!$H$18)</f>
        <v>0</v>
      </c>
      <c r="U63" s="819">
        <f>R63*('Duke Delta'!$H$31/'Duke Delta'!$H$29)</f>
        <v>0</v>
      </c>
    </row>
    <row r="64" spans="1:21" s="22" customFormat="1" ht="15" customHeight="1">
      <c r="A64" s="221">
        <v>166</v>
      </c>
      <c r="B64" s="222" t="s">
        <v>9</v>
      </c>
      <c r="D64" s="943" t="s">
        <v>865</v>
      </c>
      <c r="G64" s="223"/>
      <c r="H64" s="223"/>
      <c r="I64" s="223"/>
      <c r="J64" s="224"/>
      <c r="K64" s="224"/>
      <c r="L64" s="224"/>
      <c r="M64" s="149"/>
      <c r="N64" s="149"/>
      <c r="O64" s="149"/>
      <c r="P64" s="214"/>
      <c r="Q64" s="214"/>
      <c r="R64" s="214"/>
      <c r="S64" s="819">
        <f>P64*('Total Summary Tab'!$H$9/'Total Summary Tab'!$H$7)</f>
        <v>0</v>
      </c>
      <c r="T64" s="819">
        <f>Q64*('Duke Delta'!$H$20/'Duke Delta'!$H$18)</f>
        <v>0</v>
      </c>
      <c r="U64" s="819">
        <f>R64*('Duke Delta'!$H$31/'Duke Delta'!$H$29)</f>
        <v>0</v>
      </c>
    </row>
    <row r="65" spans="1:21" s="22" customFormat="1">
      <c r="A65" s="221">
        <v>167</v>
      </c>
      <c r="B65" s="222" t="s">
        <v>10</v>
      </c>
      <c r="D65" s="943"/>
      <c r="G65" s="223"/>
      <c r="H65" s="223"/>
      <c r="I65" s="223"/>
      <c r="J65" s="224"/>
      <c r="K65" s="224"/>
      <c r="L65" s="224"/>
      <c r="M65" s="149"/>
      <c r="N65" s="149"/>
      <c r="O65" s="149"/>
      <c r="P65" s="214"/>
      <c r="Q65" s="214"/>
      <c r="R65" s="214"/>
      <c r="S65" s="819">
        <f>P65*('Total Summary Tab'!$H$9/'Total Summary Tab'!$H$7)</f>
        <v>0</v>
      </c>
      <c r="T65" s="819">
        <f>Q65*('Duke Delta'!$H$20/'Duke Delta'!$H$18)</f>
        <v>0</v>
      </c>
      <c r="U65" s="819">
        <f>R65*('Duke Delta'!$H$31/'Duke Delta'!$H$29)</f>
        <v>0</v>
      </c>
    </row>
    <row r="66" spans="1:21" s="22" customFormat="1">
      <c r="A66" s="221">
        <v>168</v>
      </c>
      <c r="B66" s="222" t="s">
        <v>11</v>
      </c>
      <c r="D66" s="943"/>
      <c r="G66" s="223"/>
      <c r="H66" s="223"/>
      <c r="I66" s="223"/>
      <c r="J66" s="224"/>
      <c r="K66" s="224"/>
      <c r="L66" s="224"/>
      <c r="M66" s="149"/>
      <c r="N66" s="149"/>
      <c r="O66" s="149"/>
      <c r="P66" s="214"/>
      <c r="Q66" s="214"/>
      <c r="R66" s="214"/>
      <c r="S66" s="819">
        <f>P66*('Total Summary Tab'!$H$9/'Total Summary Tab'!$H$7)</f>
        <v>0</v>
      </c>
      <c r="T66" s="819">
        <f>Q66*('Duke Delta'!$H$20/'Duke Delta'!$H$18)</f>
        <v>0</v>
      </c>
      <c r="U66" s="819">
        <f>R66*('Duke Delta'!$H$31/'Duke Delta'!$H$29)</f>
        <v>0</v>
      </c>
    </row>
    <row r="67" spans="1:21" s="22" customFormat="1">
      <c r="A67" s="221">
        <v>169</v>
      </c>
      <c r="B67" s="222" t="s">
        <v>12</v>
      </c>
      <c r="D67" s="943"/>
      <c r="G67" s="223"/>
      <c r="H67" s="223"/>
      <c r="I67" s="223"/>
      <c r="J67" s="224"/>
      <c r="K67" s="224"/>
      <c r="L67" s="224"/>
      <c r="M67" s="149"/>
      <c r="N67" s="149"/>
      <c r="O67" s="149"/>
      <c r="P67" s="214"/>
      <c r="Q67" s="214"/>
      <c r="R67" s="214"/>
      <c r="S67" s="819">
        <f>P67*('Total Summary Tab'!$H$9/'Total Summary Tab'!$H$7)</f>
        <v>0</v>
      </c>
      <c r="T67" s="819">
        <f>Q67*('Duke Delta'!$H$20/'Duke Delta'!$H$18)</f>
        <v>0</v>
      </c>
      <c r="U67" s="819">
        <f>R67*('Duke Delta'!$H$31/'Duke Delta'!$H$29)</f>
        <v>0</v>
      </c>
    </row>
    <row r="68" spans="1:21" s="22" customFormat="1">
      <c r="A68" s="221">
        <v>170</v>
      </c>
      <c r="B68" s="222" t="s">
        <v>13</v>
      </c>
      <c r="D68" s="943"/>
      <c r="G68" s="223"/>
      <c r="H68" s="223"/>
      <c r="I68" s="223"/>
      <c r="J68" s="224"/>
      <c r="K68" s="224"/>
      <c r="L68" s="224"/>
      <c r="M68" s="149"/>
      <c r="N68" s="149"/>
      <c r="O68" s="149"/>
      <c r="P68" s="214"/>
      <c r="Q68" s="214"/>
      <c r="R68" s="214"/>
      <c r="S68" s="819">
        <f>P68*('Total Summary Tab'!$H$9/'Total Summary Tab'!$H$7)</f>
        <v>0</v>
      </c>
      <c r="T68" s="819">
        <f>Q68*('Duke Delta'!$H$20/'Duke Delta'!$H$18)</f>
        <v>0</v>
      </c>
      <c r="U68" s="819">
        <f>R68*('Duke Delta'!$H$31/'Duke Delta'!$H$29)</f>
        <v>0</v>
      </c>
    </row>
    <row r="69" spans="1:21" s="22" customFormat="1">
      <c r="A69" s="221">
        <v>171</v>
      </c>
      <c r="B69" s="222" t="s">
        <v>14</v>
      </c>
      <c r="D69" s="943"/>
      <c r="G69" s="223"/>
      <c r="H69" s="223"/>
      <c r="I69" s="223"/>
      <c r="J69" s="224"/>
      <c r="K69" s="224"/>
      <c r="L69" s="224"/>
      <c r="M69" s="149"/>
      <c r="N69" s="149"/>
      <c r="O69" s="149"/>
      <c r="P69" s="214"/>
      <c r="Q69" s="214"/>
      <c r="R69" s="214"/>
      <c r="S69" s="819">
        <f>P69*('Total Summary Tab'!$H$9/'Total Summary Tab'!$H$7)</f>
        <v>0</v>
      </c>
      <c r="T69" s="819">
        <f>Q69*('Duke Delta'!$H$20/'Duke Delta'!$H$18)</f>
        <v>0</v>
      </c>
      <c r="U69" s="819">
        <f>R69*('Duke Delta'!$H$31/'Duke Delta'!$H$29)</f>
        <v>0</v>
      </c>
    </row>
    <row r="70" spans="1:21" s="22" customFormat="1">
      <c r="A70" s="221">
        <v>172</v>
      </c>
      <c r="B70" s="222" t="s">
        <v>15</v>
      </c>
      <c r="D70" s="943"/>
      <c r="G70" s="223"/>
      <c r="H70" s="223"/>
      <c r="I70" s="223"/>
      <c r="J70" s="224"/>
      <c r="K70" s="224"/>
      <c r="L70" s="224"/>
      <c r="M70" s="149"/>
      <c r="N70" s="149"/>
      <c r="O70" s="149"/>
      <c r="P70" s="214"/>
      <c r="Q70" s="214"/>
      <c r="R70" s="214"/>
      <c r="S70" s="819">
        <f>P70*('Total Summary Tab'!$H$9/'Total Summary Tab'!$H$7)</f>
        <v>0</v>
      </c>
      <c r="T70" s="819">
        <f>Q70*('Duke Delta'!$H$20/'Duke Delta'!$H$18)</f>
        <v>0</v>
      </c>
      <c r="U70" s="819">
        <f>R70*('Duke Delta'!$H$31/'Duke Delta'!$H$29)</f>
        <v>0</v>
      </c>
    </row>
    <row r="71" spans="1:21" s="22" customFormat="1">
      <c r="A71" s="221">
        <v>173</v>
      </c>
      <c r="B71" s="222" t="s">
        <v>16</v>
      </c>
      <c r="D71" s="943"/>
      <c r="G71" s="223"/>
      <c r="H71" s="223"/>
      <c r="I71" s="223"/>
      <c r="J71" s="224"/>
      <c r="K71" s="224"/>
      <c r="L71" s="224"/>
      <c r="M71" s="149"/>
      <c r="N71" s="149"/>
      <c r="O71" s="149"/>
      <c r="P71" s="214"/>
      <c r="Q71" s="214"/>
      <c r="R71" s="214"/>
      <c r="S71" s="819">
        <f>P71*('Total Summary Tab'!$H$9/'Total Summary Tab'!$H$7)</f>
        <v>0</v>
      </c>
      <c r="T71" s="819">
        <f>Q71*('Duke Delta'!$H$20/'Duke Delta'!$H$18)</f>
        <v>0</v>
      </c>
      <c r="U71" s="819">
        <f>R71*('Duke Delta'!$H$31/'Duke Delta'!$H$29)</f>
        <v>0</v>
      </c>
    </row>
    <row r="72" spans="1:21" s="22" customFormat="1">
      <c r="A72" s="221">
        <v>174</v>
      </c>
      <c r="B72" s="222" t="s">
        <v>17</v>
      </c>
      <c r="D72" s="943"/>
      <c r="G72" s="223"/>
      <c r="H72" s="223"/>
      <c r="I72" s="223"/>
      <c r="J72" s="224"/>
      <c r="K72" s="224"/>
      <c r="L72" s="224"/>
      <c r="M72" s="149"/>
      <c r="N72" s="149"/>
      <c r="O72" s="149"/>
      <c r="P72" s="214"/>
      <c r="Q72" s="214"/>
      <c r="R72" s="214"/>
      <c r="S72" s="819">
        <f>P72*('Total Summary Tab'!$H$9/'Total Summary Tab'!$H$7)</f>
        <v>0</v>
      </c>
      <c r="T72" s="819">
        <f>Q72*('Duke Delta'!$H$20/'Duke Delta'!$H$18)</f>
        <v>0</v>
      </c>
      <c r="U72" s="819">
        <f>R72*('Duke Delta'!$H$31/'Duke Delta'!$H$29)</f>
        <v>0</v>
      </c>
    </row>
    <row r="73" spans="1:21" s="22" customFormat="1">
      <c r="A73" s="221">
        <v>175</v>
      </c>
      <c r="B73" s="222" t="s">
        <v>18</v>
      </c>
      <c r="D73" s="943"/>
      <c r="G73" s="223"/>
      <c r="H73" s="223"/>
      <c r="I73" s="223"/>
      <c r="J73" s="224"/>
      <c r="K73" s="224"/>
      <c r="L73" s="224"/>
      <c r="M73" s="149"/>
      <c r="N73" s="149"/>
      <c r="O73" s="149"/>
      <c r="P73" s="214"/>
      <c r="Q73" s="214"/>
      <c r="R73" s="214"/>
      <c r="S73" s="819">
        <f>P73*('Total Summary Tab'!$H$9/'Total Summary Tab'!$H$7)</f>
        <v>0</v>
      </c>
      <c r="T73" s="819">
        <f>Q73*('Duke Delta'!$H$20/'Duke Delta'!$H$18)</f>
        <v>0</v>
      </c>
      <c r="U73" s="819">
        <f>R73*('Duke Delta'!$H$31/'Duke Delta'!$H$29)</f>
        <v>0</v>
      </c>
    </row>
    <row r="74" spans="1:21" s="22" customFormat="1">
      <c r="A74" s="221">
        <v>176</v>
      </c>
      <c r="B74" s="222" t="s">
        <v>19</v>
      </c>
      <c r="D74" s="943"/>
      <c r="G74" s="223"/>
      <c r="H74" s="223"/>
      <c r="I74" s="223"/>
      <c r="J74" s="224"/>
      <c r="K74" s="224"/>
      <c r="L74" s="224"/>
      <c r="M74" s="149"/>
      <c r="N74" s="149"/>
      <c r="O74" s="149"/>
      <c r="P74" s="214"/>
      <c r="Q74" s="214"/>
      <c r="R74" s="214"/>
      <c r="S74" s="819">
        <f>P74*('Total Summary Tab'!$H$9/'Total Summary Tab'!$H$7)</f>
        <v>0</v>
      </c>
      <c r="T74" s="819">
        <f>Q74*('Duke Delta'!$H$20/'Duke Delta'!$H$18)</f>
        <v>0</v>
      </c>
      <c r="U74" s="819">
        <f>R74*('Duke Delta'!$H$31/'Duke Delta'!$H$29)</f>
        <v>0</v>
      </c>
    </row>
    <row r="75" spans="1:21" s="22" customFormat="1">
      <c r="A75" s="221">
        <v>177</v>
      </c>
      <c r="B75" s="222" t="s">
        <v>20</v>
      </c>
      <c r="D75" s="943"/>
      <c r="G75" s="223"/>
      <c r="H75" s="223"/>
      <c r="I75" s="223"/>
      <c r="J75" s="224"/>
      <c r="K75" s="224"/>
      <c r="L75" s="224"/>
      <c r="M75" s="149"/>
      <c r="N75" s="149"/>
      <c r="O75" s="149"/>
      <c r="P75" s="214"/>
      <c r="Q75" s="214"/>
      <c r="R75" s="214"/>
      <c r="S75" s="819">
        <f>P75*('Total Summary Tab'!$H$9/'Total Summary Tab'!$H$7)</f>
        <v>0</v>
      </c>
      <c r="T75" s="819">
        <f>Q75*('Duke Delta'!$H$20/'Duke Delta'!$H$18)</f>
        <v>0</v>
      </c>
      <c r="U75" s="819">
        <f>R75*('Duke Delta'!$H$31/'Duke Delta'!$H$29)</f>
        <v>0</v>
      </c>
    </row>
    <row r="76" spans="1:21" s="22" customFormat="1">
      <c r="A76" s="221">
        <v>178</v>
      </c>
      <c r="B76" s="222" t="s">
        <v>21</v>
      </c>
      <c r="D76" s="943"/>
      <c r="G76" s="223"/>
      <c r="H76" s="223"/>
      <c r="I76" s="223"/>
      <c r="J76" s="224"/>
      <c r="K76" s="224"/>
      <c r="L76" s="224"/>
      <c r="M76" s="149"/>
      <c r="N76" s="149"/>
      <c r="O76" s="149"/>
      <c r="P76" s="214"/>
      <c r="Q76" s="214"/>
      <c r="R76" s="214"/>
      <c r="S76" s="819">
        <f>P76*('Total Summary Tab'!$H$9/'Total Summary Tab'!$H$7)</f>
        <v>0</v>
      </c>
      <c r="T76" s="819">
        <f>Q76*('Duke Delta'!$H$20/'Duke Delta'!$H$18)</f>
        <v>0</v>
      </c>
      <c r="U76" s="819">
        <f>R76*('Duke Delta'!$H$31/'Duke Delta'!$H$29)</f>
        <v>0</v>
      </c>
    </row>
    <row r="77" spans="1:21" s="22" customFormat="1">
      <c r="A77" s="221">
        <v>180</v>
      </c>
      <c r="B77" s="222" t="s">
        <v>22</v>
      </c>
      <c r="D77" s="943"/>
      <c r="G77" s="223"/>
      <c r="H77" s="223"/>
      <c r="I77" s="223"/>
      <c r="J77" s="224"/>
      <c r="K77" s="224"/>
      <c r="L77" s="224"/>
      <c r="M77" s="149"/>
      <c r="N77" s="149"/>
      <c r="O77" s="149"/>
      <c r="P77" s="214"/>
      <c r="Q77" s="214"/>
      <c r="R77" s="214"/>
      <c r="S77" s="819">
        <f>P77*('Total Summary Tab'!$H$9/'Total Summary Tab'!$H$7)</f>
        <v>0</v>
      </c>
      <c r="T77" s="819">
        <f>Q77*('Duke Delta'!$H$20/'Duke Delta'!$H$18)</f>
        <v>0</v>
      </c>
      <c r="U77" s="819">
        <f>R77*('Duke Delta'!$H$31/'Duke Delta'!$H$29)</f>
        <v>0</v>
      </c>
    </row>
    <row r="78" spans="1:21" s="22" customFormat="1">
      <c r="A78" s="221">
        <v>181</v>
      </c>
      <c r="B78" s="222" t="s">
        <v>23</v>
      </c>
      <c r="D78" s="943"/>
      <c r="G78" s="223"/>
      <c r="H78" s="223"/>
      <c r="I78" s="223"/>
      <c r="J78" s="224"/>
      <c r="K78" s="224"/>
      <c r="L78" s="224"/>
      <c r="M78" s="149"/>
      <c r="N78" s="149"/>
      <c r="O78" s="149"/>
      <c r="P78" s="214"/>
      <c r="Q78" s="214"/>
      <c r="R78" s="214"/>
      <c r="S78" s="819">
        <f>P78*('Total Summary Tab'!$H$9/'Total Summary Tab'!$H$7)</f>
        <v>0</v>
      </c>
      <c r="T78" s="819">
        <f>Q78*('Duke Delta'!$H$20/'Duke Delta'!$H$18)</f>
        <v>0</v>
      </c>
      <c r="U78" s="819">
        <f>R78*('Duke Delta'!$H$31/'Duke Delta'!$H$29)</f>
        <v>0</v>
      </c>
    </row>
    <row r="79" spans="1:21" s="22" customFormat="1">
      <c r="A79" s="221">
        <v>182</v>
      </c>
      <c r="B79" s="222" t="s">
        <v>24</v>
      </c>
      <c r="D79" s="943"/>
      <c r="G79" s="223"/>
      <c r="H79" s="223"/>
      <c r="I79" s="223"/>
      <c r="J79" s="224"/>
      <c r="K79" s="224"/>
      <c r="L79" s="224"/>
      <c r="M79" s="149"/>
      <c r="N79" s="149"/>
      <c r="O79" s="149"/>
      <c r="P79" s="214"/>
      <c r="Q79" s="214"/>
      <c r="R79" s="214"/>
      <c r="S79" s="819">
        <f>P79*('Total Summary Tab'!$H$9/'Total Summary Tab'!$H$7)</f>
        <v>0</v>
      </c>
      <c r="T79" s="819">
        <f>Q79*('Duke Delta'!$H$20/'Duke Delta'!$H$18)</f>
        <v>0</v>
      </c>
      <c r="U79" s="819">
        <f>R79*('Duke Delta'!$H$31/'Duke Delta'!$H$29)</f>
        <v>0</v>
      </c>
    </row>
    <row r="80" spans="1:21" s="22" customFormat="1">
      <c r="A80" s="221">
        <v>183</v>
      </c>
      <c r="B80" s="222" t="s">
        <v>25</v>
      </c>
      <c r="D80" s="943"/>
      <c r="G80" s="223"/>
      <c r="H80" s="223"/>
      <c r="I80" s="223"/>
      <c r="J80" s="224"/>
      <c r="K80" s="224"/>
      <c r="L80" s="224"/>
      <c r="M80" s="149"/>
      <c r="N80" s="149"/>
      <c r="O80" s="149"/>
      <c r="P80" s="214"/>
      <c r="Q80" s="214"/>
      <c r="R80" s="214"/>
      <c r="S80" s="819">
        <f>P80*('Total Summary Tab'!$H$9/'Total Summary Tab'!$H$7)</f>
        <v>0</v>
      </c>
      <c r="T80" s="819">
        <f>Q80*('Duke Delta'!$H$20/'Duke Delta'!$H$18)</f>
        <v>0</v>
      </c>
      <c r="U80" s="819">
        <f>R80*('Duke Delta'!$H$31/'Duke Delta'!$H$29)</f>
        <v>0</v>
      </c>
    </row>
    <row r="81" spans="1:21">
      <c r="A81" s="207">
        <v>190</v>
      </c>
      <c r="B81" s="208" t="s">
        <v>29</v>
      </c>
      <c r="D81" s="19" t="s">
        <v>325</v>
      </c>
      <c r="G81" s="219"/>
      <c r="H81" s="219"/>
      <c r="I81" s="219"/>
      <c r="J81" s="220"/>
      <c r="K81" s="220"/>
      <c r="L81" s="220"/>
      <c r="M81" s="149"/>
      <c r="N81" s="149"/>
      <c r="O81" s="149"/>
      <c r="P81" s="214"/>
      <c r="Q81" s="214"/>
      <c r="R81" s="214"/>
      <c r="S81" s="819">
        <f>P81*('Total Summary Tab'!$H$9/'Total Summary Tab'!$H$7)</f>
        <v>0</v>
      </c>
      <c r="T81" s="819">
        <f>Q81*('Duke Delta'!$H$20/'Duke Delta'!$H$18)</f>
        <v>0</v>
      </c>
      <c r="U81" s="819">
        <f>R81*('Duke Delta'!$H$31/'Duke Delta'!$H$29)</f>
        <v>0</v>
      </c>
    </row>
    <row r="82" spans="1:21" ht="45">
      <c r="A82" s="210"/>
      <c r="B82" s="226" t="s">
        <v>381</v>
      </c>
      <c r="C82" s="15" t="s">
        <v>313</v>
      </c>
      <c r="D82" s="227" t="s">
        <v>308</v>
      </c>
      <c r="G82" s="212"/>
      <c r="H82" s="212"/>
      <c r="I82" s="212"/>
      <c r="J82" s="213"/>
      <c r="K82" s="213"/>
      <c r="L82" s="213"/>
      <c r="M82" s="149"/>
      <c r="N82" s="149"/>
      <c r="O82" s="149"/>
      <c r="P82" s="214"/>
      <c r="Q82" s="214"/>
      <c r="R82" s="214"/>
      <c r="S82" s="819">
        <f>P82*('Total Summary Tab'!$H$9/'Total Summary Tab'!$H$7)</f>
        <v>0</v>
      </c>
      <c r="T82" s="819">
        <f>Q82*('Duke Delta'!$H$20/'Duke Delta'!$H$18)</f>
        <v>0</v>
      </c>
      <c r="U82" s="819">
        <f>R82*('Duke Delta'!$H$31/'Duke Delta'!$H$29)</f>
        <v>0</v>
      </c>
    </row>
    <row r="83" spans="1:21" ht="30">
      <c r="A83" s="215">
        <v>191</v>
      </c>
      <c r="B83" s="216" t="s">
        <v>30</v>
      </c>
      <c r="D83" s="227" t="s">
        <v>308</v>
      </c>
      <c r="G83" s="217">
        <v>15</v>
      </c>
      <c r="H83" s="217">
        <v>2</v>
      </c>
      <c r="I83" s="217"/>
      <c r="J83" s="218">
        <v>19.362982385557611</v>
      </c>
      <c r="K83" s="218">
        <v>10.023727113722863</v>
      </c>
      <c r="L83" s="218">
        <v>0</v>
      </c>
      <c r="M83" s="149">
        <f>(11-10)/(11-9)</f>
        <v>0.5</v>
      </c>
      <c r="N83" s="149">
        <v>0.6</v>
      </c>
      <c r="O83" s="149">
        <v>19.362982385557611</v>
      </c>
      <c r="P83" s="214">
        <f t="shared" ref="P83:P102" si="11">O83*M83</f>
        <v>9.6814911927788057</v>
      </c>
      <c r="Q83" s="214">
        <f t="shared" ref="Q83:Q93" si="12">K83*M83</f>
        <v>5.0118635568614316</v>
      </c>
      <c r="R83" s="214">
        <f t="shared" ref="R83:R93" si="13">L83*M83</f>
        <v>0</v>
      </c>
      <c r="S83" s="819">
        <f>P83*('Total Summary Tab'!$H$9/'Total Summary Tab'!$H$7)</f>
        <v>9.5228363731253065</v>
      </c>
      <c r="T83" s="819">
        <f>Q83*('Duke Delta'!$H$20/'Duke Delta'!$H$18)</f>
        <v>4.7620448507036448</v>
      </c>
      <c r="U83" s="819">
        <f>R83*('Duke Delta'!$H$31/'Duke Delta'!$H$29)</f>
        <v>0</v>
      </c>
    </row>
    <row r="84" spans="1:21" s="22" customFormat="1" ht="30">
      <c r="A84" s="215">
        <v>192</v>
      </c>
      <c r="B84" s="216" t="s">
        <v>31</v>
      </c>
      <c r="D84" s="227" t="s">
        <v>308</v>
      </c>
      <c r="G84" s="217">
        <v>15</v>
      </c>
      <c r="H84" s="217">
        <v>2</v>
      </c>
      <c r="I84" s="217"/>
      <c r="J84" s="218">
        <v>6.5523394925473886</v>
      </c>
      <c r="K84" s="218">
        <v>3.3948637481293047</v>
      </c>
      <c r="L84" s="218">
        <v>0</v>
      </c>
      <c r="M84" s="149">
        <f>(12-10)/(12-9)</f>
        <v>0.66666666666666663</v>
      </c>
      <c r="N84" s="149">
        <v>0.71</v>
      </c>
      <c r="O84" s="149">
        <v>6.5523394925473886</v>
      </c>
      <c r="P84" s="214">
        <f t="shared" si="11"/>
        <v>4.3682263283649254</v>
      </c>
      <c r="Q84" s="214">
        <f t="shared" si="12"/>
        <v>2.2632424987528696</v>
      </c>
      <c r="R84" s="214">
        <f t="shared" si="13"/>
        <v>0</v>
      </c>
      <c r="S84" s="819">
        <f>P84*('Total Summary Tab'!$H$9/'Total Summary Tab'!$H$7)</f>
        <v>4.2966422979162564</v>
      </c>
      <c r="T84" s="819">
        <f>Q84*('Duke Delta'!$H$20/'Duke Delta'!$H$18)</f>
        <v>2.1504301074447096</v>
      </c>
      <c r="U84" s="819">
        <f>R84*('Duke Delta'!$H$31/'Duke Delta'!$H$29)</f>
        <v>0</v>
      </c>
    </row>
    <row r="85" spans="1:21" s="22" customFormat="1">
      <c r="A85" s="221">
        <v>196</v>
      </c>
      <c r="B85" s="222" t="s">
        <v>16</v>
      </c>
      <c r="D85" s="944" t="s">
        <v>865</v>
      </c>
      <c r="G85" s="223">
        <v>15</v>
      </c>
      <c r="H85" s="223">
        <v>2</v>
      </c>
      <c r="I85" s="223"/>
      <c r="J85" s="224">
        <v>9.2708552352479447</v>
      </c>
      <c r="K85" s="224">
        <v>3.6773931219201774</v>
      </c>
      <c r="L85" s="224">
        <v>0</v>
      </c>
      <c r="M85" s="149">
        <f>9/10</f>
        <v>0.9</v>
      </c>
      <c r="N85" s="149">
        <v>0.9</v>
      </c>
      <c r="O85" s="149">
        <v>9.2708552352479447</v>
      </c>
      <c r="P85" s="214">
        <f t="shared" si="11"/>
        <v>8.3437697117231497</v>
      </c>
      <c r="Q85" s="214">
        <f t="shared" si="12"/>
        <v>3.3096538097281596</v>
      </c>
      <c r="R85" s="214">
        <f t="shared" si="13"/>
        <v>0</v>
      </c>
      <c r="S85" s="819">
        <f>P85*('Total Summary Tab'!$H$9/'Total Summary Tab'!$H$7)</f>
        <v>8.207036717550606</v>
      </c>
      <c r="T85" s="819">
        <f>Q85*('Duke Delta'!$H$20/'Duke Delta'!$H$18)</f>
        <v>3.1446825523912474</v>
      </c>
      <c r="U85" s="819">
        <f>R85*('Duke Delta'!$H$31/'Duke Delta'!$H$29)</f>
        <v>0</v>
      </c>
    </row>
    <row r="86" spans="1:21" s="22" customFormat="1">
      <c r="A86" s="221">
        <v>197</v>
      </c>
      <c r="B86" s="222" t="s">
        <v>18</v>
      </c>
      <c r="D86" s="944"/>
      <c r="G86" s="223">
        <v>10</v>
      </c>
      <c r="H86" s="223">
        <v>1</v>
      </c>
      <c r="I86" s="223"/>
      <c r="J86" s="224">
        <v>2.8198551391448201</v>
      </c>
      <c r="K86" s="224">
        <v>0.81203306103183914</v>
      </c>
      <c r="L86" s="224">
        <v>-0.24360991830955173</v>
      </c>
      <c r="M86" s="149">
        <f t="shared" ref="M86:M93" si="14">9/10</f>
        <v>0.9</v>
      </c>
      <c r="N86" s="149">
        <v>0.9</v>
      </c>
      <c r="O86" s="149">
        <v>2.8198551391448201</v>
      </c>
      <c r="P86" s="214">
        <f t="shared" si="11"/>
        <v>2.5378696252303383</v>
      </c>
      <c r="Q86" s="214">
        <f t="shared" si="12"/>
        <v>0.73082975492865521</v>
      </c>
      <c r="R86" s="214">
        <f t="shared" si="13"/>
        <v>-0.21924892647859656</v>
      </c>
      <c r="S86" s="819">
        <f>P86*('Total Summary Tab'!$H$9/'Total Summary Tab'!$H$7)</f>
        <v>2.4962804485552272</v>
      </c>
      <c r="T86" s="819">
        <f>Q86*('Duke Delta'!$H$20/'Duke Delta'!$H$18)</f>
        <v>0.69440120061417532</v>
      </c>
      <c r="U86" s="819">
        <f>R86*('Duke Delta'!$H$31/'Duke Delta'!$H$29)</f>
        <v>-0.18870284038283386</v>
      </c>
    </row>
    <row r="87" spans="1:21" s="22" customFormat="1">
      <c r="A87" s="221">
        <v>198</v>
      </c>
      <c r="B87" s="222" t="s">
        <v>19</v>
      </c>
      <c r="D87" s="944"/>
      <c r="G87" s="223">
        <v>40</v>
      </c>
      <c r="H87" s="223">
        <v>2</v>
      </c>
      <c r="I87" s="223"/>
      <c r="J87" s="224">
        <v>0.78450231104598367</v>
      </c>
      <c r="K87" s="224">
        <v>0.36756297901479507</v>
      </c>
      <c r="L87" s="224">
        <v>0</v>
      </c>
      <c r="M87" s="149">
        <f t="shared" si="14"/>
        <v>0.9</v>
      </c>
      <c r="N87" s="149">
        <v>0.9</v>
      </c>
      <c r="O87" s="149">
        <v>0.78450231104598367</v>
      </c>
      <c r="P87" s="214">
        <f t="shared" si="11"/>
        <v>0.7060520799413853</v>
      </c>
      <c r="Q87" s="214">
        <f t="shared" si="12"/>
        <v>0.33080668111331557</v>
      </c>
      <c r="R87" s="214">
        <f t="shared" si="13"/>
        <v>0</v>
      </c>
      <c r="S87" s="819">
        <f>P87*('Total Summary Tab'!$H$9/'Total Summary Tab'!$H$7)</f>
        <v>0.69448169649749703</v>
      </c>
      <c r="T87" s="819">
        <f>Q87*('Duke Delta'!$H$20/'Duke Delta'!$H$18)</f>
        <v>0.3143174658490771</v>
      </c>
      <c r="U87" s="819">
        <f>R87*('Duke Delta'!$H$31/'Duke Delta'!$H$29)</f>
        <v>0</v>
      </c>
    </row>
    <row r="88" spans="1:21" s="22" customFormat="1">
      <c r="A88" s="221">
        <v>199</v>
      </c>
      <c r="B88" s="222" t="s">
        <v>20</v>
      </c>
      <c r="D88" s="944"/>
      <c r="G88" s="223">
        <v>10</v>
      </c>
      <c r="H88" s="223">
        <v>1</v>
      </c>
      <c r="I88" s="223"/>
      <c r="J88" s="224">
        <v>6.7631069588046273</v>
      </c>
      <c r="K88" s="224">
        <v>5.12552221941122</v>
      </c>
      <c r="L88" s="224">
        <v>-0.66631788852345863</v>
      </c>
      <c r="M88" s="149">
        <f t="shared" si="14"/>
        <v>0.9</v>
      </c>
      <c r="N88" s="149">
        <v>0.9</v>
      </c>
      <c r="O88" s="149">
        <v>6.7631069588046273</v>
      </c>
      <c r="P88" s="214">
        <f t="shared" si="11"/>
        <v>6.0867962629241648</v>
      </c>
      <c r="Q88" s="214">
        <f t="shared" si="12"/>
        <v>4.6129699974700982</v>
      </c>
      <c r="R88" s="214">
        <f t="shared" si="13"/>
        <v>-0.59968609967111275</v>
      </c>
      <c r="S88" s="819">
        <f>P88*('Total Summary Tab'!$H$9/'Total Summary Tab'!$H$7)</f>
        <v>5.9870492772447159</v>
      </c>
      <c r="T88" s="819">
        <f>Q88*('Duke Delta'!$H$20/'Duke Delta'!$H$18)</f>
        <v>4.3830343291826042</v>
      </c>
      <c r="U88" s="819">
        <f>R88*('Duke Delta'!$H$31/'Duke Delta'!$H$29)</f>
        <v>-0.51613694152837408</v>
      </c>
    </row>
    <row r="89" spans="1:21" s="22" customFormat="1">
      <c r="A89" s="221">
        <v>200</v>
      </c>
      <c r="B89" s="222" t="s">
        <v>21</v>
      </c>
      <c r="D89" s="944"/>
      <c r="G89" s="223">
        <v>40</v>
      </c>
      <c r="H89" s="223">
        <v>2</v>
      </c>
      <c r="I89" s="223"/>
      <c r="J89" s="224">
        <v>4.3150855307329747</v>
      </c>
      <c r="K89" s="224">
        <v>1.7873468896530589</v>
      </c>
      <c r="L89" s="224">
        <v>0.98304078930918259</v>
      </c>
      <c r="M89" s="149">
        <f t="shared" si="14"/>
        <v>0.9</v>
      </c>
      <c r="N89" s="149">
        <v>0.9</v>
      </c>
      <c r="O89" s="149">
        <v>4.3150855307329747</v>
      </c>
      <c r="P89" s="214">
        <f t="shared" si="11"/>
        <v>3.8835769776596774</v>
      </c>
      <c r="Q89" s="214">
        <f t="shared" si="12"/>
        <v>1.608612200687753</v>
      </c>
      <c r="R89" s="214">
        <f t="shared" si="13"/>
        <v>0.8847367103782644</v>
      </c>
      <c r="S89" s="819">
        <f>P89*('Total Summary Tab'!$H$9/'Total Summary Tab'!$H$7)</f>
        <v>3.8199351075456351</v>
      </c>
      <c r="T89" s="819">
        <f>Q89*('Duke Delta'!$H$20/'Duke Delta'!$H$18)</f>
        <v>1.5284301657767505</v>
      </c>
      <c r="U89" s="819">
        <f>R89*('Duke Delta'!$H$31/'Duke Delta'!$H$29)</f>
        <v>0.76147387775529796</v>
      </c>
    </row>
    <row r="90" spans="1:21" s="22" customFormat="1">
      <c r="A90" s="221">
        <v>202</v>
      </c>
      <c r="B90" s="222" t="s">
        <v>22</v>
      </c>
      <c r="D90" s="944"/>
      <c r="G90" s="223">
        <v>20</v>
      </c>
      <c r="H90" s="223">
        <v>1</v>
      </c>
      <c r="I90" s="223"/>
      <c r="J90" s="224">
        <v>2.1637199315654283</v>
      </c>
      <c r="K90" s="224">
        <v>0.73618758473916857</v>
      </c>
      <c r="L90" s="224">
        <v>0.76563508812873537</v>
      </c>
      <c r="M90" s="149">
        <f t="shared" si="14"/>
        <v>0.9</v>
      </c>
      <c r="N90" s="149">
        <v>0.9</v>
      </c>
      <c r="O90" s="149">
        <v>2.1637199315654283</v>
      </c>
      <c r="P90" s="214">
        <f t="shared" si="11"/>
        <v>1.9473479384088854</v>
      </c>
      <c r="Q90" s="214">
        <f t="shared" si="12"/>
        <v>0.66256882626525171</v>
      </c>
      <c r="R90" s="214">
        <f t="shared" si="13"/>
        <v>0.68907157931586183</v>
      </c>
      <c r="S90" s="819">
        <f>P90*('Total Summary Tab'!$H$9/'Total Summary Tab'!$H$7)</f>
        <v>1.9154358982263444</v>
      </c>
      <c r="T90" s="819">
        <f>Q90*('Duke Delta'!$H$20/'Duke Delta'!$H$18)</f>
        <v>0.6295427701804921</v>
      </c>
      <c r="U90" s="819">
        <f>R90*('Duke Delta'!$H$31/'Duke Delta'!$H$29)</f>
        <v>0.59306910338136609</v>
      </c>
    </row>
    <row r="91" spans="1:21" s="22" customFormat="1">
      <c r="A91" s="221">
        <v>203</v>
      </c>
      <c r="B91" s="222" t="s">
        <v>23</v>
      </c>
      <c r="D91" s="944"/>
      <c r="G91" s="223">
        <v>20</v>
      </c>
      <c r="H91" s="223">
        <v>1</v>
      </c>
      <c r="I91" s="223"/>
      <c r="J91" s="224">
        <v>0.6082120650322913</v>
      </c>
      <c r="K91" s="224">
        <v>0.19989292533753139</v>
      </c>
      <c r="L91" s="224">
        <v>0</v>
      </c>
      <c r="M91" s="149">
        <f t="shared" si="14"/>
        <v>0.9</v>
      </c>
      <c r="N91" s="149">
        <v>0.9</v>
      </c>
      <c r="O91" s="149">
        <v>0.6082120650322913</v>
      </c>
      <c r="P91" s="214">
        <f t="shared" si="11"/>
        <v>0.54739085852906222</v>
      </c>
      <c r="Q91" s="214">
        <f t="shared" si="12"/>
        <v>0.17990363280377825</v>
      </c>
      <c r="R91" s="214">
        <f t="shared" si="13"/>
        <v>0</v>
      </c>
      <c r="S91" s="819">
        <f>P91*('Total Summary Tab'!$H$9/'Total Summary Tab'!$H$7)</f>
        <v>0.53842052573521759</v>
      </c>
      <c r="T91" s="819">
        <f>Q91*('Duke Delta'!$H$20/'Duke Delta'!$H$18)</f>
        <v>0.17093625125593134</v>
      </c>
      <c r="U91" s="819">
        <f>R91*('Duke Delta'!$H$31/'Duke Delta'!$H$29)</f>
        <v>0</v>
      </c>
    </row>
    <row r="92" spans="1:21" s="22" customFormat="1">
      <c r="A92" s="221">
        <v>204</v>
      </c>
      <c r="B92" s="222" t="s">
        <v>24</v>
      </c>
      <c r="D92" s="944"/>
      <c r="G92" s="223">
        <v>20</v>
      </c>
      <c r="H92" s="223">
        <v>1</v>
      </c>
      <c r="I92" s="223"/>
      <c r="J92" s="224">
        <v>0.66212338974691254</v>
      </c>
      <c r="K92" s="224">
        <v>0.21734693648740261</v>
      </c>
      <c r="L92" s="224">
        <v>0</v>
      </c>
      <c r="M92" s="149">
        <f t="shared" si="14"/>
        <v>0.9</v>
      </c>
      <c r="N92" s="149">
        <v>0.9</v>
      </c>
      <c r="O92" s="149">
        <v>0.66212338974691254</v>
      </c>
      <c r="P92" s="214">
        <f t="shared" si="11"/>
        <v>0.59591105077222128</v>
      </c>
      <c r="Q92" s="214">
        <f t="shared" si="12"/>
        <v>0.19561224283866235</v>
      </c>
      <c r="R92" s="214">
        <f t="shared" si="13"/>
        <v>0</v>
      </c>
      <c r="S92" s="819">
        <f>P92*('Total Summary Tab'!$H$9/'Total Summary Tab'!$H$7)</f>
        <v>0.58614559642152042</v>
      </c>
      <c r="T92" s="819">
        <f>Q92*('Duke Delta'!$H$20/'Duke Delta'!$H$18)</f>
        <v>0.18586185820425308</v>
      </c>
      <c r="U92" s="819">
        <f>R92*('Duke Delta'!$H$31/'Duke Delta'!$H$29)</f>
        <v>0</v>
      </c>
    </row>
    <row r="93" spans="1:21" s="22" customFormat="1">
      <c r="A93" s="221">
        <v>205</v>
      </c>
      <c r="B93" s="222" t="s">
        <v>25</v>
      </c>
      <c r="D93" s="944"/>
      <c r="G93" s="223">
        <v>5</v>
      </c>
      <c r="H93" s="223">
        <v>1</v>
      </c>
      <c r="I93" s="223"/>
      <c r="J93" s="224">
        <v>0.817593577395344</v>
      </c>
      <c r="K93" s="224">
        <v>2.5853774831502009E-2</v>
      </c>
      <c r="L93" s="224">
        <v>1.4219576157326106E-2</v>
      </c>
      <c r="M93" s="149">
        <f t="shared" si="14"/>
        <v>0.9</v>
      </c>
      <c r="N93" s="149">
        <v>0.9</v>
      </c>
      <c r="O93" s="149">
        <v>0.817593577395344</v>
      </c>
      <c r="P93" s="214">
        <f t="shared" si="11"/>
        <v>0.73583421965580964</v>
      </c>
      <c r="Q93" s="214">
        <f t="shared" si="12"/>
        <v>2.3268397348351809E-2</v>
      </c>
      <c r="R93" s="214">
        <f t="shared" si="13"/>
        <v>1.2797618541593496E-2</v>
      </c>
      <c r="S93" s="819">
        <f>P93*('Total Summary Tab'!$H$9/'Total Summary Tab'!$H$7)</f>
        <v>0.72377578329618752</v>
      </c>
      <c r="T93" s="819">
        <f>Q93*('Duke Delta'!$H$20/'Duke Delta'!$H$18)</f>
        <v>2.2108573092567255E-2</v>
      </c>
      <c r="U93" s="819">
        <f>R93*('Duke Delta'!$H$31/'Duke Delta'!$H$29)</f>
        <v>1.1014635317589406E-2</v>
      </c>
    </row>
    <row r="94" spans="1:21">
      <c r="A94" s="207">
        <v>220</v>
      </c>
      <c r="B94" s="208" t="s">
        <v>32</v>
      </c>
      <c r="D94" s="19" t="s">
        <v>327</v>
      </c>
      <c r="G94" s="219"/>
      <c r="H94" s="219"/>
      <c r="I94" s="219"/>
      <c r="J94" s="220"/>
      <c r="K94" s="220"/>
      <c r="L94" s="220"/>
      <c r="M94" s="149"/>
      <c r="N94" s="149"/>
      <c r="O94" s="149"/>
      <c r="P94" s="214"/>
      <c r="Q94" s="214"/>
      <c r="R94" s="214"/>
      <c r="S94" s="819">
        <f>P94*('Total Summary Tab'!$H$9/'Total Summary Tab'!$H$7)</f>
        <v>0</v>
      </c>
      <c r="T94" s="819">
        <f>Q94*('Duke Delta'!$H$20/'Duke Delta'!$H$18)</f>
        <v>0</v>
      </c>
      <c r="U94" s="819">
        <f>R94*('Duke Delta'!$H$31/'Duke Delta'!$H$29)</f>
        <v>0</v>
      </c>
    </row>
    <row r="95" spans="1:21">
      <c r="A95" s="210">
        <v>220</v>
      </c>
      <c r="B95" s="211" t="s">
        <v>295</v>
      </c>
      <c r="G95" s="212"/>
      <c r="H95" s="212"/>
      <c r="I95" s="212"/>
      <c r="J95" s="213"/>
      <c r="K95" s="213"/>
      <c r="L95" s="213"/>
      <c r="M95" s="149"/>
      <c r="N95" s="149"/>
      <c r="O95" s="149"/>
      <c r="P95" s="214"/>
      <c r="Q95" s="214"/>
      <c r="R95" s="214"/>
      <c r="S95" s="819">
        <f>P95*('Total Summary Tab'!$H$9/'Total Summary Tab'!$H$7)</f>
        <v>0</v>
      </c>
      <c r="T95" s="819">
        <f>Q95*('Duke Delta'!$H$20/'Duke Delta'!$H$18)</f>
        <v>0</v>
      </c>
      <c r="U95" s="819">
        <f>R95*('Duke Delta'!$H$31/'Duke Delta'!$H$29)</f>
        <v>0</v>
      </c>
    </row>
    <row r="96" spans="1:21">
      <c r="A96" s="215">
        <v>221</v>
      </c>
      <c r="B96" s="216" t="s">
        <v>33</v>
      </c>
      <c r="G96" s="217">
        <v>5000</v>
      </c>
      <c r="H96" s="217">
        <v>1</v>
      </c>
      <c r="I96" s="217"/>
      <c r="J96" s="218">
        <v>69.890273834210433</v>
      </c>
      <c r="K96" s="218">
        <v>3.6567007224031918</v>
      </c>
      <c r="L96" s="218">
        <v>5.2290820330365637</v>
      </c>
      <c r="M96" s="149">
        <f>(43-18)/(60-18)</f>
        <v>0.59523809523809523</v>
      </c>
      <c r="N96" s="149">
        <v>0.59523809523809523</v>
      </c>
      <c r="O96" s="149">
        <v>69.890273834210433</v>
      </c>
      <c r="P96" s="214">
        <f t="shared" si="11"/>
        <v>41.601353472744307</v>
      </c>
      <c r="Q96" s="214">
        <f>K96*M96</f>
        <v>2.1766075728590426</v>
      </c>
      <c r="R96" s="214">
        <f>L96*M96</f>
        <v>3.1125488291884307</v>
      </c>
      <c r="S96" s="819">
        <f>P96*('Total Summary Tab'!$H$9/'Total Summary Tab'!$H$7)</f>
        <v>40.919613945110108</v>
      </c>
      <c r="T96" s="819">
        <f>Q96*('Duke Delta'!$H$20/'Duke Delta'!$H$18)</f>
        <v>2.0681135403508226</v>
      </c>
      <c r="U96" s="819">
        <f>R96*('Duke Delta'!$H$31/'Duke Delta'!$H$29)</f>
        <v>2.6789039031188078</v>
      </c>
    </row>
    <row r="97" spans="1:21">
      <c r="A97" s="207">
        <v>230</v>
      </c>
      <c r="B97" s="208" t="s">
        <v>34</v>
      </c>
      <c r="G97" s="219"/>
      <c r="H97" s="219"/>
      <c r="I97" s="219"/>
      <c r="J97" s="220"/>
      <c r="K97" s="220"/>
      <c r="L97" s="220"/>
      <c r="M97" s="149"/>
      <c r="N97" s="149"/>
      <c r="O97" s="149"/>
      <c r="P97" s="214"/>
      <c r="Q97" s="214"/>
      <c r="R97" s="214"/>
      <c r="S97" s="819">
        <f>P97*('Total Summary Tab'!$H$9/'Total Summary Tab'!$H$7)</f>
        <v>0</v>
      </c>
      <c r="T97" s="819">
        <f>Q97*('Duke Delta'!$H$20/'Duke Delta'!$H$18)</f>
        <v>0</v>
      </c>
      <c r="U97" s="819">
        <f>R97*('Duke Delta'!$H$31/'Duke Delta'!$H$29)</f>
        <v>0</v>
      </c>
    </row>
    <row r="98" spans="1:21">
      <c r="A98" s="210">
        <v>230</v>
      </c>
      <c r="B98" s="211" t="s">
        <v>296</v>
      </c>
      <c r="G98" s="212"/>
      <c r="H98" s="212"/>
      <c r="I98" s="212"/>
      <c r="J98" s="213"/>
      <c r="K98" s="213"/>
      <c r="L98" s="213"/>
      <c r="M98" s="149"/>
      <c r="N98" s="149"/>
      <c r="O98" s="149"/>
      <c r="P98" s="214"/>
      <c r="Q98" s="214"/>
      <c r="R98" s="214"/>
      <c r="S98" s="819">
        <f>P98*('Total Summary Tab'!$H$9/'Total Summary Tab'!$H$7)</f>
        <v>0</v>
      </c>
      <c r="T98" s="819">
        <f>Q98*('Duke Delta'!$H$20/'Duke Delta'!$H$18)</f>
        <v>0</v>
      </c>
      <c r="U98" s="819">
        <f>R98*('Duke Delta'!$H$31/'Duke Delta'!$H$29)</f>
        <v>0</v>
      </c>
    </row>
    <row r="99" spans="1:21">
      <c r="A99" s="215">
        <v>231</v>
      </c>
      <c r="B99" s="216" t="s">
        <v>35</v>
      </c>
      <c r="G99" s="217">
        <v>5000</v>
      </c>
      <c r="H99" s="217">
        <v>1</v>
      </c>
      <c r="I99" s="217"/>
      <c r="J99" s="218">
        <v>611.53990670157691</v>
      </c>
      <c r="K99" s="218">
        <v>31.996131878359236</v>
      </c>
      <c r="L99" s="218">
        <v>46.074429904837295</v>
      </c>
      <c r="M99" s="149">
        <f>(43-18)/(60-18)</f>
        <v>0.59523809523809523</v>
      </c>
      <c r="N99" s="149">
        <v>0.59523809523809523</v>
      </c>
      <c r="O99" s="149">
        <v>611.53990670157691</v>
      </c>
      <c r="P99" s="214">
        <f t="shared" si="11"/>
        <v>364.01184922712912</v>
      </c>
      <c r="Q99" s="214">
        <f>K99*M99</f>
        <v>19.04531659426145</v>
      </c>
      <c r="R99" s="214">
        <f>L99*M99</f>
        <v>27.425255895736484</v>
      </c>
      <c r="S99" s="819">
        <f>P99*('Total Summary Tab'!$H$9/'Total Summary Tab'!$H$7)</f>
        <v>358.04662825642345</v>
      </c>
      <c r="T99" s="819">
        <f>Q99*('Duke Delta'!$H$20/'Duke Delta'!$H$18)</f>
        <v>18.095993793278549</v>
      </c>
      <c r="U99" s="819">
        <f>R99*('Duke Delta'!$H$31/'Duke Delta'!$H$29)</f>
        <v>23.604328508567402</v>
      </c>
    </row>
    <row r="100" spans="1:21">
      <c r="A100" s="207">
        <v>240</v>
      </c>
      <c r="B100" s="208" t="s">
        <v>36</v>
      </c>
      <c r="G100" s="219"/>
      <c r="H100" s="219"/>
      <c r="I100" s="219"/>
      <c r="J100" s="220"/>
      <c r="K100" s="220"/>
      <c r="L100" s="220"/>
      <c r="M100" s="149"/>
      <c r="N100" s="149"/>
      <c r="O100" s="149"/>
      <c r="P100" s="214"/>
      <c r="Q100" s="214"/>
      <c r="R100" s="214"/>
      <c r="S100" s="819">
        <f>P100*('Total Summary Tab'!$H$9/'Total Summary Tab'!$H$7)</f>
        <v>0</v>
      </c>
      <c r="T100" s="819">
        <f>Q100*('Duke Delta'!$H$20/'Duke Delta'!$H$18)</f>
        <v>0</v>
      </c>
      <c r="U100" s="819">
        <f>R100*('Duke Delta'!$H$31/'Duke Delta'!$H$29)</f>
        <v>0</v>
      </c>
    </row>
    <row r="101" spans="1:21">
      <c r="A101" s="210">
        <v>240</v>
      </c>
      <c r="B101" s="211" t="s">
        <v>297</v>
      </c>
      <c r="G101" s="212"/>
      <c r="H101" s="212"/>
      <c r="I101" s="212"/>
      <c r="J101" s="213"/>
      <c r="K101" s="213"/>
      <c r="L101" s="213"/>
      <c r="M101" s="149"/>
      <c r="N101" s="149"/>
      <c r="O101" s="149"/>
      <c r="P101" s="214"/>
      <c r="Q101" s="214"/>
      <c r="R101" s="214"/>
      <c r="S101" s="819">
        <f>P101*('Total Summary Tab'!$H$9/'Total Summary Tab'!$H$7)</f>
        <v>0</v>
      </c>
      <c r="T101" s="819">
        <f>Q101*('Duke Delta'!$H$20/'Duke Delta'!$H$18)</f>
        <v>0</v>
      </c>
      <c r="U101" s="819">
        <f>R101*('Duke Delta'!$H$31/'Duke Delta'!$H$29)</f>
        <v>0</v>
      </c>
    </row>
    <row r="102" spans="1:21">
      <c r="A102" s="215">
        <v>241</v>
      </c>
      <c r="B102" s="216" t="s">
        <v>37</v>
      </c>
      <c r="G102" s="217">
        <v>5000</v>
      </c>
      <c r="H102" s="217">
        <v>1</v>
      </c>
      <c r="I102" s="217"/>
      <c r="J102" s="218">
        <v>314.50624747142649</v>
      </c>
      <c r="K102" s="218">
        <v>16.455154047001948</v>
      </c>
      <c r="L102" s="218">
        <v>23.530870287212785</v>
      </c>
      <c r="M102" s="149">
        <f>(43-18)/(60-18)</f>
        <v>0.59523809523809523</v>
      </c>
      <c r="N102" s="149">
        <v>0.59523809523809523</v>
      </c>
      <c r="O102" s="149">
        <v>314.50624747142649</v>
      </c>
      <c r="P102" s="214">
        <f t="shared" si="11"/>
        <v>187.20609968537292</v>
      </c>
      <c r="Q102" s="214">
        <f>K102*M102</f>
        <v>9.794734551786874</v>
      </c>
      <c r="R102" s="214">
        <f>L102*M102</f>
        <v>14.006470409055229</v>
      </c>
      <c r="S102" s="819">
        <f>P102*('Total Summary Tab'!$H$9/'Total Summary Tab'!$H$7)</f>
        <v>184.13827166258125</v>
      </c>
      <c r="T102" s="819">
        <f>Q102*('Duke Delta'!$H$20/'Duke Delta'!$H$18)</f>
        <v>9.3065113818770584</v>
      </c>
      <c r="U102" s="819">
        <f>R102*('Duke Delta'!$H$31/'Duke Delta'!$H$29)</f>
        <v>12.055068147322739</v>
      </c>
    </row>
    <row r="103" spans="1:21">
      <c r="A103" s="207">
        <v>250</v>
      </c>
      <c r="B103" s="208" t="s">
        <v>38</v>
      </c>
      <c r="G103" s="219"/>
      <c r="H103" s="219"/>
      <c r="I103" s="219"/>
      <c r="J103" s="220"/>
      <c r="K103" s="220"/>
      <c r="L103" s="220"/>
      <c r="M103" s="149"/>
      <c r="N103" s="149"/>
      <c r="O103" s="149"/>
      <c r="P103" s="214"/>
      <c r="Q103" s="214"/>
      <c r="R103" s="214"/>
      <c r="S103" s="819">
        <f>P103*('Total Summary Tab'!$H$9/'Total Summary Tab'!$H$7)</f>
        <v>0</v>
      </c>
      <c r="T103" s="819">
        <f>Q103*('Duke Delta'!$H$20/'Duke Delta'!$H$18)</f>
        <v>0</v>
      </c>
      <c r="U103" s="819">
        <f>R103*('Duke Delta'!$H$31/'Duke Delta'!$H$29)</f>
        <v>0</v>
      </c>
    </row>
    <row r="104" spans="1:21">
      <c r="A104" s="210">
        <v>250</v>
      </c>
      <c r="B104" s="211" t="s">
        <v>383</v>
      </c>
      <c r="D104" s="19" t="s">
        <v>382</v>
      </c>
      <c r="G104" s="212"/>
      <c r="H104" s="212"/>
      <c r="I104" s="212"/>
      <c r="J104" s="213"/>
      <c r="K104" s="213"/>
      <c r="L104" s="213"/>
      <c r="M104" s="149"/>
      <c r="N104" s="149"/>
      <c r="O104" s="149"/>
      <c r="P104" s="214"/>
      <c r="Q104" s="214"/>
      <c r="R104" s="214"/>
      <c r="S104" s="819">
        <f>P104*('Total Summary Tab'!$H$9/'Total Summary Tab'!$H$7)</f>
        <v>0</v>
      </c>
      <c r="T104" s="819">
        <f>Q104*('Duke Delta'!$H$20/'Duke Delta'!$H$18)</f>
        <v>0</v>
      </c>
      <c r="U104" s="819">
        <f>R104*('Duke Delta'!$H$31/'Duke Delta'!$H$29)</f>
        <v>0</v>
      </c>
    </row>
    <row r="105" spans="1:21">
      <c r="A105" s="215">
        <v>251</v>
      </c>
      <c r="B105" s="216" t="s">
        <v>39</v>
      </c>
      <c r="G105" s="218">
        <v>47.945205479452056</v>
      </c>
      <c r="H105" s="217">
        <v>2</v>
      </c>
      <c r="I105" s="217"/>
      <c r="J105" s="218">
        <v>21.913002012814747</v>
      </c>
      <c r="K105" s="218">
        <v>1.146501306896571</v>
      </c>
      <c r="L105" s="218">
        <v>1.6394968688620966</v>
      </c>
      <c r="M105" s="149">
        <f>(34-28)/(40-28)</f>
        <v>0.5</v>
      </c>
      <c r="N105" s="149">
        <v>0.63025210084033623</v>
      </c>
      <c r="O105" s="149">
        <v>21.913002012814747</v>
      </c>
      <c r="P105" s="214">
        <f t="shared" ref="P105:P135" si="15">O105*M105</f>
        <v>10.956501006407374</v>
      </c>
      <c r="Q105" s="214">
        <f t="shared" ref="Q105:Q106" si="16">K105*M105</f>
        <v>0.57325065344828552</v>
      </c>
      <c r="R105" s="214">
        <f t="shared" ref="R105:R106" si="17">L105*M105</f>
        <v>0.81974843443104828</v>
      </c>
      <c r="S105" s="819">
        <f>P105*('Total Summary Tab'!$H$9/'Total Summary Tab'!$H$7)</f>
        <v>10.77695204472454</v>
      </c>
      <c r="T105" s="819">
        <f>Q105*('Duke Delta'!$H$20/'Duke Delta'!$H$18)</f>
        <v>0.54467670387368095</v>
      </c>
      <c r="U105" s="819">
        <f>R105*('Duke Delta'!$H$31/'Duke Delta'!$H$29)</f>
        <v>0.70553986494260457</v>
      </c>
    </row>
    <row r="106" spans="1:21">
      <c r="A106" s="215">
        <v>252</v>
      </c>
      <c r="B106" s="216" t="s">
        <v>40</v>
      </c>
      <c r="G106" s="218">
        <v>47.945205479452056</v>
      </c>
      <c r="H106" s="217">
        <v>1</v>
      </c>
      <c r="I106" s="217"/>
      <c r="J106" s="218">
        <v>76.718948221728368</v>
      </c>
      <c r="K106" s="218">
        <v>4.0139810304632739</v>
      </c>
      <c r="L106" s="218">
        <v>5.7399928735624819</v>
      </c>
      <c r="M106" s="149">
        <f>(34-28)/(40-28)</f>
        <v>0.5</v>
      </c>
      <c r="N106" s="149">
        <v>0.63025210084033623</v>
      </c>
      <c r="O106" s="149">
        <v>76.718948221728368</v>
      </c>
      <c r="P106" s="214">
        <f t="shared" si="15"/>
        <v>38.359474110864184</v>
      </c>
      <c r="Q106" s="214">
        <f t="shared" si="16"/>
        <v>2.006990515231637</v>
      </c>
      <c r="R106" s="214">
        <f t="shared" si="17"/>
        <v>2.8699964367812409</v>
      </c>
      <c r="S106" s="819">
        <f>P106*('Total Summary Tab'!$H$9/'Total Summary Tab'!$H$7)</f>
        <v>37.730860674578508</v>
      </c>
      <c r="T106" s="819">
        <f>Q106*('Duke Delta'!$H$20/'Duke Delta'!$H$18)</f>
        <v>1.906951125073119</v>
      </c>
      <c r="U106" s="819">
        <f>R106*('Duke Delta'!$H$31/'Duke Delta'!$H$29)</f>
        <v>2.4701442702940763</v>
      </c>
    </row>
    <row r="107" spans="1:21">
      <c r="A107" s="210">
        <v>260</v>
      </c>
      <c r="B107" s="211" t="s">
        <v>41</v>
      </c>
      <c r="G107" s="229"/>
      <c r="H107" s="230"/>
      <c r="I107" s="230"/>
      <c r="J107" s="229"/>
      <c r="K107" s="229"/>
      <c r="L107" s="229"/>
      <c r="M107" s="149"/>
      <c r="N107" s="149"/>
      <c r="O107" s="149"/>
      <c r="P107" s="214"/>
      <c r="Q107" s="214"/>
      <c r="R107" s="214"/>
      <c r="S107" s="819">
        <f>P107*('Total Summary Tab'!$H$9/'Total Summary Tab'!$H$7)</f>
        <v>0</v>
      </c>
      <c r="T107" s="819">
        <f>Q107*('Duke Delta'!$H$20/'Duke Delta'!$H$18)</f>
        <v>0</v>
      </c>
      <c r="U107" s="819">
        <f>R107*('Duke Delta'!$H$31/'Duke Delta'!$H$29)</f>
        <v>0</v>
      </c>
    </row>
    <row r="108" spans="1:21">
      <c r="A108" s="231">
        <v>261</v>
      </c>
      <c r="B108" s="232" t="s">
        <v>42</v>
      </c>
      <c r="G108" s="229"/>
      <c r="H108" s="230"/>
      <c r="I108" s="230"/>
      <c r="J108" s="229"/>
      <c r="K108" s="229"/>
      <c r="L108" s="229"/>
      <c r="M108" s="149"/>
      <c r="N108" s="149"/>
      <c r="O108" s="149"/>
      <c r="P108" s="214"/>
      <c r="Q108" s="214"/>
      <c r="R108" s="214"/>
      <c r="S108" s="819">
        <f>P108*('Total Summary Tab'!$H$9/'Total Summary Tab'!$H$7)</f>
        <v>0</v>
      </c>
      <c r="T108" s="819">
        <f>Q108*('Duke Delta'!$H$20/'Duke Delta'!$H$18)</f>
        <v>0</v>
      </c>
      <c r="U108" s="819">
        <f>R108*('Duke Delta'!$H$31/'Duke Delta'!$H$29)</f>
        <v>0</v>
      </c>
    </row>
    <row r="109" spans="1:21">
      <c r="A109" s="231">
        <v>262</v>
      </c>
      <c r="B109" s="232" t="s">
        <v>43</v>
      </c>
      <c r="G109" s="229"/>
      <c r="H109" s="230"/>
      <c r="I109" s="230"/>
      <c r="J109" s="229"/>
      <c r="K109" s="229"/>
      <c r="L109" s="229"/>
      <c r="M109" s="149"/>
      <c r="N109" s="149"/>
      <c r="O109" s="149"/>
      <c r="P109" s="214"/>
      <c r="Q109" s="214"/>
      <c r="R109" s="214"/>
      <c r="S109" s="819">
        <f>P109*('Total Summary Tab'!$H$9/'Total Summary Tab'!$H$7)</f>
        <v>0</v>
      </c>
      <c r="T109" s="819">
        <f>Q109*('Duke Delta'!$H$20/'Duke Delta'!$H$18)</f>
        <v>0</v>
      </c>
      <c r="U109" s="819">
        <f>R109*('Duke Delta'!$H$31/'Duke Delta'!$H$29)</f>
        <v>0</v>
      </c>
    </row>
    <row r="110" spans="1:21">
      <c r="A110" s="207">
        <v>300</v>
      </c>
      <c r="B110" s="208" t="s">
        <v>44</v>
      </c>
      <c r="G110" s="220"/>
      <c r="H110" s="219"/>
      <c r="I110" s="219"/>
      <c r="J110" s="220"/>
      <c r="K110" s="220"/>
      <c r="L110" s="220"/>
      <c r="M110" s="149"/>
      <c r="N110" s="149"/>
      <c r="O110" s="149"/>
      <c r="P110" s="214"/>
      <c r="Q110" s="214"/>
      <c r="R110" s="214"/>
      <c r="S110" s="819">
        <f>P110*('Total Summary Tab'!$H$9/'Total Summary Tab'!$H$7)</f>
        <v>0</v>
      </c>
      <c r="T110" s="819">
        <f>Q110*('Duke Delta'!$H$20/'Duke Delta'!$H$18)</f>
        <v>0</v>
      </c>
      <c r="U110" s="819">
        <f>R110*('Duke Delta'!$H$31/'Duke Delta'!$H$29)</f>
        <v>0</v>
      </c>
    </row>
    <row r="111" spans="1:21">
      <c r="A111" s="210">
        <v>300</v>
      </c>
      <c r="B111" s="211" t="s">
        <v>379</v>
      </c>
      <c r="D111" s="233" t="s">
        <v>328</v>
      </c>
      <c r="G111" s="213"/>
      <c r="H111" s="212"/>
      <c r="I111" s="212"/>
      <c r="J111" s="213"/>
      <c r="K111" s="213"/>
      <c r="L111" s="213"/>
      <c r="M111" s="149"/>
      <c r="N111" s="149"/>
      <c r="O111" s="149"/>
      <c r="P111" s="214"/>
      <c r="Q111" s="214"/>
      <c r="R111" s="214"/>
      <c r="S111" s="819">
        <f>P111*('Total Summary Tab'!$H$9/'Total Summary Tab'!$H$7)</f>
        <v>0</v>
      </c>
      <c r="T111" s="819">
        <f>Q111*('Duke Delta'!$H$20/'Duke Delta'!$H$18)</f>
        <v>0</v>
      </c>
      <c r="U111" s="819">
        <f>R111*('Duke Delta'!$H$31/'Duke Delta'!$H$29)</f>
        <v>0</v>
      </c>
    </row>
    <row r="112" spans="1:21">
      <c r="A112" s="215">
        <v>301</v>
      </c>
      <c r="B112" s="216" t="s">
        <v>45</v>
      </c>
      <c r="G112" s="217">
        <v>14</v>
      </c>
      <c r="H112" s="217">
        <v>2</v>
      </c>
      <c r="I112" s="217"/>
      <c r="J112" s="218">
        <v>230.70398961308157</v>
      </c>
      <c r="K112" s="218">
        <v>30.666269873520331</v>
      </c>
      <c r="L112" s="218">
        <v>28.519630982373911</v>
      </c>
      <c r="M112" s="149">
        <f>1-0.1</f>
        <v>0.9</v>
      </c>
      <c r="N112" s="149">
        <v>0.9</v>
      </c>
      <c r="O112" s="149">
        <v>230.70398961308157</v>
      </c>
      <c r="P112" s="214">
        <f t="shared" si="15"/>
        <v>207.63359065177343</v>
      </c>
      <c r="Q112" s="214">
        <f>K112*M112</f>
        <v>27.599642886168297</v>
      </c>
      <c r="R112" s="214">
        <f>L112*M112</f>
        <v>25.66766788413652</v>
      </c>
      <c r="S112" s="819">
        <f>P112*('Total Summary Tab'!$H$9/'Total Summary Tab'!$H$7)</f>
        <v>204.23100842317666</v>
      </c>
      <c r="T112" s="819">
        <f>Q112*('Duke Delta'!$H$20/'Duke Delta'!$H$18)</f>
        <v>26.223925650849683</v>
      </c>
      <c r="U112" s="819">
        <f>R112*('Duke Delta'!$H$31/'Duke Delta'!$H$29)</f>
        <v>22.091610269355829</v>
      </c>
    </row>
    <row r="113" spans="1:21">
      <c r="A113" s="207">
        <v>350</v>
      </c>
      <c r="B113" s="208" t="s">
        <v>46</v>
      </c>
      <c r="G113" s="219"/>
      <c r="H113" s="219"/>
      <c r="I113" s="219"/>
      <c r="J113" s="220"/>
      <c r="K113" s="220"/>
      <c r="L113" s="220"/>
      <c r="M113" s="149"/>
      <c r="N113" s="149"/>
      <c r="O113" s="149"/>
      <c r="P113" s="214"/>
      <c r="Q113" s="214"/>
      <c r="R113" s="214"/>
      <c r="S113" s="819">
        <f>P113*('Total Summary Tab'!$H$9/'Total Summary Tab'!$H$7)</f>
        <v>0</v>
      </c>
      <c r="T113" s="819">
        <f>Q113*('Duke Delta'!$H$20/'Duke Delta'!$H$18)</f>
        <v>0</v>
      </c>
      <c r="U113" s="819">
        <f>R113*('Duke Delta'!$H$31/'Duke Delta'!$H$29)</f>
        <v>0</v>
      </c>
    </row>
    <row r="114" spans="1:21">
      <c r="A114" s="210">
        <v>350</v>
      </c>
      <c r="B114" s="211" t="s">
        <v>380</v>
      </c>
      <c r="D114" s="19" t="s">
        <v>329</v>
      </c>
      <c r="G114" s="212"/>
      <c r="H114" s="212"/>
      <c r="I114" s="212"/>
      <c r="J114" s="213"/>
      <c r="K114" s="213"/>
      <c r="L114" s="213"/>
      <c r="M114" s="149"/>
      <c r="N114" s="149"/>
      <c r="O114" s="149"/>
      <c r="P114" s="214"/>
      <c r="Q114" s="214"/>
      <c r="R114" s="214"/>
      <c r="S114" s="819">
        <f>P114*('Total Summary Tab'!$H$9/'Total Summary Tab'!$H$7)</f>
        <v>0</v>
      </c>
      <c r="T114" s="819">
        <f>Q114*('Duke Delta'!$H$20/'Duke Delta'!$H$18)</f>
        <v>0</v>
      </c>
      <c r="U114" s="819">
        <f>R114*('Duke Delta'!$H$31/'Duke Delta'!$H$29)</f>
        <v>0</v>
      </c>
    </row>
    <row r="115" spans="1:21">
      <c r="A115" s="215">
        <v>351</v>
      </c>
      <c r="B115" s="216" t="s">
        <v>47</v>
      </c>
      <c r="G115" s="217">
        <v>11</v>
      </c>
      <c r="H115" s="217">
        <v>2</v>
      </c>
      <c r="I115" s="217"/>
      <c r="J115" s="218">
        <v>20.475984441030224</v>
      </c>
      <c r="K115" s="218">
        <v>2.721765088881805</v>
      </c>
      <c r="L115" s="218">
        <v>2.5312415326600788</v>
      </c>
      <c r="M115" s="149">
        <f>1-0.25</f>
        <v>0.75</v>
      </c>
      <c r="N115" s="149">
        <v>0.75</v>
      </c>
      <c r="O115" s="149">
        <v>20.475984441030224</v>
      </c>
      <c r="P115" s="214">
        <f t="shared" si="15"/>
        <v>15.356988330772669</v>
      </c>
      <c r="Q115" s="214">
        <f>K115*M115</f>
        <v>2.0413238166613539</v>
      </c>
      <c r="R115" s="214">
        <f>L115*M115</f>
        <v>1.898431149495059</v>
      </c>
      <c r="S115" s="819">
        <f>P115*('Total Summary Tab'!$H$9/'Total Summary Tab'!$H$7)</f>
        <v>15.105326663626093</v>
      </c>
      <c r="T115" s="819">
        <f>Q115*('Duke Delta'!$H$20/'Duke Delta'!$H$18)</f>
        <v>1.9395730668770228</v>
      </c>
      <c r="U115" s="819">
        <f>R115*('Duke Delta'!$H$31/'Duke Delta'!$H$29)</f>
        <v>1.6339389019354575</v>
      </c>
    </row>
    <row r="116" spans="1:21">
      <c r="A116" s="207">
        <v>400</v>
      </c>
      <c r="B116" s="208" t="s">
        <v>48</v>
      </c>
      <c r="C116" s="92"/>
      <c r="D116" s="19" t="s">
        <v>323</v>
      </c>
      <c r="G116" s="219"/>
      <c r="H116" s="219"/>
      <c r="I116" s="219"/>
      <c r="J116" s="220"/>
      <c r="K116" s="220"/>
      <c r="L116" s="220"/>
      <c r="M116" s="149"/>
      <c r="N116" s="149"/>
      <c r="O116" s="149"/>
      <c r="P116" s="214"/>
      <c r="Q116" s="214"/>
      <c r="R116" s="214"/>
      <c r="S116" s="819">
        <f>P116*('Total Summary Tab'!$H$9/'Total Summary Tab'!$H$7)</f>
        <v>0</v>
      </c>
      <c r="T116" s="819">
        <f>Q116*('Duke Delta'!$H$20/'Duke Delta'!$H$18)</f>
        <v>0</v>
      </c>
      <c r="U116" s="819">
        <f>R116*('Duke Delta'!$H$31/'Duke Delta'!$H$29)</f>
        <v>0</v>
      </c>
    </row>
    <row r="117" spans="1:21">
      <c r="A117" s="210">
        <v>400</v>
      </c>
      <c r="B117" s="211" t="s">
        <v>301</v>
      </c>
      <c r="C117" s="92"/>
      <c r="D117" s="19" t="s">
        <v>302</v>
      </c>
      <c r="G117" s="212"/>
      <c r="H117" s="212"/>
      <c r="I117" s="212"/>
      <c r="J117" s="213"/>
      <c r="K117" s="213"/>
      <c r="L117" s="213"/>
      <c r="M117" s="149"/>
      <c r="N117" s="149"/>
      <c r="O117" s="149"/>
      <c r="P117" s="214"/>
      <c r="Q117" s="214"/>
      <c r="R117" s="214"/>
      <c r="S117" s="819">
        <f>P117*('Total Summary Tab'!$H$9/'Total Summary Tab'!$H$7)</f>
        <v>0</v>
      </c>
      <c r="T117" s="819">
        <f>Q117*('Duke Delta'!$H$20/'Duke Delta'!$H$18)</f>
        <v>0</v>
      </c>
      <c r="U117" s="819">
        <f>R117*('Duke Delta'!$H$31/'Duke Delta'!$H$29)</f>
        <v>0</v>
      </c>
    </row>
    <row r="118" spans="1:21">
      <c r="A118" s="215">
        <v>401</v>
      </c>
      <c r="B118" s="216" t="s">
        <v>49</v>
      </c>
      <c r="G118" s="223">
        <v>10</v>
      </c>
      <c r="H118" s="223">
        <v>2</v>
      </c>
      <c r="I118" s="223"/>
      <c r="J118" s="224">
        <v>775.59534912641902</v>
      </c>
      <c r="K118" s="224">
        <v>61.427313869445399</v>
      </c>
      <c r="L118" s="224">
        <v>165.8537474475026</v>
      </c>
      <c r="M118" s="149">
        <f>(2.9-0.948)/(2.9-0.92)</f>
        <v>0.98585858585858588</v>
      </c>
      <c r="N118" s="149">
        <v>0.98585858585858588</v>
      </c>
      <c r="O118" s="149">
        <v>775.59534912641902</v>
      </c>
      <c r="P118" s="214">
        <f t="shared" si="15"/>
        <v>764.62733408826762</v>
      </c>
      <c r="Q118" s="214">
        <f>K118*M118</f>
        <v>60.558644784422938</v>
      </c>
      <c r="R118" s="214">
        <f>L118*M118</f>
        <v>163.50834091794195</v>
      </c>
      <c r="S118" s="819">
        <f>P118*('Total Summary Tab'!$H$9/'Total Summary Tab'!$H$7)</f>
        <v>752.09705240166204</v>
      </c>
      <c r="T118" s="819">
        <f>Q118*('Duke Delta'!$H$20/'Duke Delta'!$H$18)</f>
        <v>57.540070532535772</v>
      </c>
      <c r="U118" s="819">
        <f>R118*('Duke Delta'!$H$31/'Duke Delta'!$H$29)</f>
        <v>140.7281159961002</v>
      </c>
    </row>
    <row r="119" spans="1:21">
      <c r="A119" s="234">
        <v>402</v>
      </c>
      <c r="B119" s="235" t="s">
        <v>50</v>
      </c>
      <c r="C119" s="236"/>
      <c r="D119" s="236"/>
      <c r="E119" s="236"/>
      <c r="F119" s="236"/>
      <c r="G119" s="237"/>
      <c r="H119" s="237"/>
      <c r="I119" s="237"/>
      <c r="J119" s="238"/>
      <c r="K119" s="238"/>
      <c r="L119" s="236"/>
      <c r="M119" s="149">
        <v>0</v>
      </c>
      <c r="N119" s="149"/>
      <c r="O119" s="149"/>
      <c r="P119" s="214"/>
      <c r="Q119" s="214"/>
      <c r="R119" s="214"/>
      <c r="S119" s="819">
        <f>P119*('Total Summary Tab'!$H$9/'Total Summary Tab'!$H$7)</f>
        <v>0</v>
      </c>
      <c r="T119" s="819">
        <f>Q119*('Duke Delta'!$H$20/'Duke Delta'!$H$18)</f>
        <v>0</v>
      </c>
      <c r="U119" s="819">
        <f>R119*('Duke Delta'!$H$31/'Duke Delta'!$H$29)</f>
        <v>0</v>
      </c>
    </row>
    <row r="120" spans="1:21" s="22" customFormat="1">
      <c r="A120" s="215">
        <v>403</v>
      </c>
      <c r="B120" s="216" t="s">
        <v>51</v>
      </c>
      <c r="G120" s="223">
        <v>15</v>
      </c>
      <c r="H120" s="223">
        <v>2</v>
      </c>
      <c r="I120" s="223"/>
      <c r="J120" s="224">
        <v>41.108974459914712</v>
      </c>
      <c r="K120" s="224">
        <v>4.6546021125247741</v>
      </c>
      <c r="L120" s="224">
        <v>0</v>
      </c>
      <c r="M120" s="149">
        <f>M118</f>
        <v>0.98585858585858588</v>
      </c>
      <c r="N120" s="149">
        <v>0.98585858585858588</v>
      </c>
      <c r="O120" s="149">
        <v>41.108974459914712</v>
      </c>
      <c r="P120" s="214">
        <f t="shared" si="15"/>
        <v>40.52763542714824</v>
      </c>
      <c r="Q120" s="214">
        <f t="shared" ref="Q120:Q128" si="18">K120*M120</f>
        <v>4.5887794563880604</v>
      </c>
      <c r="R120" s="214">
        <f t="shared" ref="R120:R128" si="19">L120*M120</f>
        <v>0</v>
      </c>
      <c r="S120" s="819">
        <f>P120*('Total Summary Tab'!$H$9/'Total Summary Tab'!$H$7)</f>
        <v>39.863491385528611</v>
      </c>
      <c r="T120" s="819">
        <f>Q120*('Duke Delta'!$H$20/'Duke Delta'!$H$18)</f>
        <v>4.360049577046297</v>
      </c>
      <c r="U120" s="819">
        <f>R120*('Duke Delta'!$H$31/'Duke Delta'!$H$29)</f>
        <v>0</v>
      </c>
    </row>
    <row r="121" spans="1:21">
      <c r="A121" s="215">
        <v>404</v>
      </c>
      <c r="B121" s="216" t="s">
        <v>52</v>
      </c>
      <c r="G121" s="223">
        <v>10</v>
      </c>
      <c r="H121" s="223">
        <v>2</v>
      </c>
      <c r="I121" s="223"/>
      <c r="J121" s="224">
        <v>208.69122869578808</v>
      </c>
      <c r="K121" s="224">
        <v>73.045067924495157</v>
      </c>
      <c r="L121" s="224">
        <v>0</v>
      </c>
      <c r="M121" s="149">
        <f>(2.9-0.948)/(2.9-0.92)</f>
        <v>0.98585858585858588</v>
      </c>
      <c r="N121" s="149">
        <v>0.97046413502109719</v>
      </c>
      <c r="O121" s="149">
        <v>208.69122869578808</v>
      </c>
      <c r="P121" s="214">
        <f t="shared" si="15"/>
        <v>205.74003960312038</v>
      </c>
      <c r="Q121" s="214">
        <f t="shared" si="18"/>
        <v>72.012107367987142</v>
      </c>
      <c r="R121" s="214">
        <f t="shared" si="19"/>
        <v>0</v>
      </c>
      <c r="S121" s="819">
        <f>P121*('Total Summary Tab'!$H$9/'Total Summary Tab'!$H$7)</f>
        <v>202.36848782160521</v>
      </c>
      <c r="T121" s="819">
        <f>Q121*('Duke Delta'!$H$20/'Duke Delta'!$H$18)</f>
        <v>68.422629864008158</v>
      </c>
      <c r="U121" s="819">
        <f>R121*('Duke Delta'!$H$31/'Duke Delta'!$H$29)</f>
        <v>0</v>
      </c>
    </row>
    <row r="122" spans="1:21" ht="38.25" customHeight="1">
      <c r="A122" s="221">
        <v>405</v>
      </c>
      <c r="B122" s="222" t="s">
        <v>53</v>
      </c>
      <c r="D122" s="941" t="s">
        <v>865</v>
      </c>
      <c r="G122" s="223">
        <v>10</v>
      </c>
      <c r="H122" s="223">
        <v>1</v>
      </c>
      <c r="I122" s="223"/>
      <c r="J122" s="224">
        <v>104.29051993412295</v>
      </c>
      <c r="K122" s="224">
        <v>8.3359735206581309</v>
      </c>
      <c r="L122" s="224">
        <v>22.507128505776954</v>
      </c>
      <c r="M122" s="149">
        <f t="shared" ref="M122:M128" si="20">0.92/0.948</f>
        <v>0.97046413502109719</v>
      </c>
      <c r="N122" s="149">
        <v>0.97046413502109719</v>
      </c>
      <c r="O122" s="149">
        <v>104.29051993412295</v>
      </c>
      <c r="P122" s="214">
        <f t="shared" si="15"/>
        <v>101.21020921876912</v>
      </c>
      <c r="Q122" s="214">
        <f t="shared" si="18"/>
        <v>8.0897633322842637</v>
      </c>
      <c r="R122" s="214">
        <f t="shared" si="19"/>
        <v>21.842360997167511</v>
      </c>
      <c r="S122" s="819">
        <f>P122*('Total Summary Tab'!$H$9/'Total Summary Tab'!$H$7)</f>
        <v>99.551633368111581</v>
      </c>
      <c r="T122" s="819">
        <f>Q122*('Duke Delta'!$H$20/'Duke Delta'!$H$18)</f>
        <v>7.6865252580898513</v>
      </c>
      <c r="U122" s="819">
        <f>R122*('Duke Delta'!$H$31/'Duke Delta'!$H$29)</f>
        <v>18.79925081975307</v>
      </c>
    </row>
    <row r="123" spans="1:21">
      <c r="A123" s="221">
        <v>406</v>
      </c>
      <c r="B123" s="222" t="s">
        <v>54</v>
      </c>
      <c r="D123" s="941"/>
      <c r="G123" s="223">
        <v>13</v>
      </c>
      <c r="H123" s="223">
        <v>1</v>
      </c>
      <c r="I123" s="223"/>
      <c r="J123" s="224">
        <v>31.241663030001455</v>
      </c>
      <c r="K123" s="224">
        <v>2.4794991811448255</v>
      </c>
      <c r="L123" s="224">
        <v>6.6946477890910296</v>
      </c>
      <c r="M123" s="149">
        <f t="shared" si="20"/>
        <v>0.97046413502109719</v>
      </c>
      <c r="N123" s="149">
        <v>0.97046413502109719</v>
      </c>
      <c r="O123" s="149">
        <v>31.241663030001455</v>
      </c>
      <c r="P123" s="214">
        <f t="shared" si="15"/>
        <v>30.318913489030951</v>
      </c>
      <c r="Q123" s="214">
        <f t="shared" si="18"/>
        <v>2.4062650281152318</v>
      </c>
      <c r="R123" s="214">
        <f t="shared" si="19"/>
        <v>6.4969155759111263</v>
      </c>
      <c r="S123" s="819">
        <f>P123*('Total Summary Tab'!$H$9/'Total Summary Tab'!$H$7)</f>
        <v>29.822064227289115</v>
      </c>
      <c r="T123" s="819">
        <f>Q123*('Duke Delta'!$H$20/'Duke Delta'!$H$18)</f>
        <v>2.2863236112796699</v>
      </c>
      <c r="U123" s="819">
        <f>R123*('Duke Delta'!$H$31/'Duke Delta'!$H$29)</f>
        <v>5.5917556477595216</v>
      </c>
    </row>
    <row r="124" spans="1:21">
      <c r="A124" s="221">
        <v>407</v>
      </c>
      <c r="B124" s="222" t="s">
        <v>55</v>
      </c>
      <c r="D124" s="941"/>
      <c r="G124" s="223">
        <v>10</v>
      </c>
      <c r="H124" s="223">
        <v>1</v>
      </c>
      <c r="I124" s="223"/>
      <c r="J124" s="224">
        <v>55.004869322740639</v>
      </c>
      <c r="K124" s="224">
        <v>4.3786456314547593</v>
      </c>
      <c r="L124" s="224">
        <v>11.822343204927851</v>
      </c>
      <c r="M124" s="149">
        <f t="shared" si="20"/>
        <v>0.97046413502109719</v>
      </c>
      <c r="N124" s="149">
        <v>0.97046413502109719</v>
      </c>
      <c r="O124" s="149">
        <v>55.004869322740639</v>
      </c>
      <c r="P124" s="214">
        <f t="shared" si="15"/>
        <v>53.380252929241976</v>
      </c>
      <c r="Q124" s="214">
        <f t="shared" si="18"/>
        <v>4.2493185452936491</v>
      </c>
      <c r="R124" s="214">
        <f t="shared" si="19"/>
        <v>11.473160072292853</v>
      </c>
      <c r="S124" s="819">
        <f>P124*('Total Summary Tab'!$H$9/'Total Summary Tab'!$H$7)</f>
        <v>52.505487437758198</v>
      </c>
      <c r="T124" s="819">
        <f>Q124*('Duke Delta'!$H$20/'Duke Delta'!$H$18)</f>
        <v>4.0375092553970324</v>
      </c>
      <c r="U124" s="819">
        <f>R124*('Duke Delta'!$H$31/'Duke Delta'!$H$29)</f>
        <v>9.8747023695002376</v>
      </c>
    </row>
    <row r="125" spans="1:21">
      <c r="A125" s="221">
        <v>408</v>
      </c>
      <c r="B125" s="222" t="s">
        <v>56</v>
      </c>
      <c r="D125" s="941"/>
      <c r="G125" s="223">
        <v>7</v>
      </c>
      <c r="H125" s="223">
        <v>1</v>
      </c>
      <c r="I125" s="223"/>
      <c r="J125" s="224">
        <v>132.69566180745346</v>
      </c>
      <c r="K125" s="224">
        <v>10.514460570113211</v>
      </c>
      <c r="L125" s="224">
        <v>28.389043539305671</v>
      </c>
      <c r="M125" s="149">
        <f t="shared" si="20"/>
        <v>0.97046413502109719</v>
      </c>
      <c r="N125" s="149">
        <v>0.97046413502109719</v>
      </c>
      <c r="O125" s="149">
        <v>132.69566180745346</v>
      </c>
      <c r="P125" s="214">
        <f t="shared" si="15"/>
        <v>128.77638065702237</v>
      </c>
      <c r="Q125" s="214">
        <f t="shared" si="18"/>
        <v>10.203906882388351</v>
      </c>
      <c r="R125" s="214">
        <f t="shared" si="19"/>
        <v>27.550548582448545</v>
      </c>
      <c r="S125" s="819">
        <f>P125*('Total Summary Tab'!$H$9/'Total Summary Tab'!$H$7)</f>
        <v>126.66606592947203</v>
      </c>
      <c r="T125" s="819">
        <f>Q125*('Duke Delta'!$H$20/'Duke Delta'!$H$18)</f>
        <v>9.6952883244024815</v>
      </c>
      <c r="U125" s="819">
        <f>R125*('Duke Delta'!$H$31/'Duke Delta'!$H$29)</f>
        <v>23.712165232064748</v>
      </c>
    </row>
    <row r="126" spans="1:21">
      <c r="A126" s="221">
        <v>409</v>
      </c>
      <c r="B126" s="222" t="s">
        <v>57</v>
      </c>
      <c r="D126" s="941"/>
      <c r="G126" s="223">
        <v>5</v>
      </c>
      <c r="H126" s="223">
        <v>1</v>
      </c>
      <c r="I126" s="223"/>
      <c r="J126" s="224">
        <v>7.9262121810125592</v>
      </c>
      <c r="K126" s="224">
        <v>0.62777373582283635</v>
      </c>
      <c r="L126" s="224">
        <v>1.6949890867216584</v>
      </c>
      <c r="M126" s="149">
        <f t="shared" si="20"/>
        <v>0.97046413502109719</v>
      </c>
      <c r="N126" s="149">
        <v>0.97046413502109719</v>
      </c>
      <c r="O126" s="149">
        <v>7.9262121810125592</v>
      </c>
      <c r="P126" s="214">
        <f t="shared" si="15"/>
        <v>7.6921046482400373</v>
      </c>
      <c r="Q126" s="214">
        <f t="shared" si="18"/>
        <v>0.6092318955242717</v>
      </c>
      <c r="R126" s="214">
        <f t="shared" si="19"/>
        <v>1.6449261179155337</v>
      </c>
      <c r="S126" s="819">
        <f>P126*('Total Summary Tab'!$H$9/'Total Summary Tab'!$H$7)</f>
        <v>7.5660507737467544</v>
      </c>
      <c r="T126" s="819">
        <f>Q126*('Duke Delta'!$H$20/'Duke Delta'!$H$18)</f>
        <v>0.57886444394399761</v>
      </c>
      <c r="U126" s="819">
        <f>R126*('Duke Delta'!$H$31/'Duke Delta'!$H$29)</f>
        <v>1.4157525678962515</v>
      </c>
    </row>
    <row r="127" spans="1:21">
      <c r="A127" s="221">
        <v>410</v>
      </c>
      <c r="B127" s="222" t="s">
        <v>58</v>
      </c>
      <c r="D127" s="941"/>
      <c r="G127" s="223">
        <v>10</v>
      </c>
      <c r="H127" s="223">
        <v>1</v>
      </c>
      <c r="I127" s="223"/>
      <c r="J127" s="224">
        <v>71.120826567923586</v>
      </c>
      <c r="K127" s="224">
        <v>5.6329285628191457</v>
      </c>
      <c r="L127" s="224">
        <v>15.208907119611695</v>
      </c>
      <c r="M127" s="149">
        <f t="shared" si="20"/>
        <v>0.97046413502109719</v>
      </c>
      <c r="N127" s="149">
        <v>0.97046413502109719</v>
      </c>
      <c r="O127" s="149">
        <v>71.120826567923586</v>
      </c>
      <c r="P127" s="214">
        <f t="shared" si="15"/>
        <v>69.020211437225427</v>
      </c>
      <c r="Q127" s="214">
        <f t="shared" si="18"/>
        <v>5.4665551453519141</v>
      </c>
      <c r="R127" s="214">
        <f t="shared" si="19"/>
        <v>14.759698892450171</v>
      </c>
      <c r="S127" s="819">
        <f>P127*('Total Summary Tab'!$H$9/'Total Summary Tab'!$H$7)</f>
        <v>67.889147122857523</v>
      </c>
      <c r="T127" s="819">
        <f>Q127*('Duke Delta'!$H$20/'Duke Delta'!$H$18)</f>
        <v>5.1940721222092776</v>
      </c>
      <c r="U127" s="819">
        <f>R127*('Duke Delta'!$H$31/'Duke Delta'!$H$29)</f>
        <v>12.703355719612201</v>
      </c>
    </row>
    <row r="128" spans="1:21">
      <c r="A128" s="221">
        <v>411</v>
      </c>
      <c r="B128" s="222" t="s">
        <v>59</v>
      </c>
      <c r="D128" s="941"/>
      <c r="G128" s="223">
        <v>10</v>
      </c>
      <c r="H128" s="223">
        <v>1</v>
      </c>
      <c r="I128" s="223"/>
      <c r="J128" s="224">
        <v>143.78647123960235</v>
      </c>
      <c r="K128" s="224">
        <v>11.393267585393813</v>
      </c>
      <c r="L128" s="224">
        <v>30.761822480563296</v>
      </c>
      <c r="M128" s="149">
        <f t="shared" si="20"/>
        <v>0.97046413502109719</v>
      </c>
      <c r="N128" s="149">
        <v>0.97046413502109719</v>
      </c>
      <c r="O128" s="149">
        <v>143.78647123960235</v>
      </c>
      <c r="P128" s="214">
        <f t="shared" si="15"/>
        <v>139.53961343927656</v>
      </c>
      <c r="Q128" s="214">
        <f t="shared" si="18"/>
        <v>11.056757572323111</v>
      </c>
      <c r="R128" s="214">
        <f t="shared" si="19"/>
        <v>29.853245445272403</v>
      </c>
      <c r="S128" s="819">
        <f>P128*('Total Summary Tab'!$H$9/'Total Summary Tab'!$H$7)</f>
        <v>137.25291692074438</v>
      </c>
      <c r="T128" s="819">
        <f>Q128*('Duke Delta'!$H$20/'Duke Delta'!$H$18)</f>
        <v>10.505628268885363</v>
      </c>
      <c r="U128" s="819">
        <f>R128*('Duke Delta'!$H$31/'Duke Delta'!$H$29)</f>
        <v>25.694046947676807</v>
      </c>
    </row>
    <row r="129" spans="1:21">
      <c r="A129" s="210">
        <v>500</v>
      </c>
      <c r="B129" s="211" t="s">
        <v>60</v>
      </c>
      <c r="D129" s="201" t="s">
        <v>326</v>
      </c>
      <c r="G129" s="230"/>
      <c r="H129" s="230"/>
      <c r="I129" s="230"/>
      <c r="J129" s="229"/>
      <c r="K129" s="229"/>
      <c r="L129" s="229"/>
      <c r="M129" s="149"/>
      <c r="N129" s="149"/>
      <c r="O129" s="149"/>
      <c r="P129" s="214"/>
      <c r="Q129" s="214"/>
      <c r="R129" s="214"/>
      <c r="S129" s="819">
        <f>P129*('Total Summary Tab'!$H$9/'Total Summary Tab'!$H$7)</f>
        <v>0</v>
      </c>
      <c r="T129" s="819">
        <f>Q129*('Duke Delta'!$H$20/'Duke Delta'!$H$18)</f>
        <v>0</v>
      </c>
      <c r="U129" s="819">
        <f>R129*('Duke Delta'!$H$31/'Duke Delta'!$H$29)</f>
        <v>0</v>
      </c>
    </row>
    <row r="130" spans="1:21">
      <c r="A130" s="231">
        <v>501</v>
      </c>
      <c r="B130" s="232" t="s">
        <v>61</v>
      </c>
      <c r="D130" s="19" t="s">
        <v>663</v>
      </c>
      <c r="G130" s="230"/>
      <c r="H130" s="230"/>
      <c r="I130" s="230"/>
      <c r="J130" s="229"/>
      <c r="K130" s="229"/>
      <c r="L130" s="229"/>
      <c r="M130" s="149"/>
      <c r="N130" s="149"/>
      <c r="O130" s="149"/>
      <c r="P130" s="214"/>
      <c r="Q130" s="214"/>
      <c r="R130" s="214"/>
      <c r="S130" s="819">
        <f>P130*('Total Summary Tab'!$H$9/'Total Summary Tab'!$H$7)</f>
        <v>0</v>
      </c>
      <c r="T130" s="819">
        <f>Q130*('Duke Delta'!$H$20/'Duke Delta'!$H$18)</f>
        <v>0</v>
      </c>
      <c r="U130" s="819">
        <f>R130*('Duke Delta'!$H$31/'Duke Delta'!$H$29)</f>
        <v>0</v>
      </c>
    </row>
    <row r="131" spans="1:21">
      <c r="A131" s="231">
        <v>502</v>
      </c>
      <c r="B131" s="232" t="s">
        <v>62</v>
      </c>
      <c r="D131" s="19" t="s">
        <v>663</v>
      </c>
      <c r="G131" s="240">
        <v>11</v>
      </c>
      <c r="H131" s="240">
        <v>2</v>
      </c>
      <c r="I131" s="240"/>
      <c r="J131" s="241">
        <v>209.33833490323076</v>
      </c>
      <c r="K131" s="241">
        <v>29.412479332745988</v>
      </c>
      <c r="L131" s="241">
        <v>29.412479332745988</v>
      </c>
      <c r="M131" s="149">
        <v>1</v>
      </c>
      <c r="N131" s="149">
        <v>1</v>
      </c>
      <c r="O131" s="149">
        <v>209.33833490323076</v>
      </c>
      <c r="P131" s="214">
        <f t="shared" si="15"/>
        <v>209.33833490323076</v>
      </c>
      <c r="Q131" s="214">
        <f t="shared" ref="Q131:Q132" si="21">K131*M131</f>
        <v>29.412479332745988</v>
      </c>
      <c r="R131" s="214">
        <f t="shared" ref="R131:R132" si="22">L131*M131</f>
        <v>29.412479332745988</v>
      </c>
      <c r="S131" s="819">
        <f>P131*('Total Summary Tab'!$H$9/'Total Summary Tab'!$H$7)</f>
        <v>205.90781628690354</v>
      </c>
      <c r="T131" s="819">
        <f>Q131*('Duke Delta'!$H$20/'Duke Delta'!$H$18)</f>
        <v>27.946400408522312</v>
      </c>
      <c r="U131" s="819">
        <f>R131*('Duke Delta'!$H$31/'Duke Delta'!$H$29)</f>
        <v>25.314689024634234</v>
      </c>
    </row>
    <row r="132" spans="1:21">
      <c r="A132" s="231">
        <v>503</v>
      </c>
      <c r="B132" s="232" t="s">
        <v>63</v>
      </c>
      <c r="D132" s="19" t="s">
        <v>663</v>
      </c>
      <c r="G132" s="240">
        <v>11</v>
      </c>
      <c r="H132" s="240">
        <v>2</v>
      </c>
      <c r="I132" s="240"/>
      <c r="J132" s="241">
        <v>79.400392984276309</v>
      </c>
      <c r="K132" s="241">
        <v>11.155923346488281</v>
      </c>
      <c r="L132" s="241">
        <v>11.155923346488281</v>
      </c>
      <c r="M132" s="149">
        <v>1</v>
      </c>
      <c r="N132" s="149">
        <v>1</v>
      </c>
      <c r="O132" s="149">
        <v>79.400392984276309</v>
      </c>
      <c r="P132" s="214">
        <f t="shared" si="15"/>
        <v>79.400392984276309</v>
      </c>
      <c r="Q132" s="214">
        <f t="shared" si="21"/>
        <v>11.155923346488281</v>
      </c>
      <c r="R132" s="214">
        <f t="shared" si="22"/>
        <v>11.155923346488281</v>
      </c>
      <c r="S132" s="819">
        <f>P132*('Total Summary Tab'!$H$9/'Total Summary Tab'!$H$7)</f>
        <v>78.099224106621051</v>
      </c>
      <c r="T132" s="819">
        <f>Q132*('Duke Delta'!$H$20/'Duke Delta'!$H$18)</f>
        <v>10.599851078200032</v>
      </c>
      <c r="U132" s="819">
        <f>R132*('Duke Delta'!$H$31/'Duke Delta'!$H$29)</f>
        <v>9.6016635355385276</v>
      </c>
    </row>
    <row r="133" spans="1:21">
      <c r="A133" s="207">
        <v>600</v>
      </c>
      <c r="B133" s="208" t="s">
        <v>64</v>
      </c>
      <c r="G133" s="219"/>
      <c r="H133" s="219"/>
      <c r="I133" s="219"/>
      <c r="J133" s="220"/>
      <c r="K133" s="220"/>
      <c r="L133" s="220"/>
      <c r="M133" s="149"/>
      <c r="N133" s="149"/>
      <c r="O133" s="149"/>
      <c r="P133" s="214"/>
      <c r="Q133" s="214"/>
      <c r="R133" s="214"/>
      <c r="S133" s="819">
        <f>P133*('Total Summary Tab'!$H$9/'Total Summary Tab'!$H$7)</f>
        <v>0</v>
      </c>
      <c r="T133" s="819">
        <f>Q133*('Duke Delta'!$H$20/'Duke Delta'!$H$18)</f>
        <v>0</v>
      </c>
      <c r="U133" s="819">
        <f>R133*('Duke Delta'!$H$31/'Duke Delta'!$H$29)</f>
        <v>0</v>
      </c>
    </row>
    <row r="134" spans="1:21">
      <c r="A134" s="210">
        <v>600</v>
      </c>
      <c r="B134" s="211" t="s">
        <v>384</v>
      </c>
      <c r="D134" s="19" t="s">
        <v>322</v>
      </c>
      <c r="G134" s="212"/>
      <c r="H134" s="212"/>
      <c r="I134" s="212"/>
      <c r="J134" s="213"/>
      <c r="K134" s="213"/>
      <c r="L134" s="213"/>
      <c r="M134" s="149"/>
      <c r="N134" s="149"/>
      <c r="O134" s="149"/>
      <c r="P134" s="214"/>
      <c r="Q134" s="214"/>
      <c r="R134" s="214"/>
      <c r="S134" s="819">
        <f>P134*('Total Summary Tab'!$H$9/'Total Summary Tab'!$H$7)</f>
        <v>0</v>
      </c>
      <c r="T134" s="819">
        <f>Q134*('Duke Delta'!$H$20/'Duke Delta'!$H$18)</f>
        <v>0</v>
      </c>
      <c r="U134" s="819">
        <f>R134*('Duke Delta'!$H$31/'Duke Delta'!$H$29)</f>
        <v>0</v>
      </c>
    </row>
    <row r="135" spans="1:21">
      <c r="A135" s="234">
        <v>610</v>
      </c>
      <c r="B135" s="235" t="s">
        <v>65</v>
      </c>
      <c r="C135" s="236"/>
      <c r="D135" s="236" t="s">
        <v>385</v>
      </c>
      <c r="E135" s="236"/>
      <c r="F135" s="236"/>
      <c r="G135" s="237">
        <v>18</v>
      </c>
      <c r="H135" s="237">
        <v>2</v>
      </c>
      <c r="I135" s="237"/>
      <c r="J135" s="238">
        <v>96.882394113274415</v>
      </c>
      <c r="K135" s="238">
        <v>15.638710059664131</v>
      </c>
      <c r="L135" s="238">
        <v>7.3501937280421412</v>
      </c>
      <c r="M135" s="149">
        <v>0</v>
      </c>
      <c r="N135" s="149">
        <v>0</v>
      </c>
      <c r="O135" s="149">
        <v>0</v>
      </c>
      <c r="P135" s="214">
        <f t="shared" si="15"/>
        <v>0</v>
      </c>
      <c r="Q135" s="214">
        <f>K135*M135</f>
        <v>0</v>
      </c>
      <c r="R135" s="214">
        <f>L135*M135</f>
        <v>0</v>
      </c>
      <c r="S135" s="819">
        <f>P135*('Total Summary Tab'!$H$9/'Total Summary Tab'!$H$7)</f>
        <v>0</v>
      </c>
      <c r="T135" s="819">
        <f>Q135*('Duke Delta'!$H$20/'Duke Delta'!$H$18)</f>
        <v>0</v>
      </c>
      <c r="U135" s="819">
        <f>R135*('Duke Delta'!$H$31/'Duke Delta'!$H$29)</f>
        <v>0</v>
      </c>
    </row>
    <row r="136" spans="1:21">
      <c r="A136" s="210">
        <v>700</v>
      </c>
      <c r="B136" s="211" t="s">
        <v>66</v>
      </c>
      <c r="G136" s="230"/>
      <c r="H136" s="230"/>
      <c r="I136" s="230"/>
      <c r="J136" s="229"/>
      <c r="K136" s="229"/>
      <c r="L136" s="229"/>
      <c r="M136" s="149"/>
      <c r="N136" s="149"/>
      <c r="O136" s="149"/>
      <c r="P136" s="214"/>
      <c r="Q136" s="214"/>
      <c r="R136" s="214"/>
      <c r="S136" s="819">
        <f>P136*('Total Summary Tab'!$H$9/'Total Summary Tab'!$H$7)</f>
        <v>0</v>
      </c>
      <c r="T136" s="819">
        <f>Q136*('Duke Delta'!$H$20/'Duke Delta'!$H$18)</f>
        <v>0</v>
      </c>
      <c r="U136" s="819">
        <f>R136*('Duke Delta'!$H$31/'Duke Delta'!$H$29)</f>
        <v>0</v>
      </c>
    </row>
    <row r="137" spans="1:21">
      <c r="A137" s="231">
        <v>701</v>
      </c>
      <c r="B137" s="232" t="s">
        <v>67</v>
      </c>
      <c r="G137" s="240">
        <v>13</v>
      </c>
      <c r="H137" s="240">
        <v>2</v>
      </c>
      <c r="I137" s="240"/>
      <c r="J137" s="241">
        <v>152.73757371240478</v>
      </c>
      <c r="K137" s="241">
        <v>14.978323904556147</v>
      </c>
      <c r="L137" s="241">
        <v>10.784393211280426</v>
      </c>
      <c r="M137" s="149">
        <v>1</v>
      </c>
      <c r="N137" s="149">
        <v>1</v>
      </c>
      <c r="O137" s="149">
        <v>152.73757371240478</v>
      </c>
      <c r="P137" s="214">
        <f t="shared" ref="P137:P156" si="23">O137*M137</f>
        <v>152.73757371240478</v>
      </c>
      <c r="Q137" s="214">
        <f>K137*M137</f>
        <v>14.978323904556147</v>
      </c>
      <c r="R137" s="214">
        <f>L137*M137</f>
        <v>10.784393211280426</v>
      </c>
      <c r="S137" s="819">
        <f>P137*('Total Summary Tab'!$H$9/'Total Summary Tab'!$H$7)</f>
        <v>150.23459646136632</v>
      </c>
      <c r="T137" s="819">
        <f>Q137*('Duke Delta'!$H$20/'Duke Delta'!$H$18)</f>
        <v>14.231722275083271</v>
      </c>
      <c r="U137" s="819">
        <f>R137*('Duke Delta'!$H$31/'Duke Delta'!$H$29)</f>
        <v>9.2818955306156621</v>
      </c>
    </row>
    <row r="138" spans="1:21">
      <c r="A138" s="210">
        <v>800</v>
      </c>
      <c r="B138" s="211" t="s">
        <v>68</v>
      </c>
      <c r="G138" s="240"/>
      <c r="H138" s="240"/>
      <c r="I138" s="240"/>
      <c r="J138" s="241"/>
      <c r="K138" s="241"/>
      <c r="L138" s="241"/>
      <c r="M138" s="149"/>
      <c r="N138" s="149"/>
      <c r="O138" s="149"/>
      <c r="P138" s="214"/>
      <c r="Q138" s="214"/>
      <c r="R138" s="214"/>
      <c r="S138" s="819">
        <f>P138*('Total Summary Tab'!$H$9/'Total Summary Tab'!$H$7)</f>
        <v>0</v>
      </c>
      <c r="T138" s="819">
        <f>Q138*('Duke Delta'!$H$20/'Duke Delta'!$H$18)</f>
        <v>0</v>
      </c>
      <c r="U138" s="819">
        <f>R138*('Duke Delta'!$H$31/'Duke Delta'!$H$29)</f>
        <v>0</v>
      </c>
    </row>
    <row r="139" spans="1:21">
      <c r="A139" s="231">
        <v>801</v>
      </c>
      <c r="B139" s="232" t="s">
        <v>69</v>
      </c>
      <c r="G139" s="240">
        <v>5</v>
      </c>
      <c r="H139" s="240">
        <v>2</v>
      </c>
      <c r="I139" s="240"/>
      <c r="J139" s="241">
        <v>210.31661463493069</v>
      </c>
      <c r="K139" s="241">
        <v>44.903026673349387</v>
      </c>
      <c r="L139" s="241">
        <v>8.5315750679363838</v>
      </c>
      <c r="M139" s="149">
        <v>1</v>
      </c>
      <c r="N139" s="149">
        <v>1</v>
      </c>
      <c r="O139" s="149">
        <v>210.31661463493069</v>
      </c>
      <c r="P139" s="214">
        <f t="shared" si="23"/>
        <v>210.31661463493069</v>
      </c>
      <c r="Q139" s="214">
        <f t="shared" ref="Q139:Q142" si="24">K139*M139</f>
        <v>44.903026673349387</v>
      </c>
      <c r="R139" s="214">
        <f t="shared" ref="R139:R142" si="25">L139*M139</f>
        <v>8.5315750679363838</v>
      </c>
      <c r="S139" s="819">
        <f>P139*('Total Summary Tab'!$H$9/'Total Summary Tab'!$H$7)</f>
        <v>206.87006452187296</v>
      </c>
      <c r="T139" s="819">
        <f>Q139*('Duke Delta'!$H$20/'Duke Delta'!$H$18)</f>
        <v>42.664814100553507</v>
      </c>
      <c r="U139" s="819">
        <f>R139*('Duke Delta'!$H$31/'Duke Delta'!$H$29)</f>
        <v>7.3429433571987346</v>
      </c>
    </row>
    <row r="140" spans="1:21">
      <c r="A140" s="231">
        <v>802</v>
      </c>
      <c r="B140" s="232" t="s">
        <v>70</v>
      </c>
      <c r="G140" s="240">
        <v>5</v>
      </c>
      <c r="H140" s="240">
        <v>2</v>
      </c>
      <c r="I140" s="240"/>
      <c r="J140" s="241">
        <v>215.57453187351578</v>
      </c>
      <c r="K140" s="241">
        <v>46.025602740010903</v>
      </c>
      <c r="L140" s="241">
        <v>8.7448645206020714</v>
      </c>
      <c r="M140" s="149">
        <v>1</v>
      </c>
      <c r="N140" s="149">
        <v>1</v>
      </c>
      <c r="O140" s="149">
        <v>215.57453187351578</v>
      </c>
      <c r="P140" s="214">
        <f t="shared" si="23"/>
        <v>215.57453187351578</v>
      </c>
      <c r="Q140" s="214">
        <f t="shared" si="24"/>
        <v>46.025602740010903</v>
      </c>
      <c r="R140" s="214">
        <f t="shared" si="25"/>
        <v>8.7448645206020714</v>
      </c>
      <c r="S140" s="819">
        <f>P140*('Total Summary Tab'!$H$9/'Total Summary Tab'!$H$7)</f>
        <v>212.04181797694267</v>
      </c>
      <c r="T140" s="819">
        <f>Q140*('Duke Delta'!$H$20/'Duke Delta'!$H$18)</f>
        <v>43.731434832965519</v>
      </c>
      <c r="U140" s="819">
        <f>R140*('Duke Delta'!$H$31/'Duke Delta'!$H$29)</f>
        <v>7.5265170065121074</v>
      </c>
    </row>
    <row r="141" spans="1:21">
      <c r="A141" s="231">
        <v>803</v>
      </c>
      <c r="B141" s="232" t="s">
        <v>71</v>
      </c>
      <c r="G141" s="240">
        <v>10</v>
      </c>
      <c r="H141" s="240">
        <v>2</v>
      </c>
      <c r="I141" s="240"/>
      <c r="J141" s="241">
        <v>238.65304572694674</v>
      </c>
      <c r="K141" s="241">
        <v>50.952912572097567</v>
      </c>
      <c r="L141" s="241">
        <v>9.6810533886985386</v>
      </c>
      <c r="M141" s="149">
        <v>1</v>
      </c>
      <c r="N141" s="149">
        <v>1</v>
      </c>
      <c r="O141" s="149">
        <v>238.65304572694674</v>
      </c>
      <c r="P141" s="214">
        <f t="shared" si="23"/>
        <v>238.65304572694674</v>
      </c>
      <c r="Q141" s="214">
        <f t="shared" si="24"/>
        <v>50.952912572097567</v>
      </c>
      <c r="R141" s="214">
        <f t="shared" si="25"/>
        <v>9.6810533886985386</v>
      </c>
      <c r="S141" s="819">
        <f>P141*('Total Summary Tab'!$H$9/'Total Summary Tab'!$H$7)</f>
        <v>234.74213415603003</v>
      </c>
      <c r="T141" s="819">
        <f>Q141*('Duke Delta'!$H$20/'Duke Delta'!$H$18)</f>
        <v>48.413140579241578</v>
      </c>
      <c r="U141" s="819">
        <f>R141*('Duke Delta'!$H$31/'Duke Delta'!$H$29)</f>
        <v>8.3322746509484631</v>
      </c>
    </row>
    <row r="142" spans="1:21">
      <c r="A142" s="231">
        <v>804</v>
      </c>
      <c r="B142" s="232" t="s">
        <v>72</v>
      </c>
      <c r="G142" s="240">
        <v>10</v>
      </c>
      <c r="H142" s="240">
        <v>2</v>
      </c>
      <c r="I142" s="240"/>
      <c r="J142" s="241">
        <v>152.98271739492716</v>
      </c>
      <c r="K142" s="241">
        <v>32.662122541625266</v>
      </c>
      <c r="L142" s="241">
        <v>6.2058032829088008</v>
      </c>
      <c r="M142" s="149">
        <v>1</v>
      </c>
      <c r="N142" s="149">
        <v>1</v>
      </c>
      <c r="O142" s="149">
        <v>152.98271739492716</v>
      </c>
      <c r="P142" s="214">
        <f t="shared" si="23"/>
        <v>152.98271739492716</v>
      </c>
      <c r="Q142" s="214">
        <f t="shared" si="24"/>
        <v>32.662122541625266</v>
      </c>
      <c r="R142" s="214">
        <f t="shared" si="25"/>
        <v>6.2058032829088008</v>
      </c>
      <c r="S142" s="819">
        <f>P142*('Total Summary Tab'!$H$9/'Total Summary Tab'!$H$7)</f>
        <v>150.47572286742113</v>
      </c>
      <c r="T142" s="819">
        <f>Q142*('Duke Delta'!$H$20/'Duke Delta'!$H$18)</f>
        <v>31.034063616807749</v>
      </c>
      <c r="U142" s="819">
        <f>R142*('Duke Delta'!$H$31/'Duke Delta'!$H$29)</f>
        <v>5.3412015518184344</v>
      </c>
    </row>
    <row r="143" spans="1:21">
      <c r="A143" s="210">
        <v>900</v>
      </c>
      <c r="B143" s="211" t="s">
        <v>73</v>
      </c>
      <c r="G143" s="240"/>
      <c r="H143" s="240"/>
      <c r="I143" s="240"/>
      <c r="J143" s="241"/>
      <c r="K143" s="241"/>
      <c r="L143" s="241"/>
      <c r="M143" s="149"/>
      <c r="N143" s="149"/>
      <c r="O143" s="149"/>
      <c r="P143" s="214"/>
      <c r="Q143" s="214"/>
      <c r="R143" s="214"/>
      <c r="S143" s="819">
        <f>P143*('Total Summary Tab'!$H$9/'Total Summary Tab'!$H$7)</f>
        <v>0</v>
      </c>
      <c r="T143" s="819">
        <f>Q143*('Duke Delta'!$H$20/'Duke Delta'!$H$18)</f>
        <v>0</v>
      </c>
      <c r="U143" s="819">
        <f>R143*('Duke Delta'!$H$31/'Duke Delta'!$H$29)</f>
        <v>0</v>
      </c>
    </row>
    <row r="144" spans="1:21">
      <c r="A144" s="231">
        <v>901</v>
      </c>
      <c r="B144" s="232" t="s">
        <v>74</v>
      </c>
      <c r="G144" s="240">
        <v>7</v>
      </c>
      <c r="H144" s="240">
        <v>2</v>
      </c>
      <c r="I144" s="240"/>
      <c r="J144" s="241">
        <v>6.385453459839888</v>
      </c>
      <c r="K144" s="241">
        <v>0.80332878471053659</v>
      </c>
      <c r="L144" s="241">
        <v>0.69889604269816685</v>
      </c>
      <c r="M144" s="149">
        <v>1</v>
      </c>
      <c r="N144" s="149">
        <v>1</v>
      </c>
      <c r="O144" s="149">
        <v>6.385453459839888</v>
      </c>
      <c r="P144" s="214">
        <f t="shared" si="23"/>
        <v>6.385453459839888</v>
      </c>
      <c r="Q144" s="214">
        <f>K144*M144</f>
        <v>0.80332878471053659</v>
      </c>
      <c r="R144" s="214">
        <f>L144*M144</f>
        <v>0.69889604269816685</v>
      </c>
      <c r="S144" s="819">
        <f>P144*('Total Summary Tab'!$H$9/'Total Summary Tab'!$H$7)</f>
        <v>6.2808122483876341</v>
      </c>
      <c r="T144" s="819">
        <f>Q144*('Duke Delta'!$H$20/'Duke Delta'!$H$18)</f>
        <v>0.76328648201437754</v>
      </c>
      <c r="U144" s="819">
        <f>R144*('Duke Delta'!$H$31/'Duke Delta'!$H$29)</f>
        <v>0.60152480793259955</v>
      </c>
    </row>
    <row r="145" spans="1:21">
      <c r="A145" s="210">
        <v>910</v>
      </c>
      <c r="B145" s="211" t="s">
        <v>75</v>
      </c>
      <c r="G145" s="240"/>
      <c r="H145" s="240"/>
      <c r="I145" s="240"/>
      <c r="J145" s="241"/>
      <c r="K145" s="241"/>
      <c r="M145" s="149"/>
      <c r="N145" s="149"/>
      <c r="O145" s="149"/>
      <c r="P145" s="214"/>
      <c r="Q145" s="214"/>
      <c r="R145" s="214"/>
      <c r="S145" s="819">
        <f>P145*('Total Summary Tab'!$H$9/'Total Summary Tab'!$H$7)</f>
        <v>0</v>
      </c>
      <c r="T145" s="819">
        <f>Q145*('Duke Delta'!$H$20/'Duke Delta'!$H$18)</f>
        <v>0</v>
      </c>
      <c r="U145" s="819">
        <f>R145*('Duke Delta'!$H$31/'Duke Delta'!$H$29)</f>
        <v>0</v>
      </c>
    </row>
    <row r="146" spans="1:21">
      <c r="A146" s="231">
        <v>911</v>
      </c>
      <c r="B146" s="232" t="s">
        <v>74</v>
      </c>
      <c r="G146" s="240">
        <v>7</v>
      </c>
      <c r="H146" s="240">
        <v>2</v>
      </c>
      <c r="I146" s="240"/>
      <c r="J146" s="241">
        <v>17.550217518477968</v>
      </c>
      <c r="K146" s="241">
        <v>2.2026794711769817</v>
      </c>
      <c r="L146" s="241">
        <v>1.916331139923974</v>
      </c>
      <c r="M146" s="149">
        <v>1</v>
      </c>
      <c r="N146" s="149">
        <v>1</v>
      </c>
      <c r="O146" s="149">
        <v>17.550217518477968</v>
      </c>
      <c r="P146" s="214">
        <f t="shared" si="23"/>
        <v>17.550217518477968</v>
      </c>
      <c r="Q146" s="214">
        <f>K146*M146</f>
        <v>2.2026794711769817</v>
      </c>
      <c r="R146" s="214">
        <f>L146*M146</f>
        <v>1.916331139923974</v>
      </c>
      <c r="S146" s="819">
        <f>P146*('Total Summary Tab'!$H$9/'Total Summary Tab'!$H$7)</f>
        <v>17.262614447852791</v>
      </c>
      <c r="T146" s="819">
        <f>Q146*('Duke Delta'!$H$20/'Duke Delta'!$H$18)</f>
        <v>2.0928858725830195</v>
      </c>
      <c r="U146" s="819">
        <f>R146*('Duke Delta'!$H$31/'Duke Delta'!$H$29)</f>
        <v>1.64934503911028</v>
      </c>
    </row>
    <row r="147" spans="1:21">
      <c r="A147" s="210">
        <v>920</v>
      </c>
      <c r="B147" s="211" t="s">
        <v>76</v>
      </c>
      <c r="G147" s="240"/>
      <c r="H147" s="240"/>
      <c r="I147" s="240"/>
      <c r="J147" s="241"/>
      <c r="K147" s="241"/>
      <c r="M147" s="149"/>
      <c r="N147" s="149"/>
      <c r="O147" s="149"/>
      <c r="P147" s="214"/>
      <c r="Q147" s="214"/>
      <c r="R147" s="214"/>
      <c r="S147" s="819">
        <f>P147*('Total Summary Tab'!$H$9/'Total Summary Tab'!$H$7)</f>
        <v>0</v>
      </c>
      <c r="T147" s="819">
        <f>Q147*('Duke Delta'!$H$20/'Duke Delta'!$H$18)</f>
        <v>0</v>
      </c>
      <c r="U147" s="819">
        <f>R147*('Duke Delta'!$H$31/'Duke Delta'!$H$29)</f>
        <v>0</v>
      </c>
    </row>
    <row r="148" spans="1:21">
      <c r="A148" s="231">
        <v>921</v>
      </c>
      <c r="B148" s="232" t="s">
        <v>77</v>
      </c>
      <c r="G148" s="240">
        <v>7</v>
      </c>
      <c r="H148" s="240">
        <v>2</v>
      </c>
      <c r="I148" s="240"/>
      <c r="J148" s="241">
        <v>58.796250549899248</v>
      </c>
      <c r="K148" s="241">
        <v>7.3859441725537716</v>
      </c>
      <c r="L148" s="241">
        <v>6.425771430121781</v>
      </c>
      <c r="M148" s="149">
        <v>1</v>
      </c>
      <c r="N148" s="149">
        <v>1</v>
      </c>
      <c r="O148" s="149">
        <v>58.796250549899248</v>
      </c>
      <c r="P148" s="214">
        <f t="shared" si="23"/>
        <v>58.796250549899248</v>
      </c>
      <c r="Q148" s="214">
        <f>K148*M148</f>
        <v>7.3859441725537716</v>
      </c>
      <c r="R148" s="214">
        <f>L148*M148</f>
        <v>6.425771430121781</v>
      </c>
      <c r="S148" s="819">
        <f>P148*('Total Summary Tab'!$H$9/'Total Summary Tab'!$H$7)</f>
        <v>57.832730742717693</v>
      </c>
      <c r="T148" s="819">
        <f>Q148*('Duke Delta'!$H$20/'Duke Delta'!$H$18)</f>
        <v>7.0177882967987433</v>
      </c>
      <c r="U148" s="819">
        <f>R148*('Duke Delta'!$H$31/'Duke Delta'!$H$29)</f>
        <v>5.5305234100346521</v>
      </c>
    </row>
    <row r="149" spans="1:21">
      <c r="A149" s="210">
        <v>930</v>
      </c>
      <c r="B149" s="211" t="s">
        <v>78</v>
      </c>
      <c r="G149" s="240"/>
      <c r="H149" s="240"/>
      <c r="I149" s="240"/>
      <c r="J149" s="241"/>
      <c r="K149" s="241"/>
      <c r="M149" s="149"/>
      <c r="N149" s="149"/>
      <c r="O149" s="149"/>
      <c r="P149" s="214"/>
      <c r="Q149" s="214"/>
      <c r="R149" s="214"/>
      <c r="S149" s="819">
        <f>P149*('Total Summary Tab'!$H$9/'Total Summary Tab'!$H$7)</f>
        <v>0</v>
      </c>
      <c r="T149" s="819">
        <f>Q149*('Duke Delta'!$H$20/'Duke Delta'!$H$18)</f>
        <v>0</v>
      </c>
      <c r="U149" s="819">
        <f>R149*('Duke Delta'!$H$31/'Duke Delta'!$H$29)</f>
        <v>0</v>
      </c>
    </row>
    <row r="150" spans="1:21">
      <c r="A150" s="231">
        <v>931</v>
      </c>
      <c r="B150" s="232" t="s">
        <v>79</v>
      </c>
      <c r="G150" s="240">
        <v>7</v>
      </c>
      <c r="H150" s="240">
        <v>2</v>
      </c>
      <c r="I150" s="240"/>
      <c r="J150" s="241">
        <v>16.031109013998741</v>
      </c>
      <c r="K150" s="241">
        <v>2.0148030243465382</v>
      </c>
      <c r="L150" s="241">
        <v>1.7528786311814883</v>
      </c>
      <c r="M150" s="149">
        <v>1</v>
      </c>
      <c r="N150" s="149">
        <v>1</v>
      </c>
      <c r="O150" s="149">
        <v>16.031109013998741</v>
      </c>
      <c r="P150" s="214">
        <f t="shared" si="23"/>
        <v>16.031109013998741</v>
      </c>
      <c r="Q150" s="214">
        <f>K150*M150</f>
        <v>2.0148030243465382</v>
      </c>
      <c r="R150" s="214">
        <f>L150*M150</f>
        <v>1.7528786311814883</v>
      </c>
      <c r="S150" s="819">
        <f>P150*('Total Summary Tab'!$H$9/'Total Summary Tab'!$H$7)</f>
        <v>15.768400237136079</v>
      </c>
      <c r="T150" s="819">
        <f>Q150*('Duke Delta'!$H$20/'Duke Delta'!$H$18)</f>
        <v>1.914374215981242</v>
      </c>
      <c r="U150" s="819">
        <f>R150*('Duke Delta'!$H$31/'Duke Delta'!$H$29)</f>
        <v>1.5086649766680218</v>
      </c>
    </row>
    <row r="151" spans="1:21">
      <c r="A151" s="210">
        <v>940</v>
      </c>
      <c r="B151" s="211" t="s">
        <v>80</v>
      </c>
      <c r="G151" s="240"/>
      <c r="H151" s="240"/>
      <c r="I151" s="240"/>
      <c r="J151" s="241"/>
      <c r="K151" s="241"/>
      <c r="M151" s="149"/>
      <c r="N151" s="149"/>
      <c r="O151" s="149"/>
      <c r="P151" s="214"/>
      <c r="Q151" s="214"/>
      <c r="R151" s="214"/>
      <c r="S151" s="819">
        <f>P151*('Total Summary Tab'!$H$9/'Total Summary Tab'!$H$7)</f>
        <v>0</v>
      </c>
      <c r="T151" s="819">
        <f>Q151*('Duke Delta'!$H$20/'Duke Delta'!$H$18)</f>
        <v>0</v>
      </c>
      <c r="U151" s="819">
        <f>R151*('Duke Delta'!$H$31/'Duke Delta'!$H$29)</f>
        <v>0</v>
      </c>
    </row>
    <row r="152" spans="1:21">
      <c r="A152" s="231">
        <v>941</v>
      </c>
      <c r="B152" s="232" t="s">
        <v>81</v>
      </c>
      <c r="G152" s="240">
        <v>7</v>
      </c>
      <c r="H152" s="240">
        <v>2</v>
      </c>
      <c r="I152" s="240"/>
      <c r="J152" s="241">
        <v>6.6749715469381341</v>
      </c>
      <c r="K152" s="241">
        <v>0.83896458680902253</v>
      </c>
      <c r="L152" s="241">
        <v>0.72989919052384955</v>
      </c>
      <c r="M152" s="149">
        <v>1</v>
      </c>
      <c r="N152" s="149">
        <v>1</v>
      </c>
      <c r="O152" s="149">
        <v>6.6749715469381341</v>
      </c>
      <c r="P152" s="214">
        <f t="shared" si="23"/>
        <v>6.6749715469381341</v>
      </c>
      <c r="Q152" s="214">
        <f>K152*M152</f>
        <v>0.83896458680902253</v>
      </c>
      <c r="R152" s="214">
        <f>L152*M152</f>
        <v>0.72989919052384955</v>
      </c>
      <c r="S152" s="819">
        <f>P152*('Total Summary Tab'!$H$9/'Total Summary Tab'!$H$7)</f>
        <v>6.5655858762925217</v>
      </c>
      <c r="T152" s="819">
        <f>Q152*('Duke Delta'!$H$20/'Duke Delta'!$H$18)</f>
        <v>0.79714600072602815</v>
      </c>
      <c r="U152" s="819">
        <f>R152*('Duke Delta'!$H$31/'Duke Delta'!$H$29)</f>
        <v>0.62820855115305407</v>
      </c>
    </row>
    <row r="153" spans="1:21">
      <c r="A153" s="210">
        <v>950</v>
      </c>
      <c r="B153" s="211" t="s">
        <v>82</v>
      </c>
      <c r="G153" s="240"/>
      <c r="H153" s="240"/>
      <c r="I153" s="240"/>
      <c r="J153" s="241"/>
      <c r="K153" s="241"/>
      <c r="M153" s="149"/>
      <c r="N153" s="149"/>
      <c r="O153" s="149"/>
      <c r="P153" s="214"/>
      <c r="Q153" s="214"/>
      <c r="R153" s="214"/>
      <c r="S153" s="819">
        <f>P153*('Total Summary Tab'!$H$9/'Total Summary Tab'!$H$7)</f>
        <v>0</v>
      </c>
      <c r="T153" s="819">
        <f>Q153*('Duke Delta'!$H$20/'Duke Delta'!$H$18)</f>
        <v>0</v>
      </c>
      <c r="U153" s="819">
        <f>R153*('Duke Delta'!$H$31/'Duke Delta'!$H$29)</f>
        <v>0</v>
      </c>
    </row>
    <row r="154" spans="1:21">
      <c r="A154" s="231">
        <v>951</v>
      </c>
      <c r="B154" s="232" t="s">
        <v>83</v>
      </c>
      <c r="G154" s="240">
        <v>7</v>
      </c>
      <c r="H154" s="240">
        <v>2</v>
      </c>
      <c r="I154" s="240"/>
      <c r="J154" s="241">
        <v>25.734126365100515</v>
      </c>
      <c r="K154" s="241">
        <v>3.233283281622803</v>
      </c>
      <c r="L154" s="241">
        <v>2.8129564550118387</v>
      </c>
      <c r="M154" s="149">
        <v>1</v>
      </c>
      <c r="N154" s="149">
        <v>1</v>
      </c>
      <c r="O154" s="149">
        <v>25.734126365100515</v>
      </c>
      <c r="P154" s="214">
        <f t="shared" si="23"/>
        <v>25.734126365100515</v>
      </c>
      <c r="Q154" s="214">
        <f>K154*M154</f>
        <v>3.233283281622803</v>
      </c>
      <c r="R154" s="214">
        <f>L154*M154</f>
        <v>2.8129564550118387</v>
      </c>
      <c r="S154" s="819">
        <f>P154*('Total Summary Tab'!$H$9/'Total Summary Tab'!$H$7)</f>
        <v>25.312410010037294</v>
      </c>
      <c r="T154" s="819">
        <f>Q154*('Duke Delta'!$H$20/'Duke Delta'!$H$18)</f>
        <v>3.0721187493300608</v>
      </c>
      <c r="U154" s="819">
        <f>R154*('Duke Delta'!$H$31/'Duke Delta'!$H$29)</f>
        <v>2.4210511835084403</v>
      </c>
    </row>
    <row r="155" spans="1:21">
      <c r="A155" s="210">
        <v>960</v>
      </c>
      <c r="B155" s="211" t="s">
        <v>84</v>
      </c>
      <c r="G155" s="240"/>
      <c r="H155" s="240"/>
      <c r="I155" s="240"/>
      <c r="J155" s="241"/>
      <c r="K155" s="241"/>
      <c r="M155" s="149"/>
      <c r="N155" s="149"/>
      <c r="O155" s="149"/>
      <c r="P155" s="214"/>
      <c r="Q155" s="214"/>
      <c r="R155" s="214"/>
      <c r="S155" s="819">
        <f>P155*('Total Summary Tab'!$H$9/'Total Summary Tab'!$H$7)</f>
        <v>0</v>
      </c>
      <c r="T155" s="819">
        <f>Q155*('Duke Delta'!$H$20/'Duke Delta'!$H$18)</f>
        <v>0</v>
      </c>
      <c r="U155" s="819">
        <f>R155*('Duke Delta'!$H$31/'Duke Delta'!$H$29)</f>
        <v>0</v>
      </c>
    </row>
    <row r="156" spans="1:21">
      <c r="A156" s="231">
        <v>961</v>
      </c>
      <c r="B156" s="232" t="s">
        <v>85</v>
      </c>
      <c r="G156" s="240">
        <v>7</v>
      </c>
      <c r="H156" s="240">
        <v>2</v>
      </c>
      <c r="I156" s="240"/>
      <c r="J156" s="241">
        <v>2.9321642749821186</v>
      </c>
      <c r="K156" s="241">
        <v>0.36840254822591839</v>
      </c>
      <c r="L156" s="241">
        <v>0.32051021695654902</v>
      </c>
      <c r="M156" s="149">
        <v>1</v>
      </c>
      <c r="N156" s="149">
        <v>1</v>
      </c>
      <c r="O156" s="149">
        <v>2.9321642749821186</v>
      </c>
      <c r="P156" s="214">
        <f t="shared" si="23"/>
        <v>2.9321642749821186</v>
      </c>
      <c r="Q156" s="214">
        <f>K156*M156</f>
        <v>0.36840254822591839</v>
      </c>
      <c r="R156" s="214">
        <f>L156*M156</f>
        <v>0.32051021695654902</v>
      </c>
      <c r="S156" s="819">
        <f>P156*('Total Summary Tab'!$H$9/'Total Summary Tab'!$H$7)</f>
        <v>2.8841136198734612</v>
      </c>
      <c r="T156" s="819">
        <f>Q156*('Duke Delta'!$H$20/'Duke Delta'!$H$18)</f>
        <v>0.35003934920845253</v>
      </c>
      <c r="U156" s="819">
        <f>R156*('Duke Delta'!$H$31/'Duke Delta'!$H$29)</f>
        <v>0.2758562574641541</v>
      </c>
    </row>
    <row r="157" spans="1:21">
      <c r="P157" s="214"/>
      <c r="S157" s="819">
        <f>P157*('Total Summary Tab'!$H$9/'Total Summary Tab'!$H$7)</f>
        <v>0</v>
      </c>
      <c r="T157" s="819">
        <f>Q157*('Duke Delta'!$H$20/'Duke Delta'!$H$18)</f>
        <v>0</v>
      </c>
      <c r="U157" s="819">
        <f>R157*('Duke Delta'!$H$31/'Duke Delta'!$H$29)</f>
        <v>0</v>
      </c>
    </row>
    <row r="158" spans="1:21">
      <c r="B158" s="242" t="s">
        <v>442</v>
      </c>
      <c r="P158" s="214"/>
      <c r="S158" s="819">
        <f>P158*('Total Summary Tab'!$H$9/'Total Summary Tab'!$H$7)</f>
        <v>0</v>
      </c>
      <c r="T158" s="819">
        <f>Q158*('Duke Delta'!$H$20/'Duke Delta'!$H$18)</f>
        <v>0</v>
      </c>
      <c r="U158" s="819">
        <f>R158*('Duke Delta'!$H$31/'Duke Delta'!$H$29)</f>
        <v>0</v>
      </c>
    </row>
    <row r="159" spans="1:21">
      <c r="A159" s="231">
        <v>352</v>
      </c>
      <c r="B159" s="232" t="s">
        <v>443</v>
      </c>
      <c r="D159" s="19" t="s">
        <v>662</v>
      </c>
      <c r="J159" s="241">
        <f>'Duke Res-New Measures Calc'!G81</f>
        <v>11.948682460483719</v>
      </c>
      <c r="K159" s="241">
        <f>'Duke Res-New Measures Calc'!H81</f>
        <v>1.5749112169110648</v>
      </c>
      <c r="L159" s="241">
        <f>'Duke Res-New Measures Calc'!I81</f>
        <v>1.1010475517136806</v>
      </c>
      <c r="M159" s="243">
        <v>1</v>
      </c>
      <c r="N159" s="243">
        <v>1</v>
      </c>
      <c r="O159" s="149">
        <f>J159</f>
        <v>11.948682460483719</v>
      </c>
      <c r="P159" s="214">
        <f t="shared" ref="P159:P165" si="26">O159*M159</f>
        <v>11.948682460483719</v>
      </c>
      <c r="Q159" s="214">
        <f t="shared" ref="Q159:R161" si="27">K159*M159</f>
        <v>1.5749112169110648</v>
      </c>
      <c r="R159" s="214">
        <f t="shared" si="27"/>
        <v>1.1010475517136806</v>
      </c>
      <c r="S159" s="819">
        <f>P159*('Total Summary Tab'!$H$9/'Total Summary Tab'!$H$7)</f>
        <v>11.752874188481268</v>
      </c>
      <c r="T159" s="819">
        <f>Q159*('Duke Delta'!$H$20/'Duke Delta'!$H$18)</f>
        <v>1.4964090234538088</v>
      </c>
      <c r="U159" s="819">
        <f>R159*('Duke Delta'!$H$31/'Duke Delta'!$H$29)</f>
        <v>0.94764797138114887</v>
      </c>
    </row>
    <row r="160" spans="1:21">
      <c r="A160" s="231">
        <v>302</v>
      </c>
      <c r="B160" s="232" t="s">
        <v>444</v>
      </c>
      <c r="D160" s="19" t="s">
        <v>662</v>
      </c>
      <c r="J160" s="241">
        <f>'Duke Res-New Measures Calc'!G73</f>
        <v>405.9194739864331</v>
      </c>
      <c r="K160" s="241">
        <f>'Duke Res-New Measures Calc'!H73</f>
        <v>53.891237660248947</v>
      </c>
      <c r="L160" s="241">
        <f>'Duke Res-New Measures Calc'!I73</f>
        <v>37.676292255392546</v>
      </c>
      <c r="M160" s="243">
        <v>1</v>
      </c>
      <c r="N160" s="243">
        <v>1</v>
      </c>
      <c r="O160" s="149">
        <f t="shared" ref="O160:O161" si="28">J160</f>
        <v>405.9194739864331</v>
      </c>
      <c r="P160" s="214">
        <f t="shared" si="26"/>
        <v>405.9194739864331</v>
      </c>
      <c r="Q160" s="214">
        <f t="shared" si="27"/>
        <v>53.891237660248947</v>
      </c>
      <c r="R160" s="214">
        <f t="shared" si="27"/>
        <v>37.676292255392546</v>
      </c>
      <c r="S160" s="819">
        <f>P160*('Total Summary Tab'!$H$9/'Total Summary Tab'!$H$7)</f>
        <v>399.2674944869118</v>
      </c>
      <c r="T160" s="819">
        <f>Q160*('Duke Delta'!$H$20/'Duke Delta'!$H$18)</f>
        <v>51.205003465566257</v>
      </c>
      <c r="U160" s="819">
        <f>R160*('Duke Delta'!$H$31/'Duke Delta'!$H$29)</f>
        <v>32.42717525634221</v>
      </c>
    </row>
    <row r="161" spans="1:21">
      <c r="A161" s="231">
        <v>962</v>
      </c>
      <c r="B161" s="232" t="s">
        <v>445</v>
      </c>
      <c r="D161" s="19" t="s">
        <v>662</v>
      </c>
      <c r="J161" s="241">
        <v>193</v>
      </c>
      <c r="K161" s="241">
        <v>25</v>
      </c>
      <c r="L161" s="241">
        <f>K161</f>
        <v>25</v>
      </c>
      <c r="M161" s="243">
        <v>1</v>
      </c>
      <c r="N161" s="243">
        <v>1</v>
      </c>
      <c r="O161" s="149">
        <f t="shared" si="28"/>
        <v>193</v>
      </c>
      <c r="P161" s="214">
        <f t="shared" si="26"/>
        <v>193</v>
      </c>
      <c r="Q161" s="214">
        <f t="shared" si="27"/>
        <v>25</v>
      </c>
      <c r="R161" s="214">
        <f t="shared" si="27"/>
        <v>25</v>
      </c>
      <c r="S161" s="819">
        <f>P161*('Total Summary Tab'!$H$9/'Total Summary Tab'!$H$7)</f>
        <v>189.83722480520726</v>
      </c>
      <c r="T161" s="819">
        <f>Q161*('Duke Delta'!$H$20/'Duke Delta'!$H$18)</f>
        <v>23.75386319218639</v>
      </c>
      <c r="U161" s="819">
        <f>R161*('Duke Delta'!$H$31/'Duke Delta'!$H$29)</f>
        <v>21.516962866549697</v>
      </c>
    </row>
    <row r="162" spans="1:21">
      <c r="A162" s="35">
        <v>222</v>
      </c>
      <c r="B162" s="41" t="s">
        <v>859</v>
      </c>
      <c r="D162" s="19" t="s">
        <v>662</v>
      </c>
      <c r="J162" s="241">
        <f>'Duke Res-New Measures Calc'!G24</f>
        <v>28.386476190476195</v>
      </c>
      <c r="K162" s="241">
        <v>2</v>
      </c>
      <c r="L162" s="241">
        <v>2</v>
      </c>
      <c r="M162" s="243">
        <v>1</v>
      </c>
      <c r="N162" s="243">
        <v>1</v>
      </c>
      <c r="O162" s="149">
        <f>J162</f>
        <v>28.386476190476195</v>
      </c>
      <c r="P162" s="214">
        <f t="shared" si="26"/>
        <v>28.386476190476195</v>
      </c>
      <c r="Q162" s="756">
        <f>'Duke Res-New Measures Calc'!H24</f>
        <v>0.68759999999999999</v>
      </c>
      <c r="R162" s="194">
        <v>0</v>
      </c>
      <c r="S162" s="819">
        <f>P162*('Total Summary Tab'!$H$9/'Total Summary Tab'!$H$7)</f>
        <v>27.921294621756957</v>
      </c>
      <c r="T162" s="819">
        <f>Q162*('Duke Delta'!$H$20/'Duke Delta'!$H$18)</f>
        <v>0.65332625323789439</v>
      </c>
      <c r="U162" s="819">
        <f>R162*('Duke Delta'!$H$31/'Duke Delta'!$H$29)</f>
        <v>0</v>
      </c>
    </row>
    <row r="163" spans="1:21">
      <c r="A163" s="35">
        <v>232</v>
      </c>
      <c r="B163" s="41" t="s">
        <v>860</v>
      </c>
      <c r="D163" s="19" t="s">
        <v>662</v>
      </c>
      <c r="J163" s="241">
        <f>'Duke Res-New Measures Calc'!G35</f>
        <v>248.23809523809524</v>
      </c>
      <c r="K163" s="241">
        <v>16</v>
      </c>
      <c r="L163" s="241">
        <v>18</v>
      </c>
      <c r="M163" s="243">
        <v>1</v>
      </c>
      <c r="N163" s="243">
        <v>1</v>
      </c>
      <c r="O163" s="149">
        <f t="shared" ref="O163:O164" si="29">J163</f>
        <v>248.23809523809524</v>
      </c>
      <c r="P163" s="214">
        <f t="shared" si="26"/>
        <v>248.23809523809524</v>
      </c>
      <c r="Q163" s="756">
        <f>'Duke Res-New Measures Calc'!H35</f>
        <v>15.908056944819531</v>
      </c>
      <c r="R163" s="194">
        <v>0</v>
      </c>
      <c r="S163" s="819">
        <f>P163*('Total Summary Tab'!$H$9/'Total Summary Tab'!$H$7)</f>
        <v>244.17010927943386</v>
      </c>
      <c r="T163" s="819">
        <f>Q163*('Duke Delta'!$H$20/'Duke Delta'!$H$18)</f>
        <v>15.115112332830149</v>
      </c>
      <c r="U163" s="819">
        <f>R163*('Duke Delta'!$H$31/'Duke Delta'!$H$29)</f>
        <v>0</v>
      </c>
    </row>
    <row r="164" spans="1:21">
      <c r="A164" s="35">
        <v>242</v>
      </c>
      <c r="B164" s="41" t="s">
        <v>861</v>
      </c>
      <c r="D164" s="19" t="s">
        <v>662</v>
      </c>
      <c r="J164" s="241">
        <f>'Duke Res-New Measures Calc'!G44</f>
        <v>127.73099999999994</v>
      </c>
      <c r="K164" s="241">
        <v>9</v>
      </c>
      <c r="L164" s="241">
        <v>10</v>
      </c>
      <c r="M164" s="243">
        <v>1</v>
      </c>
      <c r="N164" s="243">
        <v>1</v>
      </c>
      <c r="O164" s="149">
        <f t="shared" si="29"/>
        <v>127.73099999999994</v>
      </c>
      <c r="P164" s="214">
        <f t="shared" si="26"/>
        <v>127.73099999999994</v>
      </c>
      <c r="Q164" s="756">
        <f>'Duke Res-New Measures Calc'!H44</f>
        <v>8.7047875580536314</v>
      </c>
      <c r="R164" s="194">
        <v>0</v>
      </c>
      <c r="S164" s="819">
        <f>P164*('Total Summary Tab'!$H$9/'Total Summary Tab'!$H$7)</f>
        <v>125.63781638131563</v>
      </c>
      <c r="T164" s="819">
        <f>Q164*('Duke Delta'!$H$20/'Duke Delta'!$H$18)</f>
        <v>8.2708933108420872</v>
      </c>
      <c r="U164" s="819">
        <f>R164*('Duke Delta'!$H$31/'Duke Delta'!$H$29)</f>
        <v>0</v>
      </c>
    </row>
    <row r="165" spans="1:21">
      <c r="A165" s="35">
        <v>261</v>
      </c>
      <c r="B165" s="41" t="s">
        <v>529</v>
      </c>
      <c r="D165" s="19" t="s">
        <v>662</v>
      </c>
      <c r="J165" s="241">
        <f>'Duke Res-New Measures Calc'!G53</f>
        <v>191.68301886792455</v>
      </c>
      <c r="K165" s="241">
        <f>'Duke Res-New Measures Calc'!H53</f>
        <v>0</v>
      </c>
      <c r="L165" s="241">
        <f>'Duke Res-New Measures Calc'!I53</f>
        <v>0</v>
      </c>
      <c r="M165" s="243">
        <v>1</v>
      </c>
      <c r="N165" s="243">
        <v>1</v>
      </c>
      <c r="O165" s="149">
        <f t="shared" ref="O165" si="30">J165</f>
        <v>191.68301886792455</v>
      </c>
      <c r="P165" s="214">
        <f t="shared" si="26"/>
        <v>191.68301886792455</v>
      </c>
      <c r="Q165" s="756">
        <f>'Duke Res-New Measures Calc'!H53</f>
        <v>0</v>
      </c>
      <c r="R165" s="194">
        <v>0</v>
      </c>
      <c r="S165" s="819">
        <f>P165*('Total Summary Tab'!$H$9/'Total Summary Tab'!$H$7)</f>
        <v>188.5418256174662</v>
      </c>
      <c r="T165" s="819">
        <v>0</v>
      </c>
      <c r="U165" s="819">
        <f>R165*('Duke Delta'!$H$31/'Duke Delta'!$H$29)</f>
        <v>0</v>
      </c>
    </row>
    <row r="166" spans="1:21">
      <c r="S166" s="819"/>
      <c r="T166" s="819"/>
      <c r="U166" s="819"/>
    </row>
    <row r="181" spans="7:12">
      <c r="G181" s="22"/>
      <c r="H181" s="22"/>
      <c r="I181" s="22"/>
      <c r="J181" s="22"/>
      <c r="K181" s="22"/>
      <c r="L181" s="22"/>
    </row>
  </sheetData>
  <mergeCells count="7">
    <mergeCell ref="S4:U4"/>
    <mergeCell ref="D122:D128"/>
    <mergeCell ref="A2:B5"/>
    <mergeCell ref="D18:D34"/>
    <mergeCell ref="D41:D57"/>
    <mergeCell ref="D64:D80"/>
    <mergeCell ref="D85:D93"/>
  </mergeCells>
  <hyperlinks>
    <hyperlink ref="D9" r:id="rId1"/>
    <hyperlink ref="D36" r:id="rId2"/>
    <hyperlink ref="D59" r:id="rId3"/>
    <hyperlink ref="D82" r:id="rId4"/>
    <hyperlink ref="D6" r:id="rId5"/>
    <hyperlink ref="D129" r:id="rId6"/>
    <hyperlink ref="D10:D16" r:id="rId7" display="http://www1.eere.energy.gov/buildings/appliance_standards/product.aspx/productid/75"/>
    <hyperlink ref="D37" r:id="rId8"/>
    <hyperlink ref="D38" r:id="rId9"/>
    <hyperlink ref="D39" r:id="rId10"/>
    <hyperlink ref="D60" r:id="rId11"/>
    <hyperlink ref="D61" r:id="rId12"/>
    <hyperlink ref="D62" r:id="rId13"/>
    <hyperlink ref="D83" r:id="rId14"/>
    <hyperlink ref="D84" r:id="rId15"/>
  </hyperlinks>
  <pageMargins left="0.7" right="0.7" top="0.75" bottom="0.75" header="0.3" footer="0.3"/>
  <pageSetup paperSize="17" scale="47" fitToHeight="10" orientation="landscape" r:id="rId16"/>
  <drawing r:id="rId17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48"/>
  <sheetViews>
    <sheetView tabSelected="1" showOutlineSymbols="0" zoomScale="87" zoomScaleNormal="87" workbookViewId="0">
      <selection activeCell="O27" sqref="O27"/>
    </sheetView>
  </sheetViews>
  <sheetFormatPr defaultColWidth="12.5703125" defaultRowHeight="12"/>
  <cols>
    <col min="1" max="1" width="11.140625" style="760" customWidth="1"/>
    <col min="2" max="2" width="2.28515625" style="760" customWidth="1"/>
    <col min="3" max="3" width="15.140625" style="760" customWidth="1"/>
    <col min="4" max="4" width="2.28515625" style="760" customWidth="1"/>
    <col min="5" max="5" width="15.140625" style="760" customWidth="1"/>
    <col min="6" max="6" width="2.28515625" style="760" customWidth="1"/>
    <col min="7" max="7" width="15.140625" style="760" customWidth="1"/>
    <col min="8" max="8" width="2.28515625" style="760" customWidth="1"/>
    <col min="9" max="9" width="17.7109375" style="760" customWidth="1"/>
    <col min="10" max="10" width="2.28515625" style="760" customWidth="1"/>
    <col min="11" max="11" width="17.85546875" style="760" customWidth="1"/>
    <col min="12" max="12" width="2.28515625" style="760" customWidth="1"/>
    <col min="13" max="13" width="19.140625" style="760" customWidth="1"/>
    <col min="14" max="14" width="2.28515625" style="760" customWidth="1"/>
    <col min="15" max="15" width="18.28515625" style="760" customWidth="1"/>
    <col min="16" max="16" width="2.28515625" style="760" customWidth="1"/>
    <col min="17" max="17" width="19.42578125" style="760" customWidth="1"/>
    <col min="18" max="18" width="2.28515625" style="760" customWidth="1"/>
    <col min="19" max="19" width="15.42578125" style="760" customWidth="1"/>
    <col min="20" max="20" width="2.28515625" style="760" customWidth="1"/>
    <col min="21" max="16384" width="12.5703125" style="760"/>
  </cols>
  <sheetData>
    <row r="1" spans="1:21" ht="15.75">
      <c r="A1" s="758" t="s">
        <v>736</v>
      </c>
      <c r="B1" s="758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  <c r="N1" s="759"/>
      <c r="O1" s="759"/>
      <c r="P1" s="759"/>
      <c r="Q1" s="759"/>
      <c r="R1" s="759"/>
      <c r="S1" s="759"/>
      <c r="T1" s="759"/>
      <c r="U1" s="759"/>
    </row>
    <row r="2" spans="1:21" ht="15.75">
      <c r="A2" s="758"/>
      <c r="B2" s="758"/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59"/>
      <c r="R2" s="759"/>
      <c r="S2" s="759"/>
      <c r="T2" s="759"/>
      <c r="U2" s="759"/>
    </row>
    <row r="3" spans="1:21" ht="15.75">
      <c r="A3" s="759" t="s">
        <v>737</v>
      </c>
      <c r="B3" s="759"/>
      <c r="C3" s="759"/>
      <c r="D3" s="759"/>
      <c r="E3" s="759"/>
      <c r="F3" s="759"/>
      <c r="G3" s="759"/>
      <c r="H3" s="759"/>
      <c r="I3" s="759"/>
      <c r="J3" s="759"/>
      <c r="K3" s="759"/>
      <c r="L3" s="759"/>
      <c r="M3" s="759"/>
      <c r="N3" s="759"/>
      <c r="O3" s="759"/>
      <c r="P3" s="759"/>
      <c r="Q3" s="759"/>
      <c r="R3" s="759"/>
      <c r="S3" s="759"/>
      <c r="T3" s="759"/>
      <c r="U3" s="759"/>
    </row>
    <row r="4" spans="1:21" ht="15.75">
      <c r="A4" s="761" t="s">
        <v>738</v>
      </c>
      <c r="B4" s="761"/>
      <c r="C4" s="759"/>
      <c r="D4" s="759"/>
      <c r="E4" s="759"/>
      <c r="F4" s="759"/>
      <c r="G4" s="759"/>
      <c r="H4" s="759"/>
      <c r="I4" s="759"/>
      <c r="J4" s="759"/>
      <c r="K4" s="759"/>
      <c r="L4" s="759"/>
      <c r="M4" s="759"/>
      <c r="N4" s="759"/>
      <c r="O4" s="759"/>
      <c r="P4" s="759"/>
      <c r="Q4" s="759"/>
      <c r="R4" s="759"/>
      <c r="S4" s="759"/>
      <c r="T4" s="759"/>
      <c r="U4" s="759"/>
    </row>
    <row r="5" spans="1:21" ht="15.75">
      <c r="A5" s="761" t="s">
        <v>739</v>
      </c>
      <c r="B5" s="761"/>
      <c r="C5" s="759"/>
      <c r="D5" s="759"/>
      <c r="E5" s="759"/>
      <c r="F5" s="759"/>
      <c r="G5" s="759"/>
      <c r="H5" s="759"/>
      <c r="I5" s="759"/>
      <c r="J5" s="759"/>
      <c r="K5" s="759"/>
      <c r="L5" s="759"/>
      <c r="M5" s="759"/>
      <c r="N5" s="759"/>
      <c r="O5" s="759"/>
      <c r="P5" s="759"/>
      <c r="Q5" s="759"/>
      <c r="R5" s="759"/>
      <c r="S5" s="759"/>
      <c r="T5" s="759"/>
      <c r="U5" s="761"/>
    </row>
    <row r="6" spans="1:21" ht="15.75">
      <c r="A6" s="761"/>
      <c r="B6" s="761"/>
      <c r="C6" s="759"/>
      <c r="D6" s="759"/>
      <c r="E6" s="759"/>
      <c r="F6" s="759"/>
      <c r="G6" s="759"/>
      <c r="H6" s="759"/>
      <c r="I6" s="759"/>
      <c r="J6" s="759"/>
      <c r="K6" s="759"/>
      <c r="L6" s="759"/>
      <c r="M6" s="759"/>
      <c r="N6" s="759"/>
      <c r="O6" s="759"/>
      <c r="P6" s="759"/>
      <c r="Q6" s="759"/>
      <c r="R6" s="759"/>
      <c r="S6" s="759"/>
      <c r="T6" s="759"/>
      <c r="U6" s="761"/>
    </row>
    <row r="7" spans="1:21" ht="15.75">
      <c r="A7" s="762"/>
      <c r="B7" s="762"/>
      <c r="C7" s="762"/>
      <c r="D7" s="762"/>
      <c r="E7" s="762"/>
      <c r="F7" s="762"/>
      <c r="G7" s="762"/>
      <c r="H7" s="762"/>
      <c r="I7" s="762"/>
      <c r="J7" s="762"/>
      <c r="K7" s="762"/>
      <c r="L7" s="762"/>
      <c r="M7" s="762"/>
      <c r="N7" s="762"/>
      <c r="O7" s="762"/>
      <c r="P7" s="762"/>
      <c r="Q7" s="762"/>
      <c r="R7" s="762"/>
      <c r="S7" s="762"/>
      <c r="T7" s="762"/>
      <c r="U7" s="762"/>
    </row>
    <row r="8" spans="1:21" ht="15.75">
      <c r="A8" s="763" t="s">
        <v>740</v>
      </c>
      <c r="B8" s="763"/>
      <c r="C8" s="763" t="s">
        <v>741</v>
      </c>
      <c r="D8" s="763"/>
      <c r="E8" s="763" t="s">
        <v>742</v>
      </c>
      <c r="F8" s="763"/>
      <c r="G8" s="763" t="s">
        <v>743</v>
      </c>
      <c r="H8" s="763"/>
      <c r="I8" s="763" t="s">
        <v>744</v>
      </c>
      <c r="J8" s="763"/>
      <c r="K8" s="763" t="s">
        <v>745</v>
      </c>
      <c r="L8" s="763"/>
      <c r="M8" s="763" t="s">
        <v>746</v>
      </c>
      <c r="N8" s="763"/>
      <c r="O8" s="763" t="s">
        <v>747</v>
      </c>
      <c r="P8" s="763"/>
      <c r="Q8" s="763" t="s">
        <v>748</v>
      </c>
      <c r="R8" s="763"/>
      <c r="S8" s="764" t="s">
        <v>749</v>
      </c>
      <c r="T8" s="764"/>
      <c r="U8" s="763" t="s">
        <v>750</v>
      </c>
    </row>
    <row r="9" spans="1:21" ht="15.75">
      <c r="A9" s="763"/>
      <c r="B9" s="763"/>
      <c r="C9" s="762"/>
      <c r="D9" s="762"/>
      <c r="E9" s="762"/>
      <c r="F9" s="762"/>
      <c r="G9" s="762"/>
      <c r="H9" s="762"/>
      <c r="I9" s="762"/>
      <c r="J9" s="762"/>
      <c r="K9" s="762"/>
      <c r="L9" s="762"/>
      <c r="M9" s="762"/>
      <c r="N9" s="762"/>
      <c r="O9" s="762"/>
      <c r="P9" s="762"/>
      <c r="Q9" s="762"/>
      <c r="R9" s="762"/>
      <c r="S9" s="762"/>
      <c r="T9" s="762"/>
      <c r="U9" s="762"/>
    </row>
    <row r="10" spans="1:21" ht="15.75">
      <c r="A10" s="763"/>
      <c r="B10" s="763"/>
      <c r="C10" s="762"/>
      <c r="D10" s="762"/>
      <c r="E10" s="762"/>
      <c r="F10" s="762"/>
      <c r="G10" s="762"/>
      <c r="H10" s="762"/>
      <c r="I10" s="762"/>
      <c r="J10" s="762"/>
      <c r="K10" s="763" t="s">
        <v>751</v>
      </c>
      <c r="L10" s="763"/>
      <c r="M10" s="763"/>
      <c r="N10" s="763"/>
      <c r="O10" s="763" t="s">
        <v>752</v>
      </c>
      <c r="P10" s="763"/>
      <c r="Q10" s="763"/>
      <c r="R10" s="763"/>
      <c r="S10" s="764" t="s">
        <v>753</v>
      </c>
      <c r="T10" s="764"/>
      <c r="U10" s="762"/>
    </row>
    <row r="11" spans="1:21" ht="15.75">
      <c r="A11" s="763"/>
      <c r="B11" s="763"/>
      <c r="C11" s="762"/>
      <c r="D11" s="762"/>
      <c r="E11" s="762"/>
      <c r="F11" s="762"/>
      <c r="G11" s="762"/>
      <c r="H11" s="762"/>
      <c r="I11" s="765"/>
      <c r="J11" s="765"/>
      <c r="K11" s="765" t="s">
        <v>754</v>
      </c>
      <c r="L11" s="765"/>
      <c r="M11" s="763" t="s">
        <v>751</v>
      </c>
      <c r="N11" s="763"/>
      <c r="O11" s="765" t="s">
        <v>754</v>
      </c>
      <c r="P11" s="765"/>
      <c r="Q11" s="763" t="s">
        <v>752</v>
      </c>
      <c r="R11" s="763"/>
      <c r="S11" s="763" t="s">
        <v>755</v>
      </c>
      <c r="T11" s="763"/>
      <c r="U11" s="765" t="s">
        <v>756</v>
      </c>
    </row>
    <row r="12" spans="1:21" ht="15.75">
      <c r="A12" s="765" t="s">
        <v>757</v>
      </c>
      <c r="B12" s="765"/>
      <c r="C12" s="765" t="s">
        <v>692</v>
      </c>
      <c r="D12" s="765"/>
      <c r="E12" s="766" t="s">
        <v>758</v>
      </c>
      <c r="F12" s="766"/>
      <c r="G12" s="765" t="s">
        <v>759</v>
      </c>
      <c r="H12" s="765"/>
      <c r="I12" s="765" t="s">
        <v>760</v>
      </c>
      <c r="J12" s="765"/>
      <c r="K12" s="765" t="s">
        <v>761</v>
      </c>
      <c r="L12" s="765"/>
      <c r="M12" s="765" t="s">
        <v>762</v>
      </c>
      <c r="N12" s="765"/>
      <c r="O12" s="765" t="s">
        <v>761</v>
      </c>
      <c r="P12" s="765"/>
      <c r="Q12" s="765" t="s">
        <v>762</v>
      </c>
      <c r="R12" s="765"/>
      <c r="S12" s="765" t="s">
        <v>763</v>
      </c>
      <c r="T12" s="765"/>
      <c r="U12" s="765" t="s">
        <v>755</v>
      </c>
    </row>
    <row r="13" spans="1:21" ht="15.75">
      <c r="A13" s="767" t="s">
        <v>764</v>
      </c>
      <c r="B13" s="767"/>
      <c r="C13" s="767" t="s">
        <v>764</v>
      </c>
      <c r="D13" s="767"/>
      <c r="E13" s="767" t="s">
        <v>764</v>
      </c>
      <c r="F13" s="767"/>
      <c r="G13" s="767" t="s">
        <v>764</v>
      </c>
      <c r="H13" s="767"/>
      <c r="I13" s="767" t="s">
        <v>764</v>
      </c>
      <c r="J13" s="767"/>
      <c r="K13" s="767" t="s">
        <v>764</v>
      </c>
      <c r="L13" s="767"/>
      <c r="M13" s="767" t="s">
        <v>764</v>
      </c>
      <c r="N13" s="767"/>
      <c r="O13" s="767" t="s">
        <v>764</v>
      </c>
      <c r="P13" s="767"/>
      <c r="Q13" s="767" t="s">
        <v>764</v>
      </c>
      <c r="R13" s="767"/>
      <c r="S13" s="767" t="s">
        <v>764</v>
      </c>
      <c r="T13" s="767"/>
      <c r="U13" s="767" t="s">
        <v>764</v>
      </c>
    </row>
    <row r="14" spans="1:21" ht="15.75">
      <c r="A14" s="767"/>
      <c r="B14" s="767"/>
      <c r="C14" s="767"/>
      <c r="D14" s="767"/>
      <c r="E14" s="767"/>
      <c r="F14" s="767"/>
      <c r="G14" s="767"/>
      <c r="H14" s="767"/>
      <c r="I14" s="767"/>
      <c r="J14" s="767"/>
      <c r="K14" s="767"/>
      <c r="L14" s="767"/>
      <c r="M14" s="767"/>
      <c r="N14" s="767"/>
      <c r="O14" s="767"/>
      <c r="P14" s="767"/>
      <c r="Q14" s="767"/>
      <c r="R14" s="767"/>
      <c r="S14" s="767"/>
      <c r="T14" s="767"/>
      <c r="U14" s="767"/>
    </row>
    <row r="15" spans="1:21" ht="15.75">
      <c r="A15" s="768" t="s">
        <v>765</v>
      </c>
      <c r="B15" s="767"/>
      <c r="C15" s="767"/>
      <c r="D15" s="767"/>
      <c r="E15" s="767"/>
      <c r="F15" s="767"/>
      <c r="G15" s="767"/>
      <c r="H15" s="767"/>
      <c r="I15" s="767"/>
      <c r="J15" s="767"/>
      <c r="K15" s="767"/>
      <c r="L15" s="767"/>
      <c r="M15" s="767"/>
      <c r="N15" s="767"/>
      <c r="O15" s="767"/>
      <c r="P15" s="767"/>
      <c r="Q15" s="767"/>
      <c r="R15" s="767"/>
      <c r="S15" s="767"/>
      <c r="T15" s="767"/>
      <c r="U15" s="767"/>
    </row>
    <row r="16" spans="1:21" ht="15.75">
      <c r="A16" s="769">
        <v>2003</v>
      </c>
      <c r="B16" s="770"/>
      <c r="C16" s="771">
        <v>8881.1715490650004</v>
      </c>
      <c r="D16" s="771"/>
      <c r="E16" s="772">
        <v>887</v>
      </c>
      <c r="F16" s="772"/>
      <c r="G16" s="772">
        <v>7994.1715490650004</v>
      </c>
      <c r="H16" s="772"/>
      <c r="I16" s="771">
        <v>300.25927248718472</v>
      </c>
      <c r="J16" s="771"/>
      <c r="K16" s="771">
        <v>355.4778980961467</v>
      </c>
      <c r="L16" s="771"/>
      <c r="M16" s="771">
        <v>169.089838525</v>
      </c>
      <c r="N16" s="771"/>
      <c r="O16" s="771">
        <v>44.130541617801796</v>
      </c>
      <c r="Q16" s="771">
        <v>161.08171053999999</v>
      </c>
      <c r="S16" s="771">
        <v>75</v>
      </c>
      <c r="U16" s="771">
        <v>7776.1322877988678</v>
      </c>
    </row>
    <row r="17" spans="1:21" ht="15.75">
      <c r="A17" s="769">
        <v>2004</v>
      </c>
      <c r="B17" s="770"/>
      <c r="C17" s="771">
        <v>9583.0161159449999</v>
      </c>
      <c r="D17" s="771"/>
      <c r="E17" s="772">
        <v>1071</v>
      </c>
      <c r="F17" s="772"/>
      <c r="G17" s="772">
        <v>8512.0161159449999</v>
      </c>
      <c r="H17" s="772"/>
      <c r="I17" s="771">
        <v>530.69999999999993</v>
      </c>
      <c r="J17" s="771"/>
      <c r="K17" s="771">
        <v>331.25695914771194</v>
      </c>
      <c r="L17" s="771"/>
      <c r="M17" s="771">
        <v>184.83406510833333</v>
      </c>
      <c r="N17" s="771"/>
      <c r="O17" s="771">
        <v>39.046313126416656</v>
      </c>
      <c r="Q17" s="771">
        <v>163.18205083666663</v>
      </c>
      <c r="S17" s="771">
        <v>110</v>
      </c>
      <c r="U17" s="771">
        <v>8223.9967277258711</v>
      </c>
    </row>
    <row r="18" spans="1:21" ht="15.75">
      <c r="A18" s="769">
        <v>2005</v>
      </c>
      <c r="B18" s="770"/>
      <c r="C18" s="771">
        <v>10349.66519713</v>
      </c>
      <c r="D18" s="771"/>
      <c r="E18" s="772">
        <v>1118</v>
      </c>
      <c r="F18" s="772"/>
      <c r="G18" s="772">
        <v>9231.6651971299998</v>
      </c>
      <c r="H18" s="772"/>
      <c r="I18" s="771">
        <v>448.4446640721016</v>
      </c>
      <c r="J18" s="771"/>
      <c r="K18" s="771">
        <v>310.24173270715829</v>
      </c>
      <c r="L18" s="771"/>
      <c r="M18" s="771">
        <v>202.67162092166666</v>
      </c>
      <c r="N18" s="771"/>
      <c r="O18" s="771">
        <v>37.967274164383589</v>
      </c>
      <c r="Q18" s="771">
        <v>165.99357620833331</v>
      </c>
      <c r="S18" s="771">
        <v>110</v>
      </c>
      <c r="U18" s="771">
        <v>9074.3463290563559</v>
      </c>
    </row>
    <row r="19" spans="1:21" ht="15.75">
      <c r="A19" s="769">
        <v>2006</v>
      </c>
      <c r="B19" s="770"/>
      <c r="C19" s="773">
        <v>10146.876560266668</v>
      </c>
      <c r="D19" s="773"/>
      <c r="E19" s="772">
        <v>1257</v>
      </c>
      <c r="F19" s="772"/>
      <c r="G19" s="772">
        <v>8889.8765602666681</v>
      </c>
      <c r="H19" s="772"/>
      <c r="I19" s="771">
        <v>328.98541347234999</v>
      </c>
      <c r="J19" s="771"/>
      <c r="K19" s="771">
        <v>306.82471272549947</v>
      </c>
      <c r="L19" s="771"/>
      <c r="M19" s="771">
        <v>222.20103476</v>
      </c>
      <c r="N19" s="771"/>
      <c r="O19" s="774">
        <v>37.188279687738934</v>
      </c>
      <c r="Q19" s="774">
        <v>169.67552550666665</v>
      </c>
      <c r="S19" s="771">
        <v>66</v>
      </c>
      <c r="U19" s="771">
        <v>9016.001594114412</v>
      </c>
    </row>
    <row r="20" spans="1:21" ht="15.75">
      <c r="A20" s="769">
        <v>2007</v>
      </c>
      <c r="B20" s="770"/>
      <c r="C20" s="773">
        <v>10930.601133483335</v>
      </c>
      <c r="D20" s="773"/>
      <c r="E20" s="772">
        <v>1544</v>
      </c>
      <c r="F20" s="772"/>
      <c r="G20" s="772">
        <v>9386.6011334833347</v>
      </c>
      <c r="H20" s="772"/>
      <c r="I20" s="771">
        <v>334.2137592137592</v>
      </c>
      <c r="J20" s="771"/>
      <c r="K20" s="771">
        <v>290.57606860340957</v>
      </c>
      <c r="L20" s="771"/>
      <c r="M20" s="771">
        <v>239.07272850166666</v>
      </c>
      <c r="N20" s="771"/>
      <c r="O20" s="774">
        <v>45.155331587382875</v>
      </c>
      <c r="Q20" s="774">
        <v>176.52840498166665</v>
      </c>
      <c r="S20" s="771">
        <v>110</v>
      </c>
      <c r="U20" s="771">
        <v>9735.0548405954505</v>
      </c>
    </row>
    <row r="21" spans="1:21" ht="15.75">
      <c r="A21" s="769">
        <v>2008</v>
      </c>
      <c r="B21" s="770"/>
      <c r="C21" s="773">
        <v>10592.398197074594</v>
      </c>
      <c r="D21" s="773"/>
      <c r="E21" s="772">
        <v>1512</v>
      </c>
      <c r="F21" s="772"/>
      <c r="G21" s="772">
        <v>9080.3981970745936</v>
      </c>
      <c r="H21" s="772"/>
      <c r="I21" s="771">
        <v>500.29852745679517</v>
      </c>
      <c r="J21" s="771"/>
      <c r="K21" s="774">
        <v>284</v>
      </c>
      <c r="L21" s="774"/>
      <c r="M21" s="771">
        <v>254.65288536125991</v>
      </c>
      <c r="N21" s="771"/>
      <c r="O21" s="774">
        <v>65.569944861902727</v>
      </c>
      <c r="Q21" s="774">
        <v>191.74531171333331</v>
      </c>
      <c r="S21" s="771">
        <v>110</v>
      </c>
      <c r="U21" s="771">
        <v>9186.131527681302</v>
      </c>
    </row>
    <row r="22" spans="1:21" ht="15.75">
      <c r="A22" s="769">
        <v>2009</v>
      </c>
      <c r="B22" s="770"/>
      <c r="C22" s="773">
        <v>10853.004591685782</v>
      </c>
      <c r="D22" s="773"/>
      <c r="E22" s="775">
        <v>1618</v>
      </c>
      <c r="F22" s="775"/>
      <c r="G22" s="772">
        <v>9235.0045916857816</v>
      </c>
      <c r="H22" s="772"/>
      <c r="I22" s="776">
        <v>261.5119607442241</v>
      </c>
      <c r="J22" s="776"/>
      <c r="K22" s="774">
        <v>291</v>
      </c>
      <c r="L22" s="774"/>
      <c r="M22" s="771">
        <v>270.71961244911421</v>
      </c>
      <c r="N22" s="771"/>
      <c r="O22" s="774">
        <v>84.326437981601003</v>
      </c>
      <c r="Q22" s="774">
        <v>211.28497923666666</v>
      </c>
      <c r="S22" s="771">
        <v>110</v>
      </c>
      <c r="U22" s="771">
        <v>9624.1616012741761</v>
      </c>
    </row>
    <row r="23" spans="1:21" ht="15.75">
      <c r="A23" s="769">
        <v>2010</v>
      </c>
      <c r="B23" s="770"/>
      <c r="C23" s="773">
        <v>10238.195290864427</v>
      </c>
      <c r="D23" s="773"/>
      <c r="E23" s="775">
        <v>1272</v>
      </c>
      <c r="F23" s="775"/>
      <c r="G23" s="772">
        <v>8966.1952908644271</v>
      </c>
      <c r="H23" s="772"/>
      <c r="I23" s="776">
        <v>270.98998671707363</v>
      </c>
      <c r="J23" s="776"/>
      <c r="K23" s="774">
        <v>304</v>
      </c>
      <c r="L23" s="774"/>
      <c r="M23" s="771">
        <v>296.19816835196724</v>
      </c>
      <c r="N23" s="771"/>
      <c r="O23" s="774">
        <v>96.353661040409406</v>
      </c>
      <c r="Q23" s="774">
        <v>231.99712251245998</v>
      </c>
      <c r="S23" s="771">
        <v>110</v>
      </c>
      <c r="U23" s="771">
        <v>8928.6563522425167</v>
      </c>
    </row>
    <row r="24" spans="1:21" ht="15.75">
      <c r="A24" s="769">
        <v>2011</v>
      </c>
      <c r="B24" s="770"/>
      <c r="C24" s="773">
        <v>9968.0053227870358</v>
      </c>
      <c r="D24" s="773"/>
      <c r="E24" s="775">
        <v>934</v>
      </c>
      <c r="F24" s="775"/>
      <c r="G24" s="772">
        <v>9034.0053227870358</v>
      </c>
      <c r="H24" s="772"/>
      <c r="I24" s="776">
        <v>227.22122540524009</v>
      </c>
      <c r="J24" s="776"/>
      <c r="K24" s="774">
        <v>317</v>
      </c>
      <c r="L24" s="774"/>
      <c r="M24" s="771">
        <v>326.50320385734221</v>
      </c>
      <c r="N24" s="771"/>
      <c r="O24" s="774">
        <v>97.09339999999996</v>
      </c>
      <c r="Q24" s="774">
        <v>254.50211892969332</v>
      </c>
      <c r="S24" s="771">
        <v>110</v>
      </c>
      <c r="U24" s="771">
        <v>8635.6853745947592</v>
      </c>
    </row>
    <row r="25" spans="1:21" ht="15.75">
      <c r="A25" s="769">
        <v>2012</v>
      </c>
      <c r="B25" s="770"/>
      <c r="C25" s="773">
        <v>9840.9378162680223</v>
      </c>
      <c r="D25" s="773"/>
      <c r="E25" s="775">
        <v>402</v>
      </c>
      <c r="F25" s="775"/>
      <c r="G25" s="772">
        <v>9438.9378162680223</v>
      </c>
      <c r="H25" s="772"/>
      <c r="I25" s="776">
        <v>266.55165988194585</v>
      </c>
      <c r="J25" s="776"/>
      <c r="K25" s="774">
        <v>325.85899999999998</v>
      </c>
      <c r="L25" s="774"/>
      <c r="M25" s="771">
        <v>355.21452911099874</v>
      </c>
      <c r="N25" s="771"/>
      <c r="O25" s="774">
        <v>100.10339999999995</v>
      </c>
      <c r="Q25" s="774">
        <v>277.72328715702315</v>
      </c>
      <c r="S25" s="771">
        <v>124</v>
      </c>
      <c r="U25" s="771">
        <v>8391.4859401180547</v>
      </c>
    </row>
    <row r="26" spans="1:21" ht="15.75">
      <c r="A26" s="769"/>
      <c r="B26" s="770"/>
      <c r="C26" s="773"/>
      <c r="D26" s="773"/>
      <c r="E26" s="775"/>
      <c r="F26" s="775"/>
      <c r="G26" s="772"/>
      <c r="H26" s="772"/>
      <c r="I26" s="776"/>
      <c r="J26" s="776"/>
      <c r="K26" s="774">
        <f>K25-K20</f>
        <v>35.282931396590413</v>
      </c>
      <c r="L26" s="774"/>
      <c r="M26" s="771">
        <f>M25-M20</f>
        <v>116.14180060933208</v>
      </c>
      <c r="N26" s="771"/>
      <c r="O26" s="771">
        <f>O25-O20</f>
        <v>54.948068412617076</v>
      </c>
      <c r="P26" s="771"/>
      <c r="Q26" s="771">
        <f t="shared" ref="Q26" si="0">Q25-Q20</f>
        <v>101.1948821753565</v>
      </c>
      <c r="S26" s="771"/>
      <c r="U26" s="771"/>
    </row>
    <row r="27" spans="1:21" ht="15.75">
      <c r="A27" s="768" t="s">
        <v>766</v>
      </c>
      <c r="B27" s="770"/>
      <c r="C27" s="771"/>
      <c r="D27" s="771"/>
      <c r="E27" s="777"/>
      <c r="F27" s="777"/>
      <c r="G27" s="777"/>
      <c r="H27" s="777"/>
      <c r="I27" s="771"/>
      <c r="J27" s="771"/>
      <c r="K27" s="777"/>
      <c r="L27" s="777"/>
      <c r="M27" s="771"/>
      <c r="N27" s="771"/>
      <c r="O27" s="771"/>
      <c r="Q27" s="771"/>
      <c r="S27" s="771"/>
      <c r="U27" s="771"/>
    </row>
    <row r="28" spans="1:21" ht="15.75">
      <c r="A28" s="769">
        <v>2013</v>
      </c>
      <c r="B28" s="770"/>
      <c r="C28" s="771">
        <v>10471.088819805806</v>
      </c>
      <c r="D28" s="771"/>
      <c r="E28" s="772">
        <v>936.60799999999995</v>
      </c>
      <c r="F28" s="772"/>
      <c r="G28" s="772">
        <v>9534.4808198058054</v>
      </c>
      <c r="H28" s="772"/>
      <c r="I28" s="772">
        <v>266</v>
      </c>
      <c r="J28" s="772"/>
      <c r="K28" s="771">
        <v>331</v>
      </c>
      <c r="L28" s="771"/>
      <c r="M28" s="774">
        <v>382.76746320511847</v>
      </c>
      <c r="N28" s="774"/>
      <c r="O28" s="774">
        <v>103.47039999999996</v>
      </c>
      <c r="Q28" s="774">
        <v>295.71335660068735</v>
      </c>
      <c r="S28" s="774">
        <v>124</v>
      </c>
      <c r="U28" s="774">
        <v>8968.1376</v>
      </c>
    </row>
    <row r="29" spans="1:21" ht="15.75">
      <c r="A29" s="769">
        <v>2014</v>
      </c>
      <c r="B29" s="770"/>
      <c r="C29" s="771">
        <v>10581.178072850102</v>
      </c>
      <c r="D29" s="771"/>
      <c r="E29" s="772">
        <v>870.60799999999995</v>
      </c>
      <c r="F29" s="772"/>
      <c r="G29" s="772">
        <v>9710.5700728501015</v>
      </c>
      <c r="H29" s="772"/>
      <c r="I29" s="772">
        <v>269</v>
      </c>
      <c r="J29" s="772"/>
      <c r="K29" s="771">
        <v>336</v>
      </c>
      <c r="L29" s="771"/>
      <c r="M29" s="774">
        <v>409.07253704542404</v>
      </c>
      <c r="N29" s="774"/>
      <c r="O29" s="774">
        <v>106.65889999999996</v>
      </c>
      <c r="Q29" s="774">
        <v>306.49753580467734</v>
      </c>
      <c r="S29" s="774">
        <v>124</v>
      </c>
      <c r="U29" s="774">
        <v>9029.9490999999998</v>
      </c>
    </row>
    <row r="30" spans="1:21" ht="15.75">
      <c r="A30" s="769">
        <v>2015</v>
      </c>
      <c r="B30" s="770"/>
      <c r="C30" s="771">
        <v>10782.346831191533</v>
      </c>
      <c r="D30" s="771"/>
      <c r="E30" s="772">
        <v>872.60799999999995</v>
      </c>
      <c r="F30" s="772"/>
      <c r="G30" s="772">
        <v>9909.7388311915329</v>
      </c>
      <c r="H30" s="772"/>
      <c r="I30" s="772">
        <v>272</v>
      </c>
      <c r="J30" s="772"/>
      <c r="K30" s="771">
        <v>341</v>
      </c>
      <c r="L30" s="771"/>
      <c r="M30" s="774">
        <v>432.30039469371434</v>
      </c>
      <c r="N30" s="774"/>
      <c r="O30" s="774">
        <v>109.93665000000001</v>
      </c>
      <c r="Q30" s="774">
        <v>314.4384364978178</v>
      </c>
      <c r="S30" s="774">
        <v>124</v>
      </c>
      <c r="U30" s="774">
        <v>9188.6713500000005</v>
      </c>
    </row>
    <row r="31" spans="1:21" ht="15.75">
      <c r="A31" s="769">
        <v>2016</v>
      </c>
      <c r="B31" s="770"/>
      <c r="C31" s="771">
        <v>11074.553168282559</v>
      </c>
      <c r="D31" s="771"/>
      <c r="E31" s="772">
        <v>976.60799999999995</v>
      </c>
      <c r="F31" s="772"/>
      <c r="G31" s="772">
        <v>10097.945168282558</v>
      </c>
      <c r="H31" s="772"/>
      <c r="I31" s="772">
        <v>271</v>
      </c>
      <c r="J31" s="772"/>
      <c r="K31" s="771">
        <v>346</v>
      </c>
      <c r="L31" s="771"/>
      <c r="M31" s="774">
        <v>453.06539695959009</v>
      </c>
      <c r="N31" s="774"/>
      <c r="O31" s="774">
        <v>113.16977500000004</v>
      </c>
      <c r="Q31" s="774">
        <v>321.879771322968</v>
      </c>
      <c r="S31" s="774">
        <v>124</v>
      </c>
      <c r="U31" s="774">
        <v>9445.4382249999999</v>
      </c>
    </row>
    <row r="32" spans="1:21" ht="15.75">
      <c r="A32" s="769">
        <v>2017</v>
      </c>
      <c r="B32" s="770"/>
      <c r="C32" s="771">
        <v>11197.661432706875</v>
      </c>
      <c r="D32" s="771"/>
      <c r="E32" s="772">
        <v>894</v>
      </c>
      <c r="F32" s="772"/>
      <c r="G32" s="772">
        <v>10303.661432706875</v>
      </c>
      <c r="H32" s="772"/>
      <c r="I32" s="772">
        <v>281</v>
      </c>
      <c r="J32" s="772"/>
      <c r="K32" s="771">
        <v>381.16520123155755</v>
      </c>
      <c r="L32" s="771"/>
      <c r="M32" s="774">
        <v>471.08229072381141</v>
      </c>
      <c r="N32" s="774"/>
      <c r="O32" s="774">
        <v>116.42521249999999</v>
      </c>
      <c r="Q32" s="774">
        <v>328.57914198306321</v>
      </c>
      <c r="S32" s="774">
        <v>124</v>
      </c>
      <c r="U32" s="774">
        <v>9495.4095862684426</v>
      </c>
    </row>
    <row r="33" spans="1:21" ht="15.75">
      <c r="A33" s="769">
        <v>2018</v>
      </c>
      <c r="B33" s="770"/>
      <c r="C33" s="771">
        <v>11399.586407139386</v>
      </c>
      <c r="D33" s="771"/>
      <c r="E33" s="772">
        <v>894</v>
      </c>
      <c r="F33" s="772"/>
      <c r="G33" s="772">
        <v>10505.586407139386</v>
      </c>
      <c r="H33" s="772"/>
      <c r="I33" s="772">
        <v>283</v>
      </c>
      <c r="J33" s="772"/>
      <c r="K33" s="771">
        <v>386</v>
      </c>
      <c r="L33" s="771"/>
      <c r="M33" s="774">
        <v>486.90707547480207</v>
      </c>
      <c r="N33" s="774"/>
      <c r="O33" s="774">
        <v>119.66949375000002</v>
      </c>
      <c r="Q33" s="774">
        <v>334.67933166458414</v>
      </c>
      <c r="S33" s="774">
        <v>124</v>
      </c>
      <c r="U33" s="774">
        <v>9665.3305062500003</v>
      </c>
    </row>
    <row r="34" spans="1:21" ht="15.75">
      <c r="A34" s="769">
        <v>2019</v>
      </c>
      <c r="B34" s="770"/>
      <c r="C34" s="771">
        <v>11616.417299516939</v>
      </c>
      <c r="D34" s="771"/>
      <c r="E34" s="772">
        <v>894</v>
      </c>
      <c r="F34" s="772"/>
      <c r="G34" s="772">
        <v>10722.417299516939</v>
      </c>
      <c r="H34" s="772"/>
      <c r="I34" s="772">
        <v>298</v>
      </c>
      <c r="J34" s="772"/>
      <c r="K34" s="771">
        <v>391</v>
      </c>
      <c r="L34" s="771"/>
      <c r="M34" s="774">
        <v>501.94278765490998</v>
      </c>
      <c r="N34" s="774"/>
      <c r="O34" s="774">
        <v>122.91935312500004</v>
      </c>
      <c r="Q34" s="774">
        <v>340.47451186202903</v>
      </c>
      <c r="S34" s="774">
        <v>124</v>
      </c>
      <c r="U34" s="774">
        <v>9838.0806468749997</v>
      </c>
    </row>
    <row r="35" spans="1:21" ht="15.75">
      <c r="A35" s="769">
        <v>2020</v>
      </c>
      <c r="B35" s="770"/>
      <c r="C35" s="771">
        <v>11831.950659671385</v>
      </c>
      <c r="D35" s="771"/>
      <c r="E35" s="772">
        <v>894</v>
      </c>
      <c r="F35" s="772"/>
      <c r="G35" s="772">
        <v>10937.950659671385</v>
      </c>
      <c r="H35" s="772"/>
      <c r="I35" s="772">
        <v>313</v>
      </c>
      <c r="J35" s="772"/>
      <c r="K35" s="771">
        <v>396</v>
      </c>
      <c r="L35" s="771"/>
      <c r="M35" s="774">
        <v>518.65943276461746</v>
      </c>
      <c r="N35" s="774"/>
      <c r="O35" s="774">
        <v>126.16642343749997</v>
      </c>
      <c r="Q35" s="774">
        <v>345.29122690676689</v>
      </c>
      <c r="S35" s="774">
        <v>124</v>
      </c>
      <c r="U35" s="774">
        <v>10008.833576562502</v>
      </c>
    </row>
    <row r="36" spans="1:21" ht="15.75">
      <c r="A36" s="769">
        <v>2021</v>
      </c>
      <c r="B36" s="770"/>
      <c r="C36" s="771">
        <v>11936.701926524147</v>
      </c>
      <c r="D36" s="771"/>
      <c r="E36" s="772">
        <v>794</v>
      </c>
      <c r="F36" s="772"/>
      <c r="G36" s="772">
        <v>11142.701926524147</v>
      </c>
      <c r="H36" s="772"/>
      <c r="I36" s="772">
        <v>321</v>
      </c>
      <c r="J36" s="772"/>
      <c r="K36" s="771">
        <v>401</v>
      </c>
      <c r="L36" s="771"/>
      <c r="M36" s="774">
        <v>534.20405961738004</v>
      </c>
      <c r="N36" s="774"/>
      <c r="O36" s="774">
        <v>129.41488828125</v>
      </c>
      <c r="Q36" s="774">
        <v>349.49786690676689</v>
      </c>
      <c r="S36" s="774">
        <v>124</v>
      </c>
      <c r="U36" s="774">
        <v>10077.58511171875</v>
      </c>
    </row>
    <row r="37" spans="1:21" ht="15.75">
      <c r="A37" s="769">
        <v>2022</v>
      </c>
      <c r="B37" s="770"/>
      <c r="C37" s="771">
        <v>12130.513525802549</v>
      </c>
      <c r="D37" s="771"/>
      <c r="E37" s="772">
        <v>794</v>
      </c>
      <c r="F37" s="772"/>
      <c r="G37" s="772">
        <v>11336.513525802549</v>
      </c>
      <c r="H37" s="772"/>
      <c r="I37" s="772">
        <v>321</v>
      </c>
      <c r="J37" s="772"/>
      <c r="K37" s="771">
        <v>406</v>
      </c>
      <c r="L37" s="771"/>
      <c r="M37" s="774">
        <v>548.80901889578217</v>
      </c>
      <c r="N37" s="774"/>
      <c r="O37" s="774">
        <v>132.66265585937498</v>
      </c>
      <c r="Q37" s="774">
        <v>353.70450690676688</v>
      </c>
      <c r="S37" s="774">
        <v>124</v>
      </c>
      <c r="U37" s="774">
        <v>10244.337344140626</v>
      </c>
    </row>
    <row r="38" spans="1:21" ht="15.75">
      <c r="A38" s="770"/>
      <c r="B38" s="770"/>
      <c r="C38" s="771"/>
      <c r="D38" s="771"/>
      <c r="E38" s="777"/>
      <c r="F38" s="777"/>
      <c r="G38" s="777"/>
      <c r="H38" s="777"/>
      <c r="I38" s="777"/>
      <c r="J38" s="777"/>
      <c r="K38" s="778"/>
      <c r="L38" s="778"/>
      <c r="M38" s="779"/>
      <c r="N38" s="779"/>
      <c r="O38" s="779"/>
      <c r="P38" s="779"/>
      <c r="Q38" s="779"/>
      <c r="R38" s="779"/>
      <c r="S38" s="772"/>
      <c r="T38" s="772"/>
      <c r="U38" s="771"/>
    </row>
    <row r="39" spans="1:21" ht="15.75">
      <c r="A39" s="780" t="s">
        <v>767</v>
      </c>
      <c r="B39" s="781"/>
      <c r="C39" s="782"/>
      <c r="D39" s="782"/>
      <c r="E39" s="777"/>
      <c r="F39" s="777"/>
      <c r="G39" s="777"/>
      <c r="H39" s="777"/>
      <c r="I39" s="772"/>
      <c r="J39" s="772"/>
      <c r="K39" s="777"/>
      <c r="L39" s="777"/>
      <c r="M39" s="771"/>
      <c r="N39" s="771"/>
      <c r="O39" s="771"/>
      <c r="P39" s="771"/>
      <c r="Q39" s="771"/>
      <c r="R39" s="771"/>
      <c r="S39" s="772"/>
      <c r="T39" s="772"/>
      <c r="U39" s="771"/>
    </row>
    <row r="40" spans="1:21" ht="15.75">
      <c r="A40" s="783" t="s">
        <v>768</v>
      </c>
      <c r="B40" s="783"/>
      <c r="C40" s="784"/>
      <c r="D40" s="784"/>
      <c r="E40" s="784"/>
      <c r="F40" s="784"/>
      <c r="G40" s="784"/>
      <c r="H40" s="784"/>
      <c r="I40" s="784"/>
      <c r="J40" s="784"/>
      <c r="K40" s="784"/>
      <c r="L40" s="784"/>
      <c r="M40" s="784"/>
      <c r="N40" s="784"/>
      <c r="O40" s="784"/>
      <c r="P40" s="784"/>
      <c r="Q40" s="785"/>
      <c r="R40" s="785"/>
      <c r="S40" s="784"/>
      <c r="T40" s="784"/>
      <c r="U40" s="784"/>
    </row>
    <row r="41" spans="1:21" ht="15.75">
      <c r="A41" s="783" t="s">
        <v>769</v>
      </c>
      <c r="B41" s="783"/>
      <c r="C41" s="784"/>
      <c r="D41" s="784"/>
      <c r="E41" s="784"/>
      <c r="F41" s="784"/>
      <c r="G41" s="784"/>
      <c r="H41" s="784"/>
      <c r="I41" s="784"/>
      <c r="J41" s="784"/>
      <c r="K41" s="784"/>
      <c r="L41" s="784"/>
      <c r="M41" s="784"/>
      <c r="N41" s="784"/>
      <c r="O41" s="784"/>
      <c r="P41" s="784"/>
      <c r="Q41" s="785"/>
      <c r="R41" s="785"/>
      <c r="S41" s="784"/>
      <c r="T41" s="784"/>
      <c r="U41" s="784"/>
    </row>
    <row r="42" spans="1:21" ht="15.75">
      <c r="A42" s="783" t="s">
        <v>770</v>
      </c>
      <c r="B42" s="783"/>
      <c r="C42" s="784"/>
      <c r="D42" s="784"/>
      <c r="E42" s="784"/>
      <c r="F42" s="784"/>
      <c r="G42" s="784"/>
      <c r="H42" s="784"/>
      <c r="I42" s="784"/>
      <c r="J42" s="784"/>
      <c r="K42" s="784"/>
      <c r="L42" s="784"/>
      <c r="M42" s="784"/>
      <c r="N42" s="784"/>
      <c r="O42" s="784"/>
      <c r="P42" s="784"/>
      <c r="Q42" s="785"/>
      <c r="R42" s="785"/>
      <c r="S42" s="784"/>
      <c r="T42" s="784"/>
      <c r="U42" s="784"/>
    </row>
    <row r="43" spans="1:21" ht="15.75">
      <c r="A43" s="783" t="s">
        <v>771</v>
      </c>
      <c r="B43" s="783"/>
      <c r="C43" s="784"/>
      <c r="D43" s="784"/>
      <c r="E43" s="784"/>
      <c r="F43" s="784"/>
      <c r="G43" s="784"/>
      <c r="H43" s="784"/>
      <c r="I43" s="784"/>
      <c r="J43" s="784"/>
      <c r="K43" s="784"/>
      <c r="L43" s="784"/>
      <c r="M43" s="784"/>
      <c r="N43" s="784"/>
      <c r="O43" s="784"/>
      <c r="P43" s="784"/>
      <c r="Q43" s="785"/>
      <c r="R43" s="785"/>
      <c r="S43" s="784"/>
      <c r="T43" s="784"/>
      <c r="U43" s="784"/>
    </row>
    <row r="44" spans="1:21" ht="15.75">
      <c r="A44" s="786" t="s">
        <v>772</v>
      </c>
      <c r="B44" s="787"/>
      <c r="C44" s="784"/>
      <c r="D44" s="784"/>
      <c r="E44" s="784"/>
      <c r="F44" s="784"/>
      <c r="G44" s="784"/>
      <c r="H44" s="784"/>
      <c r="I44" s="784"/>
      <c r="J44" s="784"/>
      <c r="K44" s="784"/>
      <c r="L44" s="784"/>
      <c r="M44" s="784"/>
      <c r="N44" s="784"/>
      <c r="O44" s="784"/>
      <c r="P44" s="784"/>
      <c r="Q44" s="785"/>
      <c r="R44" s="785"/>
      <c r="S44" s="784"/>
      <c r="T44" s="784"/>
      <c r="U44" s="784"/>
    </row>
    <row r="45" spans="1:21" ht="15.75">
      <c r="A45" s="783" t="s">
        <v>773</v>
      </c>
      <c r="B45" s="783"/>
      <c r="C45" s="784"/>
      <c r="D45" s="784"/>
      <c r="E45" s="784"/>
      <c r="F45" s="784"/>
      <c r="G45" s="784"/>
      <c r="H45" s="784"/>
      <c r="I45" s="784"/>
      <c r="J45" s="784"/>
      <c r="K45" s="784"/>
      <c r="L45" s="784"/>
      <c r="M45" s="784"/>
      <c r="N45" s="784"/>
      <c r="O45" s="784"/>
      <c r="P45" s="784"/>
      <c r="Q45" s="785"/>
      <c r="R45" s="785"/>
      <c r="S45" s="784"/>
      <c r="T45" s="784"/>
      <c r="U45" s="784"/>
    </row>
    <row r="46" spans="1:21" ht="15.75">
      <c r="A46" s="788" t="s">
        <v>774</v>
      </c>
      <c r="B46" s="788"/>
      <c r="C46" s="784"/>
      <c r="D46" s="784"/>
      <c r="E46" s="784"/>
      <c r="F46" s="784"/>
      <c r="G46" s="784"/>
      <c r="H46" s="784"/>
      <c r="I46" s="784"/>
      <c r="J46" s="784"/>
      <c r="K46" s="784"/>
      <c r="L46" s="784"/>
      <c r="M46" s="784"/>
      <c r="N46" s="784"/>
      <c r="O46" s="784"/>
      <c r="P46" s="784"/>
      <c r="Q46" s="785"/>
      <c r="R46" s="785"/>
      <c r="S46" s="784"/>
      <c r="T46" s="784"/>
      <c r="U46" s="784"/>
    </row>
    <row r="47" spans="1:21" ht="15.75">
      <c r="A47" s="789" t="s">
        <v>775</v>
      </c>
      <c r="B47" s="789"/>
      <c r="C47" s="784"/>
      <c r="D47" s="784"/>
      <c r="E47" s="784"/>
      <c r="F47" s="784"/>
      <c r="G47" s="784"/>
      <c r="H47" s="784"/>
      <c r="I47" s="784"/>
      <c r="J47" s="784"/>
      <c r="K47" s="784"/>
      <c r="L47" s="784"/>
      <c r="M47" s="784"/>
      <c r="N47" s="784"/>
      <c r="O47" s="784"/>
      <c r="P47" s="784"/>
      <c r="Q47" s="785"/>
      <c r="R47" s="785"/>
      <c r="S47" s="784"/>
      <c r="T47" s="784"/>
      <c r="U47" s="784"/>
    </row>
    <row r="48" spans="1:21" ht="15.75">
      <c r="A48" s="789" t="s">
        <v>771</v>
      </c>
      <c r="B48" s="789"/>
      <c r="C48" s="784"/>
      <c r="D48" s="784"/>
      <c r="E48" s="784"/>
      <c r="F48" s="784"/>
      <c r="G48" s="784"/>
      <c r="H48" s="784"/>
      <c r="I48" s="784"/>
      <c r="J48" s="784"/>
      <c r="K48" s="784"/>
      <c r="L48" s="784"/>
      <c r="M48" s="784"/>
      <c r="N48" s="784"/>
      <c r="O48" s="784"/>
      <c r="P48" s="784"/>
      <c r="Q48" s="785"/>
      <c r="R48" s="785"/>
      <c r="S48" s="784"/>
      <c r="T48" s="784"/>
      <c r="U48" s="784"/>
    </row>
  </sheetData>
  <pageMargins left="0.5" right="0.5" top="0.5" bottom="0.5" header="0" footer="0"/>
  <pageSetup paperSize="5" scale="74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48"/>
  <sheetViews>
    <sheetView showOutlineSymbols="0" zoomScale="87" zoomScaleNormal="87" workbookViewId="0">
      <selection activeCell="K21" sqref="K21"/>
    </sheetView>
  </sheetViews>
  <sheetFormatPr defaultColWidth="12.5703125" defaultRowHeight="12"/>
  <cols>
    <col min="1" max="1" width="11.140625" style="760" customWidth="1"/>
    <col min="2" max="2" width="2.28515625" style="760" customWidth="1"/>
    <col min="3" max="3" width="15.140625" style="760" customWidth="1"/>
    <col min="4" max="4" width="2.28515625" style="760" customWidth="1"/>
    <col min="5" max="5" width="15.140625" style="760" customWidth="1"/>
    <col min="6" max="6" width="2.28515625" style="760" customWidth="1"/>
    <col min="7" max="7" width="15.140625" style="760" customWidth="1"/>
    <col min="8" max="8" width="2.28515625" style="760" customWidth="1"/>
    <col min="9" max="9" width="19.7109375" style="760" customWidth="1"/>
    <col min="10" max="10" width="2.28515625" style="760" customWidth="1"/>
    <col min="11" max="11" width="18.42578125" style="760" customWidth="1"/>
    <col min="12" max="12" width="2.28515625" style="760" customWidth="1"/>
    <col min="13" max="13" width="19" style="760" customWidth="1"/>
    <col min="14" max="14" width="2.28515625" style="760" customWidth="1"/>
    <col min="15" max="15" width="17.7109375" style="760" customWidth="1"/>
    <col min="16" max="16" width="2.28515625" style="760" customWidth="1"/>
    <col min="17" max="17" width="18.42578125" style="760" customWidth="1"/>
    <col min="18" max="18" width="2.28515625" style="760" customWidth="1"/>
    <col min="19" max="19" width="18.140625" style="760" customWidth="1"/>
    <col min="20" max="20" width="2.28515625" style="760" customWidth="1"/>
    <col min="21" max="16384" width="12.5703125" style="760"/>
  </cols>
  <sheetData>
    <row r="1" spans="1:21" ht="15.75">
      <c r="A1" s="758" t="s">
        <v>736</v>
      </c>
      <c r="B1" s="758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  <c r="N1" s="759"/>
      <c r="O1" s="759"/>
      <c r="P1" s="759"/>
      <c r="Q1" s="759"/>
      <c r="R1" s="759"/>
      <c r="S1" s="759"/>
      <c r="T1" s="759"/>
      <c r="U1" s="759"/>
    </row>
    <row r="2" spans="1:21" ht="15.75">
      <c r="A2" s="758"/>
      <c r="B2" s="758"/>
      <c r="C2" s="759"/>
      <c r="D2" s="759"/>
      <c r="E2" s="759"/>
      <c r="F2" s="759"/>
      <c r="G2" s="759"/>
      <c r="H2" s="759"/>
      <c r="I2" s="759"/>
      <c r="J2" s="759"/>
      <c r="K2" s="759"/>
      <c r="L2" s="759"/>
      <c r="M2" s="759"/>
      <c r="N2" s="759"/>
      <c r="O2" s="759"/>
      <c r="P2" s="759"/>
      <c r="Q2" s="759"/>
      <c r="R2" s="759"/>
      <c r="S2" s="759"/>
      <c r="T2" s="759"/>
      <c r="U2" s="759"/>
    </row>
    <row r="3" spans="1:21" ht="15.75">
      <c r="A3" s="759" t="s">
        <v>776</v>
      </c>
      <c r="B3" s="759"/>
      <c r="C3" s="759"/>
      <c r="D3" s="759"/>
      <c r="E3" s="759"/>
      <c r="F3" s="759"/>
      <c r="G3" s="759"/>
      <c r="H3" s="759"/>
      <c r="I3" s="759"/>
      <c r="J3" s="759"/>
      <c r="K3" s="759"/>
      <c r="L3" s="759"/>
      <c r="M3" s="759"/>
      <c r="N3" s="759"/>
      <c r="O3" s="759"/>
      <c r="P3" s="759"/>
      <c r="Q3" s="759"/>
      <c r="R3" s="759"/>
      <c r="S3" s="759"/>
      <c r="T3" s="759"/>
      <c r="U3" s="759"/>
    </row>
    <row r="4" spans="1:21" ht="15.75">
      <c r="A4" s="761" t="s">
        <v>777</v>
      </c>
      <c r="B4" s="761"/>
      <c r="C4" s="759"/>
      <c r="D4" s="759"/>
      <c r="E4" s="759"/>
      <c r="F4" s="759"/>
      <c r="G4" s="759"/>
      <c r="H4" s="759"/>
      <c r="I4" s="759"/>
      <c r="J4" s="759"/>
      <c r="K4" s="759"/>
      <c r="L4" s="759"/>
      <c r="M4" s="759"/>
      <c r="N4" s="759"/>
      <c r="O4" s="759"/>
      <c r="P4" s="759"/>
      <c r="Q4" s="759"/>
      <c r="R4" s="759"/>
      <c r="S4" s="759"/>
      <c r="T4" s="759"/>
      <c r="U4" s="759"/>
    </row>
    <row r="5" spans="1:21" ht="15.75">
      <c r="A5" s="761" t="s">
        <v>739</v>
      </c>
      <c r="B5" s="761"/>
      <c r="C5" s="759"/>
      <c r="D5" s="759"/>
      <c r="E5" s="759"/>
      <c r="F5" s="759"/>
      <c r="G5" s="759"/>
      <c r="H5" s="759"/>
      <c r="I5" s="759"/>
      <c r="J5" s="759"/>
      <c r="K5" s="759"/>
      <c r="L5" s="759"/>
      <c r="M5" s="759"/>
      <c r="N5" s="759"/>
      <c r="O5" s="759"/>
      <c r="P5" s="759"/>
      <c r="Q5" s="759"/>
      <c r="R5" s="759"/>
      <c r="S5" s="759"/>
      <c r="T5" s="759"/>
      <c r="U5" s="761"/>
    </row>
    <row r="6" spans="1:21" ht="15.75">
      <c r="A6" s="761"/>
      <c r="B6" s="761"/>
      <c r="C6" s="759"/>
      <c r="D6" s="759"/>
      <c r="E6" s="759"/>
      <c r="F6" s="759"/>
      <c r="G6" s="759"/>
      <c r="H6" s="759"/>
      <c r="I6" s="759"/>
      <c r="J6" s="759"/>
      <c r="K6" s="759"/>
      <c r="L6" s="759"/>
      <c r="M6" s="759"/>
      <c r="N6" s="759"/>
      <c r="O6" s="759"/>
      <c r="P6" s="759"/>
      <c r="Q6" s="759"/>
      <c r="R6" s="759"/>
      <c r="S6" s="759"/>
      <c r="T6" s="759"/>
      <c r="U6" s="761"/>
    </row>
    <row r="7" spans="1:21" ht="15.75">
      <c r="A7" s="762"/>
      <c r="B7" s="762"/>
      <c r="C7" s="762"/>
      <c r="D7" s="762"/>
      <c r="E7" s="762"/>
      <c r="F7" s="762"/>
      <c r="G7" s="762"/>
      <c r="H7" s="762"/>
      <c r="I7" s="762"/>
      <c r="J7" s="762"/>
      <c r="K7" s="762"/>
      <c r="L7" s="762"/>
      <c r="M7" s="762"/>
      <c r="N7" s="762"/>
      <c r="O7" s="762"/>
      <c r="P7" s="762"/>
      <c r="Q7" s="762"/>
      <c r="R7" s="762"/>
      <c r="S7" s="762"/>
      <c r="T7" s="762"/>
      <c r="U7" s="762"/>
    </row>
    <row r="8" spans="1:21" ht="15.75">
      <c r="A8" s="763" t="s">
        <v>740</v>
      </c>
      <c r="B8" s="763"/>
      <c r="C8" s="763" t="s">
        <v>741</v>
      </c>
      <c r="D8" s="763"/>
      <c r="E8" s="763" t="s">
        <v>742</v>
      </c>
      <c r="F8" s="763"/>
      <c r="G8" s="763" t="s">
        <v>743</v>
      </c>
      <c r="H8" s="763"/>
      <c r="I8" s="763" t="s">
        <v>744</v>
      </c>
      <c r="J8" s="763"/>
      <c r="K8" s="763" t="s">
        <v>745</v>
      </c>
      <c r="L8" s="763"/>
      <c r="M8" s="763" t="s">
        <v>746</v>
      </c>
      <c r="N8" s="763"/>
      <c r="O8" s="763" t="s">
        <v>747</v>
      </c>
      <c r="P8" s="763"/>
      <c r="Q8" s="763" t="s">
        <v>748</v>
      </c>
      <c r="R8" s="763"/>
      <c r="S8" s="763" t="s">
        <v>749</v>
      </c>
      <c r="T8" s="763"/>
      <c r="U8" s="763" t="s">
        <v>750</v>
      </c>
    </row>
    <row r="9" spans="1:21" ht="15.75">
      <c r="A9" s="763"/>
      <c r="B9" s="763"/>
      <c r="C9" s="763"/>
      <c r="D9" s="763"/>
      <c r="E9" s="763"/>
      <c r="F9" s="763"/>
      <c r="G9" s="763"/>
      <c r="H9" s="763"/>
      <c r="I9" s="763"/>
      <c r="J9" s="763"/>
      <c r="K9" s="763"/>
      <c r="L9" s="763"/>
      <c r="M9" s="763"/>
      <c r="N9" s="763"/>
      <c r="O9" s="763"/>
      <c r="P9" s="763"/>
      <c r="Q9" s="763"/>
      <c r="R9" s="763"/>
      <c r="S9" s="763"/>
      <c r="T9" s="763"/>
      <c r="U9" s="763"/>
    </row>
    <row r="10" spans="1:21" ht="15.75">
      <c r="A10" s="763"/>
      <c r="B10" s="763"/>
      <c r="C10" s="762"/>
      <c r="D10" s="762"/>
      <c r="E10" s="762"/>
      <c r="F10" s="762"/>
      <c r="G10" s="762"/>
      <c r="H10" s="762"/>
      <c r="I10" s="762"/>
      <c r="J10" s="762"/>
      <c r="K10" s="763" t="s">
        <v>751</v>
      </c>
      <c r="L10" s="763"/>
      <c r="M10" s="763"/>
      <c r="N10" s="763"/>
      <c r="O10" s="763" t="s">
        <v>752</v>
      </c>
      <c r="P10" s="763"/>
      <c r="Q10" s="763"/>
      <c r="R10" s="763"/>
      <c r="S10" s="763" t="s">
        <v>753</v>
      </c>
      <c r="T10" s="763"/>
      <c r="U10" s="762"/>
    </row>
    <row r="11" spans="1:21" ht="15.75">
      <c r="A11" s="763"/>
      <c r="B11" s="763"/>
      <c r="C11" s="762"/>
      <c r="D11" s="762"/>
      <c r="E11" s="762"/>
      <c r="F11" s="762"/>
      <c r="G11" s="762"/>
      <c r="H11" s="762"/>
      <c r="I11" s="765"/>
      <c r="J11" s="765"/>
      <c r="K11" s="765" t="s">
        <v>754</v>
      </c>
      <c r="L11" s="765"/>
      <c r="M11" s="763" t="s">
        <v>751</v>
      </c>
      <c r="N11" s="763"/>
      <c r="O11" s="765" t="s">
        <v>754</v>
      </c>
      <c r="P11" s="765"/>
      <c r="Q11" s="763" t="s">
        <v>752</v>
      </c>
      <c r="R11" s="763"/>
      <c r="S11" s="763" t="s">
        <v>755</v>
      </c>
      <c r="T11" s="763"/>
      <c r="U11" s="765" t="s">
        <v>756</v>
      </c>
    </row>
    <row r="12" spans="1:21" ht="15.75">
      <c r="A12" s="765" t="s">
        <v>757</v>
      </c>
      <c r="B12" s="765"/>
      <c r="C12" s="765" t="s">
        <v>692</v>
      </c>
      <c r="D12" s="765"/>
      <c r="E12" s="765" t="s">
        <v>758</v>
      </c>
      <c r="F12" s="765"/>
      <c r="G12" s="765" t="s">
        <v>759</v>
      </c>
      <c r="H12" s="765"/>
      <c r="I12" s="765" t="s">
        <v>760</v>
      </c>
      <c r="J12" s="765"/>
      <c r="K12" s="765" t="s">
        <v>761</v>
      </c>
      <c r="L12" s="765"/>
      <c r="M12" s="765" t="s">
        <v>762</v>
      </c>
      <c r="N12" s="765"/>
      <c r="O12" s="765" t="s">
        <v>761</v>
      </c>
      <c r="P12" s="765"/>
      <c r="Q12" s="765" t="s">
        <v>762</v>
      </c>
      <c r="R12" s="765"/>
      <c r="S12" s="765" t="s">
        <v>763</v>
      </c>
      <c r="T12" s="765"/>
      <c r="U12" s="765" t="s">
        <v>755</v>
      </c>
    </row>
    <row r="13" spans="1:21" ht="15.75">
      <c r="A13" s="767" t="s">
        <v>764</v>
      </c>
      <c r="B13" s="767"/>
      <c r="C13" s="767" t="s">
        <v>764</v>
      </c>
      <c r="D13" s="767"/>
      <c r="E13" s="767" t="s">
        <v>764</v>
      </c>
      <c r="F13" s="767"/>
      <c r="G13" s="767" t="s">
        <v>764</v>
      </c>
      <c r="H13" s="767"/>
      <c r="I13" s="767" t="s">
        <v>764</v>
      </c>
      <c r="J13" s="767"/>
      <c r="K13" s="767" t="s">
        <v>764</v>
      </c>
      <c r="L13" s="767"/>
      <c r="M13" s="767" t="s">
        <v>764</v>
      </c>
      <c r="N13" s="767"/>
      <c r="O13" s="767" t="s">
        <v>764</v>
      </c>
      <c r="P13" s="767"/>
      <c r="Q13" s="767" t="s">
        <v>764</v>
      </c>
      <c r="R13" s="767"/>
      <c r="S13" s="767" t="s">
        <v>764</v>
      </c>
      <c r="T13" s="767"/>
      <c r="U13" s="767" t="s">
        <v>764</v>
      </c>
    </row>
    <row r="14" spans="1:21" ht="15.75">
      <c r="A14" s="767"/>
      <c r="B14" s="767"/>
      <c r="C14" s="767"/>
      <c r="D14" s="767"/>
      <c r="E14" s="767"/>
      <c r="F14" s="767"/>
      <c r="G14" s="767"/>
      <c r="H14" s="767"/>
      <c r="I14" s="767"/>
      <c r="J14" s="767"/>
      <c r="K14" s="767"/>
      <c r="L14" s="767"/>
      <c r="M14" s="767"/>
      <c r="N14" s="767"/>
      <c r="O14" s="767"/>
      <c r="P14" s="767"/>
      <c r="Q14" s="767"/>
      <c r="R14" s="767"/>
      <c r="S14" s="767"/>
      <c r="T14" s="767"/>
      <c r="U14" s="767"/>
    </row>
    <row r="15" spans="1:21" ht="15.75">
      <c r="A15" s="768" t="s">
        <v>765</v>
      </c>
      <c r="B15" s="767"/>
      <c r="C15" s="767"/>
      <c r="D15" s="767"/>
      <c r="E15" s="767"/>
      <c r="F15" s="767"/>
      <c r="G15" s="767"/>
      <c r="H15" s="767"/>
      <c r="I15" s="767"/>
      <c r="J15" s="767"/>
      <c r="K15" s="767"/>
      <c r="L15" s="767"/>
      <c r="M15" s="767"/>
      <c r="N15" s="767"/>
      <c r="O15" s="767"/>
      <c r="P15" s="767"/>
      <c r="Q15" s="767"/>
      <c r="R15" s="767"/>
      <c r="S15" s="767"/>
      <c r="T15" s="767"/>
      <c r="U15" s="767"/>
    </row>
    <row r="16" spans="1:21" ht="15.75">
      <c r="A16" s="764" t="s">
        <v>778</v>
      </c>
      <c r="B16" s="764"/>
      <c r="C16" s="771">
        <v>11552.5628513264</v>
      </c>
      <c r="D16" s="771"/>
      <c r="E16" s="772">
        <v>1538</v>
      </c>
      <c r="F16" s="772"/>
      <c r="G16" s="772">
        <v>10014.5628513264</v>
      </c>
      <c r="H16" s="772"/>
      <c r="I16" s="771">
        <v>271.04881013122815</v>
      </c>
      <c r="J16" s="771"/>
      <c r="K16" s="771">
        <v>795.46193980282544</v>
      </c>
      <c r="L16" s="771"/>
      <c r="M16" s="771">
        <v>312.42621390639999</v>
      </c>
      <c r="N16" s="771"/>
      <c r="O16" s="771">
        <v>27.353077342131172</v>
      </c>
      <c r="P16" s="771"/>
      <c r="Q16" s="771">
        <v>122.13663742</v>
      </c>
      <c r="R16" s="771"/>
      <c r="S16" s="772">
        <v>191</v>
      </c>
      <c r="T16" s="772"/>
      <c r="U16" s="771">
        <v>9833.1361727238145</v>
      </c>
    </row>
    <row r="17" spans="1:21" ht="15.75">
      <c r="A17" s="764" t="s">
        <v>779</v>
      </c>
      <c r="B17" s="764"/>
      <c r="C17" s="771">
        <v>9322.989298926399</v>
      </c>
      <c r="D17" s="771"/>
      <c r="E17" s="772">
        <v>1167</v>
      </c>
      <c r="F17" s="772"/>
      <c r="G17" s="772">
        <v>8155.989298926399</v>
      </c>
      <c r="H17" s="772"/>
      <c r="I17" s="771">
        <v>498.20165915608356</v>
      </c>
      <c r="J17" s="771"/>
      <c r="K17" s="771">
        <v>787.89289638143964</v>
      </c>
      <c r="L17" s="771"/>
      <c r="M17" s="771">
        <v>342.32683150639997</v>
      </c>
      <c r="N17" s="771"/>
      <c r="O17" s="771">
        <v>25.727563126416658</v>
      </c>
      <c r="P17" s="771"/>
      <c r="Q17" s="771">
        <v>122.66246742</v>
      </c>
      <c r="R17" s="771"/>
      <c r="S17" s="772">
        <v>262</v>
      </c>
      <c r="T17" s="772"/>
      <c r="U17" s="771">
        <v>7284.1778813360588</v>
      </c>
    </row>
    <row r="18" spans="1:21" ht="15.75">
      <c r="A18" s="764" t="s">
        <v>780</v>
      </c>
      <c r="B18" s="764"/>
      <c r="C18" s="771">
        <v>10830.3189295088</v>
      </c>
      <c r="D18" s="771"/>
      <c r="E18" s="772">
        <v>1600</v>
      </c>
      <c r="F18" s="772"/>
      <c r="G18" s="772">
        <v>9230.3189295087996</v>
      </c>
      <c r="H18" s="772"/>
      <c r="I18" s="771">
        <v>574.73716714461284</v>
      </c>
      <c r="J18" s="771"/>
      <c r="K18" s="771">
        <v>779.34432969375678</v>
      </c>
      <c r="L18" s="771"/>
      <c r="M18" s="771">
        <v>370.91609344879998</v>
      </c>
      <c r="N18" s="771"/>
      <c r="O18" s="771">
        <v>25.727563126416658</v>
      </c>
      <c r="P18" s="771"/>
      <c r="Q18" s="771">
        <v>123.40283606</v>
      </c>
      <c r="R18" s="771"/>
      <c r="S18" s="772">
        <v>283</v>
      </c>
      <c r="T18" s="772"/>
      <c r="U18" s="771">
        <v>8673.1909400352124</v>
      </c>
    </row>
    <row r="19" spans="1:21" ht="15.75">
      <c r="A19" s="764" t="s">
        <v>781</v>
      </c>
      <c r="B19" s="764"/>
      <c r="C19" s="771">
        <v>10697.826603354399</v>
      </c>
      <c r="D19" s="771"/>
      <c r="E19" s="772">
        <v>1467</v>
      </c>
      <c r="F19" s="772"/>
      <c r="G19" s="772">
        <v>9230.8266033543987</v>
      </c>
      <c r="H19" s="772"/>
      <c r="I19" s="771">
        <v>298.31203618521926</v>
      </c>
      <c r="J19" s="771"/>
      <c r="K19" s="771">
        <v>762.40302956530184</v>
      </c>
      <c r="L19" s="771"/>
      <c r="M19" s="771">
        <v>412.50251313439998</v>
      </c>
      <c r="N19" s="771"/>
      <c r="O19" s="771">
        <v>25.94018761506473</v>
      </c>
      <c r="P19" s="771"/>
      <c r="Q19" s="771">
        <v>124.32409022</v>
      </c>
      <c r="R19" s="771"/>
      <c r="S19" s="771">
        <v>239</v>
      </c>
      <c r="T19" s="771"/>
      <c r="U19" s="771">
        <v>8835.3447466344132</v>
      </c>
    </row>
    <row r="20" spans="1:21" ht="15.75">
      <c r="A20" s="764" t="s">
        <v>782</v>
      </c>
      <c r="B20" s="764"/>
      <c r="C20" s="771">
        <v>9896.4087271376011</v>
      </c>
      <c r="D20" s="771"/>
      <c r="E20" s="772">
        <v>1576</v>
      </c>
      <c r="F20" s="772"/>
      <c r="G20" s="772">
        <v>8320.4087271376011</v>
      </c>
      <c r="H20" s="772"/>
      <c r="I20" s="771">
        <v>303.75</v>
      </c>
      <c r="J20" s="771"/>
      <c r="K20" s="771">
        <v>670.57561739632206</v>
      </c>
      <c r="L20" s="771"/>
      <c r="M20" s="771">
        <v>453.45140893759992</v>
      </c>
      <c r="N20" s="771"/>
      <c r="O20" s="771">
        <v>25.94018761506473</v>
      </c>
      <c r="P20" s="771"/>
      <c r="Q20" s="771">
        <v>125.9573182</v>
      </c>
      <c r="R20" s="771"/>
      <c r="S20" s="771">
        <v>262</v>
      </c>
      <c r="T20" s="771"/>
      <c r="U20" s="771">
        <v>8054.734194988614</v>
      </c>
    </row>
    <row r="21" spans="1:21" ht="15.75">
      <c r="A21" s="764" t="s">
        <v>783</v>
      </c>
      <c r="B21" s="764"/>
      <c r="C21" s="771">
        <v>10964.458763204</v>
      </c>
      <c r="D21" s="771"/>
      <c r="E21" s="772">
        <v>1828</v>
      </c>
      <c r="F21" s="772"/>
      <c r="G21" s="772">
        <v>9136.4587632040002</v>
      </c>
      <c r="H21" s="772"/>
      <c r="I21" s="771">
        <v>234.24087851518561</v>
      </c>
      <c r="J21" s="771"/>
      <c r="K21" s="771">
        <v>763</v>
      </c>
      <c r="L21" s="771"/>
      <c r="M21" s="771">
        <v>487.08106070399998</v>
      </c>
      <c r="N21" s="771"/>
      <c r="O21" s="771">
        <v>34</v>
      </c>
      <c r="P21" s="771"/>
      <c r="Q21" s="771">
        <v>132.3777025</v>
      </c>
      <c r="R21" s="771"/>
      <c r="S21" s="771">
        <v>278</v>
      </c>
      <c r="T21" s="771"/>
      <c r="U21" s="771">
        <v>9035.7591214848144</v>
      </c>
    </row>
    <row r="22" spans="1:21" ht="15.75">
      <c r="A22" s="764" t="s">
        <v>784</v>
      </c>
      <c r="B22" s="764"/>
      <c r="C22" s="771">
        <v>12091.7397496624</v>
      </c>
      <c r="D22" s="771"/>
      <c r="E22" s="772">
        <v>2229</v>
      </c>
      <c r="F22" s="772"/>
      <c r="G22" s="772">
        <v>9862.7397496623998</v>
      </c>
      <c r="H22" s="772"/>
      <c r="I22" s="776">
        <v>267.83684318135352</v>
      </c>
      <c r="J22" s="776"/>
      <c r="K22" s="771">
        <v>759</v>
      </c>
      <c r="L22" s="771"/>
      <c r="M22" s="771">
        <v>521.92275536239993</v>
      </c>
      <c r="N22" s="771"/>
      <c r="O22" s="771">
        <v>71</v>
      </c>
      <c r="P22" s="771"/>
      <c r="Q22" s="771">
        <v>146.8169943</v>
      </c>
      <c r="R22" s="771"/>
      <c r="S22" s="771">
        <v>291</v>
      </c>
      <c r="T22" s="771"/>
      <c r="U22" s="771">
        <v>10034.163156818646</v>
      </c>
    </row>
    <row r="23" spans="1:21" ht="15.75">
      <c r="A23" s="764" t="s">
        <v>785</v>
      </c>
      <c r="B23" s="764"/>
      <c r="C23" s="771">
        <v>13697.7233491264</v>
      </c>
      <c r="D23" s="771"/>
      <c r="E23" s="772">
        <v>2189</v>
      </c>
      <c r="F23" s="772"/>
      <c r="G23" s="772">
        <v>11508.7233491264</v>
      </c>
      <c r="H23" s="772"/>
      <c r="I23" s="776">
        <v>245.89790027587611</v>
      </c>
      <c r="J23" s="776"/>
      <c r="K23" s="771">
        <v>651</v>
      </c>
      <c r="L23" s="771"/>
      <c r="M23" s="771">
        <v>567.14210008639998</v>
      </c>
      <c r="N23" s="771"/>
      <c r="O23" s="771">
        <v>80</v>
      </c>
      <c r="P23" s="771"/>
      <c r="Q23" s="771">
        <v>161.58124903999999</v>
      </c>
      <c r="R23" s="771"/>
      <c r="S23" s="771">
        <v>322</v>
      </c>
      <c r="T23" s="771"/>
      <c r="U23" s="771">
        <v>11670.102099724123</v>
      </c>
    </row>
    <row r="24" spans="1:21" ht="15.75">
      <c r="A24" s="764" t="s">
        <v>786</v>
      </c>
      <c r="B24" s="764"/>
      <c r="C24" s="771">
        <v>11347.059043100004</v>
      </c>
      <c r="D24" s="771"/>
      <c r="E24" s="772">
        <v>1625</v>
      </c>
      <c r="F24" s="772"/>
      <c r="G24" s="772">
        <v>9722.0590431000037</v>
      </c>
      <c r="H24" s="772"/>
      <c r="I24" s="776">
        <v>270.98998671707363</v>
      </c>
      <c r="J24" s="776"/>
      <c r="K24" s="771">
        <v>661</v>
      </c>
      <c r="L24" s="771"/>
      <c r="M24" s="771">
        <v>633.40512038016402</v>
      </c>
      <c r="N24" s="771"/>
      <c r="O24" s="771">
        <v>94.309399999999997</v>
      </c>
      <c r="P24" s="771"/>
      <c r="Q24" s="771">
        <v>178.65392271983998</v>
      </c>
      <c r="R24" s="771"/>
      <c r="S24" s="771">
        <v>214</v>
      </c>
      <c r="T24" s="771"/>
      <c r="U24" s="771">
        <v>9294.7006132829265</v>
      </c>
    </row>
    <row r="25" spans="1:21" ht="15.75">
      <c r="A25" s="764" t="s">
        <v>787</v>
      </c>
      <c r="B25" s="764"/>
      <c r="C25" s="771">
        <v>9714.6719821445386</v>
      </c>
      <c r="D25" s="771"/>
      <c r="E25" s="772">
        <v>905</v>
      </c>
      <c r="F25" s="772"/>
      <c r="G25" s="772">
        <v>8809.6719821445386</v>
      </c>
      <c r="H25" s="772"/>
      <c r="I25" s="776">
        <v>185.59637695908813</v>
      </c>
      <c r="J25" s="776"/>
      <c r="K25" s="771">
        <v>638.66999999999996</v>
      </c>
      <c r="L25" s="771"/>
      <c r="M25" s="771">
        <v>681.08450980470002</v>
      </c>
      <c r="N25" s="771"/>
      <c r="O25" s="771">
        <v>95.839733333333328</v>
      </c>
      <c r="P25" s="771"/>
      <c r="Q25" s="771">
        <v>201.58747233983996</v>
      </c>
      <c r="R25" s="771"/>
      <c r="S25" s="771">
        <v>210</v>
      </c>
      <c r="T25" s="771"/>
      <c r="U25" s="771">
        <v>7701.8938897075768</v>
      </c>
    </row>
    <row r="26" spans="1:21" ht="15.75">
      <c r="A26" s="764"/>
      <c r="B26" s="764"/>
      <c r="C26" s="771"/>
      <c r="D26" s="771"/>
      <c r="E26" s="772"/>
      <c r="F26" s="772"/>
      <c r="G26" s="772"/>
      <c r="H26" s="772"/>
      <c r="I26" s="776"/>
      <c r="J26" s="776"/>
      <c r="K26" s="771">
        <f>K25-K20</f>
        <v>-31.9056173963221</v>
      </c>
      <c r="L26" s="771"/>
      <c r="M26" s="771">
        <f>M25-M21</f>
        <v>194.00344910070004</v>
      </c>
      <c r="N26" s="771"/>
      <c r="O26" s="771">
        <f>O25-O20</f>
        <v>69.899545718268598</v>
      </c>
      <c r="P26" s="771"/>
      <c r="Q26" s="771">
        <f>Q25-Q21</f>
        <v>69.209769839839964</v>
      </c>
      <c r="R26" s="771"/>
      <c r="S26" s="771"/>
      <c r="T26" s="771"/>
      <c r="U26" s="771"/>
    </row>
    <row r="27" spans="1:21" ht="15.75">
      <c r="A27" s="768" t="s">
        <v>766</v>
      </c>
      <c r="B27" s="763"/>
      <c r="C27" s="771"/>
      <c r="D27" s="771"/>
      <c r="E27" s="772"/>
      <c r="F27" s="772"/>
      <c r="G27" s="772"/>
      <c r="H27" s="772"/>
      <c r="I27" s="771"/>
      <c r="J27" s="771"/>
      <c r="K27" s="771"/>
      <c r="L27" s="771"/>
      <c r="M27" s="771"/>
      <c r="N27" s="771"/>
      <c r="O27" s="771"/>
      <c r="P27" s="771"/>
      <c r="Q27" s="771"/>
      <c r="R27" s="771"/>
      <c r="S27" s="772"/>
      <c r="T27" s="772"/>
      <c r="U27" s="771"/>
    </row>
    <row r="28" spans="1:21" ht="15.75">
      <c r="A28" s="764" t="s">
        <v>788</v>
      </c>
      <c r="B28" s="764"/>
      <c r="C28" s="771">
        <v>11202.80065164454</v>
      </c>
      <c r="D28" s="771"/>
      <c r="E28" s="772">
        <v>908.60799999999995</v>
      </c>
      <c r="F28" s="772"/>
      <c r="G28" s="772">
        <v>10294.19265164454</v>
      </c>
      <c r="H28" s="772"/>
      <c r="I28" s="771">
        <v>249</v>
      </c>
      <c r="J28" s="771"/>
      <c r="K28" s="771">
        <v>649.25400000000002</v>
      </c>
      <c r="L28" s="771"/>
      <c r="M28" s="771">
        <v>734.80543830470003</v>
      </c>
      <c r="N28" s="771"/>
      <c r="O28" s="771">
        <v>99.853399999999993</v>
      </c>
      <c r="P28" s="771"/>
      <c r="Q28" s="771">
        <v>216.38721333983997</v>
      </c>
      <c r="R28" s="771"/>
      <c r="S28" s="771">
        <v>239</v>
      </c>
      <c r="T28" s="771"/>
      <c r="U28" s="771">
        <v>9014.5005999999994</v>
      </c>
    </row>
    <row r="29" spans="1:21" ht="15.75">
      <c r="A29" s="764" t="s">
        <v>789</v>
      </c>
      <c r="B29" s="764"/>
      <c r="C29" s="771">
        <v>11386.376237669539</v>
      </c>
      <c r="D29" s="771"/>
      <c r="E29" s="772">
        <v>941.60799999999995</v>
      </c>
      <c r="F29" s="772"/>
      <c r="G29" s="772">
        <v>10444.768237669539</v>
      </c>
      <c r="H29" s="772"/>
      <c r="I29" s="771">
        <v>251</v>
      </c>
      <c r="J29" s="771"/>
      <c r="K29" s="771">
        <v>659</v>
      </c>
      <c r="L29" s="771"/>
      <c r="M29" s="771">
        <v>786.32127037969997</v>
      </c>
      <c r="N29" s="771"/>
      <c r="O29" s="771">
        <v>102.6254</v>
      </c>
      <c r="P29" s="771"/>
      <c r="Q29" s="771">
        <v>230.44696728983996</v>
      </c>
      <c r="R29" s="771"/>
      <c r="S29" s="771">
        <v>240</v>
      </c>
      <c r="T29" s="771"/>
      <c r="U29" s="771">
        <v>9116.9825999999994</v>
      </c>
    </row>
    <row r="30" spans="1:21" ht="15.75">
      <c r="A30" s="764" t="s">
        <v>790</v>
      </c>
      <c r="B30" s="764"/>
      <c r="C30" s="771">
        <v>12080.902913630091</v>
      </c>
      <c r="D30" s="771"/>
      <c r="E30" s="772">
        <v>1444.6079999999999</v>
      </c>
      <c r="F30" s="772"/>
      <c r="G30" s="772">
        <v>10636.29491363009</v>
      </c>
      <c r="H30" s="772"/>
      <c r="I30" s="771">
        <v>254</v>
      </c>
      <c r="J30" s="771"/>
      <c r="K30" s="771">
        <v>668</v>
      </c>
      <c r="L30" s="771"/>
      <c r="M30" s="771">
        <v>835.72551085095006</v>
      </c>
      <c r="N30" s="771"/>
      <c r="O30" s="771">
        <v>106.1114</v>
      </c>
      <c r="P30" s="771"/>
      <c r="Q30" s="771">
        <v>238.56940277913995</v>
      </c>
      <c r="R30" s="771"/>
      <c r="S30" s="771">
        <v>242</v>
      </c>
      <c r="T30" s="771"/>
      <c r="U30" s="771">
        <v>9736.4966000000004</v>
      </c>
    </row>
    <row r="31" spans="1:21" ht="15.75">
      <c r="A31" s="764" t="s">
        <v>791</v>
      </c>
      <c r="B31" s="764"/>
      <c r="C31" s="771">
        <v>12274.251605792611</v>
      </c>
      <c r="D31" s="771"/>
      <c r="E31" s="772">
        <v>1446.6079999999999</v>
      </c>
      <c r="F31" s="772"/>
      <c r="G31" s="772">
        <v>10827.643605792611</v>
      </c>
      <c r="H31" s="772"/>
      <c r="I31" s="771">
        <v>253</v>
      </c>
      <c r="J31" s="771"/>
      <c r="K31" s="771">
        <v>677</v>
      </c>
      <c r="L31" s="771"/>
      <c r="M31" s="771">
        <v>877.35788929863759</v>
      </c>
      <c r="N31" s="771"/>
      <c r="O31" s="771">
        <v>109.24040000000001</v>
      </c>
      <c r="P31" s="771"/>
      <c r="Q31" s="771">
        <v>246.28571649397495</v>
      </c>
      <c r="R31" s="771"/>
      <c r="S31" s="771">
        <v>243</v>
      </c>
      <c r="T31" s="771"/>
      <c r="U31" s="771">
        <v>9868.3675999999996</v>
      </c>
    </row>
    <row r="32" spans="1:21" ht="15.75">
      <c r="A32" s="764" t="s">
        <v>792</v>
      </c>
      <c r="B32" s="764"/>
      <c r="C32" s="771">
        <v>12422.704863347009</v>
      </c>
      <c r="D32" s="771"/>
      <c r="E32" s="772">
        <v>1394</v>
      </c>
      <c r="F32" s="772"/>
      <c r="G32" s="772">
        <v>11028.704863347009</v>
      </c>
      <c r="H32" s="772"/>
      <c r="I32" s="771">
        <v>262</v>
      </c>
      <c r="J32" s="771"/>
      <c r="K32" s="771">
        <v>703.26958661032154</v>
      </c>
      <c r="L32" s="771"/>
      <c r="M32" s="771">
        <v>917.08864882394062</v>
      </c>
      <c r="N32" s="771"/>
      <c r="O32" s="771">
        <v>112.54790000000001</v>
      </c>
      <c r="P32" s="771"/>
      <c r="Q32" s="771">
        <v>253.61621452306821</v>
      </c>
      <c r="R32" s="771"/>
      <c r="S32" s="771">
        <v>245</v>
      </c>
      <c r="T32" s="771"/>
      <c r="U32" s="771">
        <v>9929.1825133896782</v>
      </c>
    </row>
    <row r="33" spans="1:21" ht="15.75">
      <c r="A33" s="764" t="s">
        <v>793</v>
      </c>
      <c r="B33" s="764"/>
      <c r="C33" s="771">
        <v>12623.903668402694</v>
      </c>
      <c r="D33" s="771"/>
      <c r="E33" s="772">
        <v>1394</v>
      </c>
      <c r="F33" s="772"/>
      <c r="G33" s="772">
        <v>11229.903668402694</v>
      </c>
      <c r="H33" s="772"/>
      <c r="I33" s="771">
        <v>264</v>
      </c>
      <c r="J33" s="771"/>
      <c r="K33" s="771">
        <v>713</v>
      </c>
      <c r="L33" s="771"/>
      <c r="M33" s="771">
        <v>946.66533617973516</v>
      </c>
      <c r="N33" s="771"/>
      <c r="O33" s="771">
        <v>115.76615000000001</v>
      </c>
      <c r="P33" s="771"/>
      <c r="Q33" s="771">
        <v>260.23833222295889</v>
      </c>
      <c r="R33" s="771"/>
      <c r="S33" s="771">
        <v>247</v>
      </c>
      <c r="T33" s="771"/>
      <c r="U33" s="771">
        <v>10077.233850000001</v>
      </c>
    </row>
    <row r="34" spans="1:21" ht="15.75">
      <c r="A34" s="764" t="s">
        <v>794</v>
      </c>
      <c r="B34" s="764"/>
      <c r="C34" s="771">
        <v>12840.332283205595</v>
      </c>
      <c r="D34" s="771"/>
      <c r="E34" s="772">
        <v>1394</v>
      </c>
      <c r="F34" s="772"/>
      <c r="G34" s="772">
        <v>11446.332283205595</v>
      </c>
      <c r="H34" s="772"/>
      <c r="I34" s="771">
        <v>278</v>
      </c>
      <c r="J34" s="771"/>
      <c r="K34" s="771">
        <v>722</v>
      </c>
      <c r="L34" s="771"/>
      <c r="M34" s="771">
        <v>974.80293916773996</v>
      </c>
      <c r="N34" s="771"/>
      <c r="O34" s="771">
        <v>119.029025</v>
      </c>
      <c r="P34" s="771"/>
      <c r="Q34" s="771">
        <v>266.52934403785503</v>
      </c>
      <c r="R34" s="771"/>
      <c r="S34" s="771">
        <v>250</v>
      </c>
      <c r="T34" s="771"/>
      <c r="U34" s="771">
        <v>10229.970975</v>
      </c>
    </row>
    <row r="35" spans="1:21" ht="15.75">
      <c r="A35" s="764" t="s">
        <v>795</v>
      </c>
      <c r="B35" s="764"/>
      <c r="C35" s="771">
        <v>13055.235444811593</v>
      </c>
      <c r="D35" s="771"/>
      <c r="E35" s="772">
        <v>1394</v>
      </c>
      <c r="F35" s="772"/>
      <c r="G35" s="772">
        <v>11661.235444811593</v>
      </c>
      <c r="H35" s="772"/>
      <c r="I35" s="771">
        <v>292</v>
      </c>
      <c r="J35" s="771"/>
      <c r="K35" s="771">
        <v>731</v>
      </c>
      <c r="L35" s="771"/>
      <c r="M35" s="771">
        <v>1008.7296395495872</v>
      </c>
      <c r="N35" s="771"/>
      <c r="O35" s="771">
        <v>122.2695875</v>
      </c>
      <c r="P35" s="771"/>
      <c r="Q35" s="771">
        <v>272.50580526200639</v>
      </c>
      <c r="R35" s="771"/>
      <c r="S35" s="771">
        <v>252</v>
      </c>
      <c r="T35" s="771"/>
      <c r="U35" s="771">
        <v>10376.730412499999</v>
      </c>
    </row>
    <row r="36" spans="1:21" ht="15.75">
      <c r="A36" s="764" t="s">
        <v>796</v>
      </c>
      <c r="B36" s="764"/>
      <c r="C36" s="771">
        <v>13262.531167977348</v>
      </c>
      <c r="D36" s="771"/>
      <c r="E36" s="772">
        <v>1394</v>
      </c>
      <c r="F36" s="772"/>
      <c r="G36" s="772">
        <v>11868.531167977348</v>
      </c>
      <c r="H36" s="772"/>
      <c r="I36" s="771">
        <v>300</v>
      </c>
      <c r="J36" s="771"/>
      <c r="K36" s="771">
        <v>740</v>
      </c>
      <c r="L36" s="771"/>
      <c r="M36" s="771">
        <v>1039.870382715342</v>
      </c>
      <c r="N36" s="771"/>
      <c r="O36" s="771">
        <v>125.52130624999999</v>
      </c>
      <c r="P36" s="771"/>
      <c r="Q36" s="771">
        <v>275.66078526200636</v>
      </c>
      <c r="R36" s="771"/>
      <c r="S36" s="771">
        <v>254</v>
      </c>
      <c r="T36" s="771"/>
      <c r="U36" s="771">
        <v>10527.478693749999</v>
      </c>
    </row>
    <row r="37" spans="1:21" ht="15.75">
      <c r="A37" s="764" t="s">
        <v>797</v>
      </c>
      <c r="B37" s="764"/>
      <c r="C37" s="771">
        <v>13458.938396792355</v>
      </c>
      <c r="D37" s="771"/>
      <c r="E37" s="772">
        <v>1394</v>
      </c>
      <c r="F37" s="772"/>
      <c r="G37" s="772">
        <v>12064.938396792355</v>
      </c>
      <c r="H37" s="772"/>
      <c r="I37" s="771">
        <v>300</v>
      </c>
      <c r="J37" s="771"/>
      <c r="K37" s="771">
        <v>749</v>
      </c>
      <c r="L37" s="771"/>
      <c r="M37" s="771">
        <v>1069.1226315303488</v>
      </c>
      <c r="N37" s="771"/>
      <c r="O37" s="771">
        <v>128.76744687499999</v>
      </c>
      <c r="P37" s="771"/>
      <c r="Q37" s="771">
        <v>278.81576526200638</v>
      </c>
      <c r="R37" s="771"/>
      <c r="S37" s="771">
        <v>256</v>
      </c>
      <c r="T37" s="771"/>
      <c r="U37" s="771">
        <v>10677.232553124999</v>
      </c>
    </row>
    <row r="38" spans="1:21" ht="15.75">
      <c r="A38" s="764"/>
      <c r="B38" s="764"/>
      <c r="C38" s="771"/>
      <c r="D38" s="771"/>
      <c r="E38" s="772"/>
      <c r="F38" s="772"/>
      <c r="G38" s="772"/>
      <c r="H38" s="772"/>
      <c r="I38" s="771"/>
      <c r="J38" s="771"/>
      <c r="K38" s="771"/>
      <c r="L38" s="771"/>
      <c r="M38" s="771"/>
      <c r="N38" s="771"/>
      <c r="O38" s="771"/>
      <c r="P38" s="771"/>
      <c r="Q38" s="771"/>
      <c r="R38" s="771"/>
      <c r="S38" s="771"/>
      <c r="T38" s="771"/>
      <c r="U38" s="771"/>
    </row>
    <row r="39" spans="1:21" ht="15.75">
      <c r="A39" s="786" t="s">
        <v>767</v>
      </c>
      <c r="B39" s="786"/>
      <c r="C39" s="784"/>
      <c r="D39" s="784"/>
      <c r="E39" s="784"/>
      <c r="F39" s="784"/>
      <c r="G39" s="784"/>
      <c r="H39" s="784"/>
      <c r="I39" s="784"/>
      <c r="J39" s="784"/>
      <c r="K39" s="784"/>
      <c r="L39" s="784"/>
      <c r="M39" s="784"/>
      <c r="N39" s="784"/>
      <c r="O39" s="784"/>
      <c r="P39" s="784"/>
      <c r="Q39" s="784"/>
      <c r="R39" s="784"/>
      <c r="S39" s="784"/>
      <c r="T39" s="784"/>
      <c r="U39" s="784"/>
    </row>
    <row r="40" spans="1:21" ht="15.75">
      <c r="A40" s="783" t="s">
        <v>768</v>
      </c>
      <c r="B40" s="783"/>
      <c r="C40" s="784"/>
      <c r="D40" s="784"/>
      <c r="E40" s="784"/>
      <c r="F40" s="784"/>
      <c r="G40" s="784"/>
      <c r="H40" s="784"/>
      <c r="I40" s="784"/>
      <c r="J40" s="784"/>
      <c r="K40" s="784"/>
      <c r="L40" s="784"/>
      <c r="M40" s="784"/>
      <c r="N40" s="784"/>
      <c r="O40" s="784"/>
      <c r="P40" s="784"/>
      <c r="Q40" s="784"/>
      <c r="R40" s="784"/>
      <c r="S40" s="784"/>
      <c r="T40" s="784"/>
      <c r="U40" s="784"/>
    </row>
    <row r="41" spans="1:21" ht="15.75">
      <c r="A41" s="783" t="s">
        <v>769</v>
      </c>
      <c r="B41" s="783"/>
      <c r="C41" s="784"/>
      <c r="D41" s="784"/>
      <c r="E41" s="784"/>
      <c r="F41" s="784"/>
      <c r="G41" s="784"/>
      <c r="H41" s="784"/>
      <c r="I41" s="784"/>
      <c r="J41" s="784"/>
      <c r="K41" s="784"/>
      <c r="L41" s="784"/>
      <c r="M41" s="784"/>
      <c r="N41" s="784"/>
      <c r="O41" s="784"/>
      <c r="P41" s="784"/>
      <c r="Q41" s="784"/>
      <c r="R41" s="784"/>
      <c r="S41" s="784"/>
      <c r="T41" s="784"/>
      <c r="U41" s="784"/>
    </row>
    <row r="42" spans="1:21" ht="15.75">
      <c r="A42" s="783" t="s">
        <v>798</v>
      </c>
      <c r="B42" s="783"/>
      <c r="C42" s="784"/>
      <c r="D42" s="784"/>
      <c r="E42" s="784"/>
      <c r="F42" s="784"/>
      <c r="G42" s="784"/>
      <c r="H42" s="784"/>
      <c r="I42" s="784"/>
      <c r="J42" s="784"/>
      <c r="K42" s="784"/>
      <c r="L42" s="784"/>
      <c r="M42" s="784"/>
      <c r="N42" s="784"/>
      <c r="O42" s="784"/>
      <c r="P42" s="784"/>
      <c r="Q42" s="784"/>
      <c r="R42" s="784"/>
      <c r="S42" s="784"/>
      <c r="T42" s="784"/>
      <c r="U42" s="784"/>
    </row>
    <row r="43" spans="1:21" ht="15.75">
      <c r="A43" s="790" t="s">
        <v>771</v>
      </c>
      <c r="B43" s="790"/>
      <c r="C43" s="784"/>
      <c r="D43" s="784"/>
      <c r="E43" s="784"/>
      <c r="F43" s="784"/>
      <c r="G43" s="784"/>
      <c r="H43" s="784"/>
      <c r="I43" s="784"/>
      <c r="J43" s="784"/>
      <c r="K43" s="784"/>
      <c r="L43" s="784"/>
      <c r="M43" s="784"/>
      <c r="N43" s="784"/>
      <c r="O43" s="784"/>
      <c r="P43" s="784"/>
      <c r="Q43" s="784"/>
      <c r="R43" s="784"/>
      <c r="S43" s="784"/>
      <c r="T43" s="784"/>
      <c r="U43" s="784"/>
    </row>
    <row r="44" spans="1:21" ht="15.75">
      <c r="A44" s="786" t="s">
        <v>772</v>
      </c>
      <c r="B44" s="786"/>
      <c r="C44" s="784"/>
      <c r="D44" s="784"/>
      <c r="E44" s="784"/>
      <c r="F44" s="784"/>
      <c r="G44" s="784"/>
      <c r="H44" s="784"/>
      <c r="I44" s="784"/>
      <c r="J44" s="784"/>
      <c r="K44" s="784"/>
      <c r="L44" s="784"/>
      <c r="M44" s="784"/>
      <c r="N44" s="784"/>
      <c r="O44" s="784"/>
      <c r="P44" s="784"/>
      <c r="Q44" s="784"/>
      <c r="R44" s="784"/>
      <c r="S44" s="784"/>
      <c r="T44" s="784"/>
      <c r="U44" s="784"/>
    </row>
    <row r="45" spans="1:21" ht="15.75">
      <c r="A45" s="790" t="s">
        <v>799</v>
      </c>
      <c r="B45" s="790"/>
      <c r="C45" s="784"/>
      <c r="D45" s="784"/>
      <c r="E45" s="784"/>
      <c r="F45" s="784"/>
      <c r="G45" s="784"/>
      <c r="H45" s="784"/>
      <c r="I45" s="784"/>
      <c r="J45" s="784"/>
      <c r="K45" s="784"/>
      <c r="L45" s="784"/>
      <c r="M45" s="784"/>
      <c r="N45" s="784"/>
      <c r="O45" s="784"/>
      <c r="P45" s="784"/>
      <c r="Q45" s="784"/>
      <c r="R45" s="784"/>
      <c r="S45" s="784"/>
      <c r="T45" s="784"/>
      <c r="U45" s="784"/>
    </row>
    <row r="46" spans="1:21" ht="15.75">
      <c r="A46" s="783" t="s">
        <v>800</v>
      </c>
      <c r="B46" s="783"/>
      <c r="C46" s="784"/>
      <c r="D46" s="784"/>
      <c r="E46" s="784"/>
      <c r="F46" s="784"/>
      <c r="G46" s="784"/>
      <c r="H46" s="784"/>
      <c r="I46" s="784"/>
      <c r="J46" s="784"/>
      <c r="K46" s="784"/>
      <c r="L46" s="784"/>
      <c r="M46" s="784"/>
      <c r="N46" s="784"/>
      <c r="O46" s="784"/>
      <c r="P46" s="784"/>
      <c r="Q46" s="784"/>
      <c r="R46" s="784"/>
      <c r="S46" s="784"/>
      <c r="T46" s="784"/>
      <c r="U46" s="784"/>
    </row>
    <row r="47" spans="1:21" ht="15.75">
      <c r="A47" s="783" t="s">
        <v>798</v>
      </c>
      <c r="B47" s="783"/>
      <c r="C47" s="784"/>
      <c r="D47" s="784"/>
      <c r="E47" s="784"/>
      <c r="F47" s="784"/>
      <c r="G47" s="784"/>
      <c r="H47" s="784"/>
      <c r="I47" s="784"/>
      <c r="J47" s="784"/>
      <c r="K47" s="784"/>
      <c r="L47" s="784"/>
      <c r="M47" s="784"/>
      <c r="N47" s="784"/>
      <c r="O47" s="784"/>
      <c r="P47" s="784"/>
      <c r="Q47" s="784"/>
      <c r="R47" s="784"/>
      <c r="S47" s="784"/>
      <c r="T47" s="784"/>
      <c r="U47" s="784"/>
    </row>
    <row r="48" spans="1:21" ht="15.75">
      <c r="A48" s="790" t="s">
        <v>771</v>
      </c>
      <c r="B48" s="790"/>
      <c r="C48" s="784"/>
      <c r="D48" s="784"/>
      <c r="E48" s="784"/>
      <c r="F48" s="784"/>
      <c r="G48" s="784"/>
      <c r="H48" s="784"/>
      <c r="I48" s="784"/>
      <c r="J48" s="784"/>
      <c r="K48" s="784"/>
      <c r="L48" s="784"/>
      <c r="M48" s="784"/>
      <c r="N48" s="784"/>
      <c r="O48" s="784"/>
      <c r="P48" s="784"/>
      <c r="Q48" s="784"/>
      <c r="R48" s="784"/>
      <c r="S48" s="784"/>
      <c r="T48" s="784"/>
      <c r="U48" s="784"/>
    </row>
  </sheetData>
  <pageMargins left="0.5" right="0.5" top="0.5" bottom="0.5" header="0" footer="0"/>
  <pageSetup paperSize="5" scale="74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43"/>
  <sheetViews>
    <sheetView showOutlineSymbols="0" zoomScale="87" zoomScaleNormal="87" workbookViewId="0">
      <selection activeCell="F26" sqref="F26"/>
    </sheetView>
  </sheetViews>
  <sheetFormatPr defaultColWidth="12.5703125" defaultRowHeight="12"/>
  <cols>
    <col min="1" max="1" width="11.140625" style="760" customWidth="1"/>
    <col min="2" max="2" width="2.28515625" style="760" customWidth="1"/>
    <col min="3" max="3" width="15.140625" style="760" customWidth="1"/>
    <col min="4" max="4" width="2.28515625" style="760" customWidth="1"/>
    <col min="5" max="5" width="19.5703125" style="760" customWidth="1"/>
    <col min="6" max="6" width="2.28515625" style="760" customWidth="1"/>
    <col min="7" max="7" width="19.5703125" style="760" customWidth="1"/>
    <col min="8" max="8" width="2.28515625" style="760" customWidth="1"/>
    <col min="9" max="9" width="20.28515625" style="760" customWidth="1"/>
    <col min="10" max="10" width="2.28515625" style="760" customWidth="1"/>
    <col min="11" max="11" width="15.140625" style="760" customWidth="1"/>
    <col min="12" max="12" width="2.28515625" style="760" customWidth="1"/>
    <col min="13" max="13" width="15.140625" style="760" customWidth="1"/>
    <col min="14" max="14" width="2.28515625" style="760" customWidth="1"/>
    <col min="15" max="15" width="17.7109375" style="760" customWidth="1"/>
    <col min="16" max="16" width="2.28515625" style="760" customWidth="1"/>
    <col min="17" max="17" width="16" style="760" customWidth="1"/>
    <col min="18" max="18" width="2.28515625" style="760" customWidth="1"/>
    <col min="19" max="16384" width="12.5703125" style="760"/>
  </cols>
  <sheetData>
    <row r="1" spans="1:19" ht="15.75">
      <c r="A1" s="791" t="s">
        <v>736</v>
      </c>
      <c r="B1" s="791"/>
      <c r="C1" s="792"/>
      <c r="D1" s="792"/>
      <c r="E1" s="792"/>
      <c r="F1" s="792"/>
      <c r="G1" s="792"/>
      <c r="H1" s="792"/>
      <c r="I1" s="792"/>
      <c r="J1" s="792"/>
      <c r="K1" s="792"/>
      <c r="L1" s="792"/>
      <c r="M1" s="792"/>
      <c r="N1" s="792"/>
      <c r="O1" s="792"/>
      <c r="P1" s="792"/>
      <c r="Q1" s="792"/>
      <c r="R1" s="792"/>
      <c r="S1" s="792"/>
    </row>
    <row r="2" spans="1:19" ht="15.75">
      <c r="A2" s="793"/>
      <c r="B2" s="793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792"/>
      <c r="O2" s="792"/>
      <c r="P2" s="792"/>
      <c r="Q2" s="792"/>
      <c r="R2" s="792"/>
      <c r="S2" s="792"/>
    </row>
    <row r="3" spans="1:19" ht="15.75">
      <c r="A3" s="792" t="s">
        <v>801</v>
      </c>
      <c r="B3" s="792"/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  <c r="N3" s="792"/>
      <c r="O3" s="792"/>
      <c r="P3" s="792"/>
      <c r="Q3" s="792"/>
      <c r="R3" s="792"/>
      <c r="S3" s="792"/>
    </row>
    <row r="4" spans="1:19" ht="15.75">
      <c r="A4" s="794" t="s">
        <v>802</v>
      </c>
      <c r="B4" s="794"/>
      <c r="C4" s="792"/>
      <c r="D4" s="792"/>
      <c r="E4" s="792"/>
      <c r="F4" s="792"/>
      <c r="G4" s="792"/>
      <c r="H4" s="792"/>
      <c r="I4" s="792"/>
      <c r="J4" s="792"/>
      <c r="K4" s="792"/>
      <c r="L4" s="792"/>
      <c r="M4" s="792"/>
      <c r="N4" s="792"/>
      <c r="O4" s="792"/>
      <c r="P4" s="792"/>
      <c r="Q4" s="792"/>
      <c r="R4" s="792"/>
      <c r="S4" s="792"/>
    </row>
    <row r="5" spans="1:19" ht="15.75">
      <c r="A5" s="794" t="s">
        <v>739</v>
      </c>
      <c r="B5" s="794"/>
      <c r="C5" s="792"/>
      <c r="D5" s="792"/>
      <c r="E5" s="792"/>
      <c r="F5" s="792"/>
      <c r="G5" s="792"/>
      <c r="H5" s="792"/>
      <c r="I5" s="792"/>
      <c r="J5" s="792"/>
      <c r="K5" s="792"/>
      <c r="L5" s="792"/>
      <c r="M5" s="792"/>
      <c r="N5" s="792"/>
      <c r="O5" s="792"/>
      <c r="P5" s="792"/>
      <c r="Q5" s="792"/>
      <c r="R5" s="792"/>
      <c r="S5" s="792"/>
    </row>
    <row r="6" spans="1:19" ht="15.75">
      <c r="A6" s="794"/>
      <c r="B6" s="794"/>
      <c r="C6" s="792"/>
      <c r="D6" s="792"/>
      <c r="E6" s="792"/>
      <c r="F6" s="792"/>
      <c r="G6" s="792"/>
      <c r="H6" s="792"/>
      <c r="I6" s="792"/>
      <c r="J6" s="792"/>
      <c r="K6" s="792"/>
      <c r="L6" s="792"/>
      <c r="M6" s="792"/>
      <c r="N6" s="792"/>
      <c r="O6" s="792"/>
      <c r="P6" s="792"/>
      <c r="Q6" s="792"/>
      <c r="R6" s="792"/>
      <c r="S6" s="792"/>
    </row>
    <row r="7" spans="1:19" ht="15.75">
      <c r="A7" s="794"/>
      <c r="B7" s="794"/>
      <c r="C7" s="792"/>
      <c r="D7" s="792"/>
      <c r="E7" s="792"/>
      <c r="F7" s="792"/>
      <c r="G7" s="792"/>
      <c r="H7" s="792"/>
      <c r="I7" s="792"/>
      <c r="J7" s="792"/>
      <c r="K7" s="792"/>
      <c r="L7" s="792"/>
      <c r="M7" s="792"/>
      <c r="N7" s="792"/>
      <c r="O7" s="792"/>
      <c r="P7" s="792"/>
      <c r="Q7" s="792"/>
      <c r="R7" s="792"/>
      <c r="S7" s="792"/>
    </row>
    <row r="8" spans="1:19" ht="15.75">
      <c r="A8" s="795" t="s">
        <v>740</v>
      </c>
      <c r="B8" s="795"/>
      <c r="C8" s="795" t="s">
        <v>741</v>
      </c>
      <c r="D8" s="795"/>
      <c r="E8" s="795" t="s">
        <v>742</v>
      </c>
      <c r="F8" s="795"/>
      <c r="G8" s="795" t="s">
        <v>743</v>
      </c>
      <c r="H8" s="795"/>
      <c r="I8" s="795" t="s">
        <v>749</v>
      </c>
      <c r="J8" s="795"/>
      <c r="K8" s="795" t="s">
        <v>744</v>
      </c>
      <c r="L8" s="795"/>
      <c r="M8" s="795" t="s">
        <v>745</v>
      </c>
      <c r="N8" s="795"/>
      <c r="O8" s="795" t="s">
        <v>746</v>
      </c>
      <c r="P8" s="795"/>
      <c r="Q8" s="795" t="s">
        <v>747</v>
      </c>
      <c r="R8" s="795"/>
      <c r="S8" s="795" t="s">
        <v>748</v>
      </c>
    </row>
    <row r="9" spans="1:19" ht="15.75">
      <c r="A9" s="795"/>
      <c r="B9" s="795"/>
      <c r="C9" s="795"/>
      <c r="D9" s="795"/>
      <c r="E9" s="795"/>
      <c r="F9" s="795"/>
      <c r="G9" s="795"/>
      <c r="H9" s="795"/>
      <c r="I9" s="795"/>
      <c r="J9" s="795"/>
      <c r="K9" s="795"/>
      <c r="L9" s="795"/>
      <c r="M9" s="795"/>
      <c r="N9" s="795"/>
      <c r="O9" s="795"/>
      <c r="P9" s="795"/>
      <c r="Q9" s="795"/>
      <c r="R9" s="795"/>
      <c r="S9" s="795"/>
    </row>
    <row r="10" spans="1:19" ht="15.75">
      <c r="A10" s="795"/>
      <c r="B10" s="795"/>
      <c r="C10" s="796"/>
      <c r="D10" s="796"/>
      <c r="E10" s="795"/>
      <c r="F10" s="795"/>
      <c r="G10" s="795"/>
      <c r="H10" s="795"/>
      <c r="I10" s="795" t="s">
        <v>753</v>
      </c>
      <c r="J10" s="795"/>
      <c r="K10" s="796"/>
      <c r="L10" s="796"/>
      <c r="M10" s="796"/>
      <c r="N10" s="796"/>
      <c r="O10" s="796"/>
      <c r="P10" s="796"/>
      <c r="Q10" s="796"/>
      <c r="R10" s="796"/>
      <c r="S10" s="795" t="s">
        <v>754</v>
      </c>
    </row>
    <row r="11" spans="1:19" ht="15.75">
      <c r="A11" s="795"/>
      <c r="B11" s="795"/>
      <c r="C11" s="796"/>
      <c r="D11" s="796"/>
      <c r="E11" s="795" t="s">
        <v>751</v>
      </c>
      <c r="F11" s="795"/>
      <c r="G11" s="795" t="s">
        <v>752</v>
      </c>
      <c r="H11" s="795"/>
      <c r="I11" s="795" t="s">
        <v>803</v>
      </c>
      <c r="J11" s="795"/>
      <c r="K11" s="797"/>
      <c r="L11" s="797"/>
      <c r="M11" s="797"/>
      <c r="N11" s="797"/>
      <c r="O11" s="795" t="s">
        <v>804</v>
      </c>
      <c r="P11" s="795"/>
      <c r="Q11" s="795" t="s">
        <v>805</v>
      </c>
      <c r="R11" s="795"/>
      <c r="S11" s="798" t="s">
        <v>806</v>
      </c>
    </row>
    <row r="12" spans="1:19" ht="15.75">
      <c r="A12" s="798" t="s">
        <v>757</v>
      </c>
      <c r="B12" s="798"/>
      <c r="C12" s="798" t="s">
        <v>692</v>
      </c>
      <c r="D12" s="798"/>
      <c r="E12" s="798" t="s">
        <v>762</v>
      </c>
      <c r="F12" s="798"/>
      <c r="G12" s="798" t="s">
        <v>762</v>
      </c>
      <c r="H12" s="798"/>
      <c r="I12" s="795" t="s">
        <v>807</v>
      </c>
      <c r="J12" s="795"/>
      <c r="K12" s="795" t="s">
        <v>759</v>
      </c>
      <c r="L12" s="795"/>
      <c r="M12" s="795" t="s">
        <v>758</v>
      </c>
      <c r="N12" s="795"/>
      <c r="O12" s="798" t="s">
        <v>808</v>
      </c>
      <c r="P12" s="798"/>
      <c r="Q12" s="798" t="s">
        <v>809</v>
      </c>
      <c r="R12" s="798"/>
      <c r="S12" s="798" t="s">
        <v>810</v>
      </c>
    </row>
    <row r="13" spans="1:19" ht="15.75">
      <c r="A13" s="799" t="s">
        <v>764</v>
      </c>
      <c r="B13" s="799"/>
      <c r="C13" s="799" t="s">
        <v>764</v>
      </c>
      <c r="D13" s="799"/>
      <c r="E13" s="799" t="s">
        <v>764</v>
      </c>
      <c r="F13" s="799"/>
      <c r="G13" s="799" t="s">
        <v>764</v>
      </c>
      <c r="H13" s="799"/>
      <c r="I13" s="799" t="s">
        <v>764</v>
      </c>
      <c r="J13" s="799"/>
      <c r="K13" s="799" t="s">
        <v>764</v>
      </c>
      <c r="L13" s="799"/>
      <c r="M13" s="799" t="s">
        <v>764</v>
      </c>
      <c r="N13" s="799"/>
      <c r="O13" s="799" t="s">
        <v>764</v>
      </c>
      <c r="P13" s="799"/>
      <c r="Q13" s="799" t="s">
        <v>764</v>
      </c>
      <c r="R13" s="799"/>
      <c r="S13" s="799" t="s">
        <v>764</v>
      </c>
    </row>
    <row r="14" spans="1:19" ht="15.75">
      <c r="A14" s="799"/>
      <c r="B14" s="799"/>
      <c r="C14" s="799"/>
      <c r="D14" s="799"/>
      <c r="E14" s="799"/>
      <c r="F14" s="799"/>
      <c r="G14" s="799"/>
      <c r="H14" s="799"/>
      <c r="I14" s="799"/>
      <c r="J14" s="799"/>
      <c r="K14" s="799"/>
      <c r="L14" s="799"/>
      <c r="M14" s="799"/>
      <c r="N14" s="799"/>
      <c r="O14" s="799"/>
      <c r="P14" s="799"/>
      <c r="Q14" s="799"/>
      <c r="R14" s="799"/>
      <c r="S14" s="799"/>
    </row>
    <row r="15" spans="1:19" ht="15.75">
      <c r="A15" s="768" t="s">
        <v>765</v>
      </c>
      <c r="B15" s="799"/>
      <c r="C15" s="799"/>
      <c r="D15" s="799"/>
      <c r="E15" s="799"/>
      <c r="F15" s="799"/>
      <c r="G15" s="799"/>
      <c r="H15" s="799"/>
      <c r="I15" s="799"/>
      <c r="J15" s="799"/>
      <c r="K15" s="799"/>
      <c r="L15" s="799"/>
      <c r="M15" s="799"/>
      <c r="N15" s="799"/>
      <c r="O15" s="799"/>
      <c r="P15" s="799"/>
      <c r="Q15" s="799"/>
      <c r="R15" s="799"/>
      <c r="S15" s="799"/>
    </row>
    <row r="16" spans="1:19" ht="15.75">
      <c r="A16" s="769">
        <v>2003</v>
      </c>
      <c r="B16" s="800"/>
      <c r="C16" s="773">
        <v>45234.082999999999</v>
      </c>
      <c r="D16" s="773"/>
      <c r="E16" s="773">
        <v>402</v>
      </c>
      <c r="F16" s="773"/>
      <c r="G16" s="773">
        <v>357</v>
      </c>
      <c r="H16" s="773"/>
      <c r="I16" s="773">
        <v>564.08299999999997</v>
      </c>
      <c r="J16" s="773"/>
      <c r="K16" s="773">
        <v>37956.701000000001</v>
      </c>
      <c r="L16" s="773"/>
      <c r="M16" s="801">
        <v>3359</v>
      </c>
      <c r="N16" s="801"/>
      <c r="O16" s="773">
        <v>2595.2989999999991</v>
      </c>
      <c r="P16" s="773"/>
      <c r="Q16" s="773">
        <v>43911</v>
      </c>
      <c r="R16" s="773"/>
      <c r="S16" s="802">
        <v>47.707920746899326</v>
      </c>
    </row>
    <row r="17" spans="1:19" ht="15.75">
      <c r="A17" s="769">
        <v>2004</v>
      </c>
      <c r="B17" s="800"/>
      <c r="C17" s="773">
        <v>46834.082999999999</v>
      </c>
      <c r="D17" s="773"/>
      <c r="E17" s="773">
        <v>426</v>
      </c>
      <c r="F17" s="773"/>
      <c r="G17" s="773">
        <v>360</v>
      </c>
      <c r="H17" s="773"/>
      <c r="I17" s="773">
        <v>780.08299999999997</v>
      </c>
      <c r="J17" s="773"/>
      <c r="K17" s="773">
        <v>38193.103000000003</v>
      </c>
      <c r="L17" s="773"/>
      <c r="M17" s="801">
        <v>4301</v>
      </c>
      <c r="N17" s="801"/>
      <c r="O17" s="773">
        <v>2773.8969999999972</v>
      </c>
      <c r="P17" s="773"/>
      <c r="Q17" s="773">
        <v>45268</v>
      </c>
      <c r="R17" s="773"/>
      <c r="S17" s="802">
        <v>56.476283154926762</v>
      </c>
    </row>
    <row r="18" spans="1:19" ht="15.75">
      <c r="A18" s="769">
        <v>2005</v>
      </c>
      <c r="B18" s="800"/>
      <c r="C18" s="773">
        <v>48475.082999999999</v>
      </c>
      <c r="D18" s="773"/>
      <c r="E18" s="773">
        <v>455</v>
      </c>
      <c r="F18" s="773"/>
      <c r="G18" s="773">
        <v>363</v>
      </c>
      <c r="H18" s="773"/>
      <c r="I18" s="773">
        <v>779.08299999999997</v>
      </c>
      <c r="J18" s="773"/>
      <c r="K18" s="773">
        <v>39176.588000000003</v>
      </c>
      <c r="L18" s="773"/>
      <c r="M18" s="801">
        <v>5195</v>
      </c>
      <c r="N18" s="801"/>
      <c r="O18" s="773">
        <v>2506.4119999999966</v>
      </c>
      <c r="P18" s="773"/>
      <c r="Q18" s="773">
        <v>46878</v>
      </c>
      <c r="R18" s="773"/>
      <c r="S18" s="802">
        <v>52.331017631661439</v>
      </c>
    </row>
    <row r="19" spans="1:19" ht="15.75">
      <c r="A19" s="769">
        <v>2006</v>
      </c>
      <c r="B19" s="800"/>
      <c r="C19" s="773">
        <v>47399.082999999999</v>
      </c>
      <c r="D19" s="773"/>
      <c r="E19" s="773">
        <v>484</v>
      </c>
      <c r="F19" s="773"/>
      <c r="G19" s="773">
        <v>365</v>
      </c>
      <c r="H19" s="773"/>
      <c r="I19" s="773">
        <v>509.08299999999997</v>
      </c>
      <c r="J19" s="773"/>
      <c r="K19" s="773">
        <v>39431.839999999997</v>
      </c>
      <c r="L19" s="773"/>
      <c r="M19" s="801">
        <v>4220</v>
      </c>
      <c r="N19" s="801"/>
      <c r="O19" s="773">
        <v>2389.1600000000035</v>
      </c>
      <c r="P19" s="773"/>
      <c r="Q19" s="773">
        <v>46041</v>
      </c>
      <c r="R19" s="773"/>
      <c r="S19" s="802">
        <v>52.063614837129457</v>
      </c>
    </row>
    <row r="20" spans="1:19" ht="15.75">
      <c r="A20" s="769">
        <v>2007</v>
      </c>
      <c r="B20" s="800"/>
      <c r="C20" s="773">
        <v>49310.082999999999</v>
      </c>
      <c r="D20" s="773"/>
      <c r="E20" s="773">
        <v>511</v>
      </c>
      <c r="F20" s="773"/>
      <c r="G20" s="773">
        <v>387</v>
      </c>
      <c r="H20" s="773"/>
      <c r="I20" s="773">
        <v>779.08299999999997</v>
      </c>
      <c r="J20" s="773"/>
      <c r="K20" s="773">
        <v>39281.641000000003</v>
      </c>
      <c r="L20" s="773"/>
      <c r="M20" s="801">
        <v>5598</v>
      </c>
      <c r="N20" s="801"/>
      <c r="O20" s="773">
        <v>2753.3589999999967</v>
      </c>
      <c r="P20" s="773"/>
      <c r="Q20" s="773">
        <v>47633</v>
      </c>
      <c r="R20" s="773"/>
      <c r="S20" s="802">
        <v>52.259078112691689</v>
      </c>
    </row>
    <row r="21" spans="1:19" ht="15.75">
      <c r="A21" s="769">
        <v>2008</v>
      </c>
      <c r="B21" s="800"/>
      <c r="C21" s="773">
        <v>49208.082999999999</v>
      </c>
      <c r="D21" s="773"/>
      <c r="E21" s="773">
        <v>543</v>
      </c>
      <c r="F21" s="773"/>
      <c r="G21" s="773">
        <v>442</v>
      </c>
      <c r="H21" s="773"/>
      <c r="I21" s="773">
        <v>565.08299999999997</v>
      </c>
      <c r="J21" s="773"/>
      <c r="K21" s="773">
        <v>38555.709000000003</v>
      </c>
      <c r="L21" s="773"/>
      <c r="M21" s="801">
        <v>6619</v>
      </c>
      <c r="N21" s="801"/>
      <c r="O21" s="773">
        <v>2483.2909999999974</v>
      </c>
      <c r="P21" s="773"/>
      <c r="Q21" s="773">
        <v>47658</v>
      </c>
      <c r="R21" s="773"/>
      <c r="S21" s="802">
        <v>53.139534261385222</v>
      </c>
    </row>
    <row r="22" spans="1:19" ht="15.75">
      <c r="A22" s="769">
        <v>2009</v>
      </c>
      <c r="B22" s="800"/>
      <c r="C22" s="773">
        <v>45978.082999999999</v>
      </c>
      <c r="D22" s="773"/>
      <c r="E22" s="773">
        <v>583</v>
      </c>
      <c r="F22" s="773"/>
      <c r="G22" s="773">
        <v>492</v>
      </c>
      <c r="H22" s="773"/>
      <c r="I22" s="773">
        <v>779.08299999999997</v>
      </c>
      <c r="J22" s="773"/>
      <c r="K22" s="773">
        <v>37824.249000000003</v>
      </c>
      <c r="L22" s="773"/>
      <c r="M22" s="801">
        <v>3696</v>
      </c>
      <c r="N22" s="801"/>
      <c r="O22" s="773">
        <v>2603.7509999999966</v>
      </c>
      <c r="P22" s="773"/>
      <c r="Q22" s="773">
        <v>44124</v>
      </c>
      <c r="R22" s="773"/>
      <c r="S22" s="802">
        <v>44.523877851762244</v>
      </c>
    </row>
    <row r="23" spans="1:19" ht="15.75">
      <c r="A23" s="769">
        <v>2010</v>
      </c>
      <c r="B23" s="800"/>
      <c r="C23" s="773">
        <v>48135.082999999999</v>
      </c>
      <c r="D23" s="773"/>
      <c r="E23" s="773">
        <v>638</v>
      </c>
      <c r="F23" s="773"/>
      <c r="G23" s="773">
        <v>558</v>
      </c>
      <c r="H23" s="773"/>
      <c r="I23" s="773">
        <v>779.08299999999997</v>
      </c>
      <c r="J23" s="773"/>
      <c r="K23" s="773">
        <v>38925.065999999999</v>
      </c>
      <c r="L23" s="773"/>
      <c r="M23" s="801">
        <v>3493</v>
      </c>
      <c r="N23" s="801"/>
      <c r="O23" s="773">
        <v>3741.9340000000011</v>
      </c>
      <c r="P23" s="773"/>
      <c r="Q23" s="773">
        <v>46160</v>
      </c>
      <c r="R23" s="773"/>
      <c r="S23" s="802">
        <v>45.254263077070284</v>
      </c>
    </row>
    <row r="24" spans="1:19" ht="15.75">
      <c r="A24" s="769">
        <v>2011</v>
      </c>
      <c r="B24" s="800"/>
      <c r="C24" s="773">
        <v>44580.082999999999</v>
      </c>
      <c r="D24" s="773"/>
      <c r="E24" s="773">
        <v>687</v>
      </c>
      <c r="F24" s="773"/>
      <c r="G24" s="773">
        <v>624</v>
      </c>
      <c r="H24" s="773"/>
      <c r="I24" s="773">
        <v>779.08299999999997</v>
      </c>
      <c r="J24" s="773"/>
      <c r="K24" s="773">
        <v>37596.936999999998</v>
      </c>
      <c r="L24" s="773"/>
      <c r="M24" s="801">
        <v>2712</v>
      </c>
      <c r="N24" s="801"/>
      <c r="O24" s="773">
        <v>2181.0630000000019</v>
      </c>
      <c r="P24" s="773"/>
      <c r="Q24" s="773">
        <v>42490</v>
      </c>
      <c r="R24" s="773"/>
      <c r="S24" s="802">
        <v>46.724367796980701</v>
      </c>
    </row>
    <row r="25" spans="1:19" ht="15.75">
      <c r="A25" s="769">
        <v>2012</v>
      </c>
      <c r="B25" s="800"/>
      <c r="C25" s="773">
        <v>43414.082999999999</v>
      </c>
      <c r="D25" s="773"/>
      <c r="E25" s="773">
        <v>733</v>
      </c>
      <c r="F25" s="773"/>
      <c r="G25" s="773">
        <v>687</v>
      </c>
      <c r="H25" s="773"/>
      <c r="I25" s="773">
        <v>780.08299999999997</v>
      </c>
      <c r="J25" s="773"/>
      <c r="K25" s="773">
        <v>36381.457999999999</v>
      </c>
      <c r="L25" s="773"/>
      <c r="M25" s="773">
        <v>826</v>
      </c>
      <c r="N25" s="773"/>
      <c r="O25" s="773">
        <v>4006.5420000000013</v>
      </c>
      <c r="P25" s="773"/>
      <c r="Q25" s="773">
        <v>41214</v>
      </c>
      <c r="R25" s="773"/>
      <c r="S25" s="802">
        <v>51.650593248683208</v>
      </c>
    </row>
    <row r="26" spans="1:19" ht="15.75">
      <c r="A26" s="769"/>
      <c r="B26" s="800"/>
      <c r="C26" s="773"/>
      <c r="D26" s="773"/>
      <c r="E26" s="773">
        <f>E25-E20</f>
        <v>222</v>
      </c>
      <c r="F26" s="773"/>
      <c r="G26" s="773">
        <f t="shared" ref="G26" si="0">G25-G20</f>
        <v>300</v>
      </c>
      <c r="H26" s="773"/>
      <c r="I26" s="773"/>
      <c r="J26" s="773"/>
      <c r="K26" s="773"/>
      <c r="L26" s="773"/>
      <c r="M26" s="773"/>
      <c r="N26" s="773"/>
      <c r="O26" s="773"/>
      <c r="P26" s="773"/>
      <c r="Q26" s="773"/>
      <c r="R26" s="773"/>
      <c r="S26" s="802"/>
    </row>
    <row r="27" spans="1:19" ht="15.75">
      <c r="A27" s="768" t="s">
        <v>766</v>
      </c>
      <c r="B27" s="800"/>
      <c r="C27" s="773"/>
      <c r="D27" s="773"/>
      <c r="E27" s="773"/>
      <c r="F27" s="773"/>
      <c r="G27" s="773"/>
      <c r="H27" s="773"/>
      <c r="I27" s="773"/>
      <c r="J27" s="773"/>
      <c r="K27" s="773"/>
      <c r="L27" s="773"/>
      <c r="M27" s="773"/>
      <c r="N27" s="773"/>
      <c r="O27" s="773"/>
      <c r="P27" s="773"/>
      <c r="Q27" s="773"/>
      <c r="R27" s="773"/>
      <c r="S27" s="802"/>
    </row>
    <row r="28" spans="1:19" ht="15.75">
      <c r="A28" s="769">
        <v>2013</v>
      </c>
      <c r="B28" s="800"/>
      <c r="C28" s="773">
        <v>43164.082999999999</v>
      </c>
      <c r="D28" s="773"/>
      <c r="E28" s="773">
        <v>778</v>
      </c>
      <c r="F28" s="773"/>
      <c r="G28" s="773">
        <v>736</v>
      </c>
      <c r="H28" s="773"/>
      <c r="I28" s="773">
        <v>864.08299999999997</v>
      </c>
      <c r="J28" s="773"/>
      <c r="K28" s="773">
        <v>36984</v>
      </c>
      <c r="L28" s="773"/>
      <c r="M28" s="773">
        <v>1410</v>
      </c>
      <c r="N28" s="773"/>
      <c r="O28" s="773">
        <v>2392</v>
      </c>
      <c r="P28" s="773"/>
      <c r="Q28" s="803">
        <v>40786</v>
      </c>
      <c r="R28" s="803"/>
      <c r="S28" s="802">
        <v>51.801532886474</v>
      </c>
    </row>
    <row r="29" spans="1:19" ht="15.75">
      <c r="A29" s="769">
        <v>2014</v>
      </c>
      <c r="B29" s="800"/>
      <c r="C29" s="773">
        <v>44013.082999999999</v>
      </c>
      <c r="D29" s="773"/>
      <c r="E29" s="773">
        <v>821</v>
      </c>
      <c r="F29" s="773"/>
      <c r="G29" s="773">
        <v>763</v>
      </c>
      <c r="H29" s="773"/>
      <c r="I29" s="773">
        <v>864.08299999999997</v>
      </c>
      <c r="J29" s="773"/>
      <c r="K29" s="773">
        <v>37683</v>
      </c>
      <c r="L29" s="773"/>
      <c r="M29" s="773">
        <v>1474</v>
      </c>
      <c r="N29" s="773"/>
      <c r="O29" s="773">
        <v>2408</v>
      </c>
      <c r="P29" s="773"/>
      <c r="Q29" s="773">
        <v>41565</v>
      </c>
      <c r="R29" s="773"/>
      <c r="S29" s="802">
        <v>52.193263448132498</v>
      </c>
    </row>
    <row r="30" spans="1:19" ht="15.75">
      <c r="A30" s="769">
        <v>2015</v>
      </c>
      <c r="B30" s="800"/>
      <c r="C30" s="773">
        <v>45057.082999999999</v>
      </c>
      <c r="D30" s="773"/>
      <c r="E30" s="773">
        <v>857</v>
      </c>
      <c r="F30" s="773"/>
      <c r="G30" s="773">
        <v>787</v>
      </c>
      <c r="H30" s="773"/>
      <c r="I30" s="773">
        <v>864.08299999999997</v>
      </c>
      <c r="J30" s="773"/>
      <c r="K30" s="773">
        <v>38470</v>
      </c>
      <c r="L30" s="773"/>
      <c r="M30" s="773">
        <v>1627</v>
      </c>
      <c r="N30" s="773"/>
      <c r="O30" s="773">
        <v>2452</v>
      </c>
      <c r="P30" s="773"/>
      <c r="Q30" s="773">
        <v>42549</v>
      </c>
      <c r="R30" s="773"/>
      <c r="S30" s="802">
        <v>50.019114083414195</v>
      </c>
    </row>
    <row r="31" spans="1:19" ht="15.75">
      <c r="A31" s="769">
        <v>2016</v>
      </c>
      <c r="B31" s="800"/>
      <c r="C31" s="773">
        <v>45987.082999999999</v>
      </c>
      <c r="D31" s="773"/>
      <c r="E31" s="773">
        <v>890</v>
      </c>
      <c r="F31" s="773"/>
      <c r="G31" s="773">
        <v>810</v>
      </c>
      <c r="H31" s="773"/>
      <c r="I31" s="773">
        <v>866.08299999999997</v>
      </c>
      <c r="J31" s="773"/>
      <c r="K31" s="773">
        <v>39069</v>
      </c>
      <c r="L31" s="773"/>
      <c r="M31" s="773">
        <v>1822</v>
      </c>
      <c r="N31" s="773"/>
      <c r="O31" s="773">
        <v>2530</v>
      </c>
      <c r="P31" s="773"/>
      <c r="Q31" s="773">
        <v>43421</v>
      </c>
      <c r="R31" s="773"/>
      <c r="S31" s="802">
        <v>50.223248087263606</v>
      </c>
    </row>
    <row r="32" spans="1:19" ht="15.75">
      <c r="A32" s="769">
        <v>2017</v>
      </c>
      <c r="B32" s="800"/>
      <c r="C32" s="773">
        <v>46437.082999999999</v>
      </c>
      <c r="D32" s="773"/>
      <c r="E32" s="773">
        <v>918</v>
      </c>
      <c r="F32" s="773"/>
      <c r="G32" s="773">
        <v>831</v>
      </c>
      <c r="H32" s="773"/>
      <c r="I32" s="773">
        <v>864.08299999999997</v>
      </c>
      <c r="J32" s="773"/>
      <c r="K32" s="773">
        <v>39643</v>
      </c>
      <c r="L32" s="773"/>
      <c r="M32" s="773">
        <v>1705</v>
      </c>
      <c r="N32" s="773"/>
      <c r="O32" s="773">
        <v>2476</v>
      </c>
      <c r="P32" s="773"/>
      <c r="Q32" s="773">
        <v>43824</v>
      </c>
      <c r="R32" s="773"/>
      <c r="S32" s="802">
        <v>50.475299748149908</v>
      </c>
    </row>
    <row r="33" spans="1:19" ht="15.75">
      <c r="A33" s="769">
        <v>2018</v>
      </c>
      <c r="B33" s="800"/>
      <c r="C33" s="773">
        <v>47110.082999999999</v>
      </c>
      <c r="D33" s="773"/>
      <c r="E33" s="773">
        <v>944</v>
      </c>
      <c r="F33" s="773"/>
      <c r="G33" s="773">
        <v>850</v>
      </c>
      <c r="H33" s="773"/>
      <c r="I33" s="773">
        <v>864.08299999999997</v>
      </c>
      <c r="J33" s="773"/>
      <c r="K33" s="773">
        <v>40230</v>
      </c>
      <c r="L33" s="773"/>
      <c r="M33" s="773">
        <v>1675</v>
      </c>
      <c r="N33" s="773"/>
      <c r="O33" s="773">
        <v>2547</v>
      </c>
      <c r="P33" s="773"/>
      <c r="Q33" s="773">
        <v>44452</v>
      </c>
      <c r="R33" s="773"/>
      <c r="S33" s="802">
        <v>50.559097727251753</v>
      </c>
    </row>
    <row r="34" spans="1:19" ht="15.75">
      <c r="A34" s="769">
        <v>2019</v>
      </c>
      <c r="B34" s="800"/>
      <c r="C34" s="773">
        <v>47738.082999999999</v>
      </c>
      <c r="D34" s="773"/>
      <c r="E34" s="773">
        <v>969</v>
      </c>
      <c r="F34" s="773"/>
      <c r="G34" s="773">
        <v>868</v>
      </c>
      <c r="H34" s="773"/>
      <c r="I34" s="773">
        <v>864.08299999999997</v>
      </c>
      <c r="J34" s="773"/>
      <c r="K34" s="773">
        <v>40823</v>
      </c>
      <c r="L34" s="773"/>
      <c r="M34" s="773">
        <v>1630</v>
      </c>
      <c r="N34" s="773"/>
      <c r="O34" s="773">
        <v>2584</v>
      </c>
      <c r="P34" s="773"/>
      <c r="Q34" s="773">
        <v>45037</v>
      </c>
      <c r="R34" s="773"/>
      <c r="S34" s="802">
        <v>50.458036635905067</v>
      </c>
    </row>
    <row r="35" spans="1:19" ht="15.75">
      <c r="A35" s="769">
        <v>2020</v>
      </c>
      <c r="B35" s="800"/>
      <c r="C35" s="773">
        <v>48403.082999999999</v>
      </c>
      <c r="D35" s="773"/>
      <c r="E35" s="773">
        <v>996</v>
      </c>
      <c r="F35" s="773"/>
      <c r="G35" s="773">
        <v>887</v>
      </c>
      <c r="H35" s="773"/>
      <c r="I35" s="773">
        <v>866.08299999999997</v>
      </c>
      <c r="J35" s="773"/>
      <c r="K35" s="773">
        <v>41404</v>
      </c>
      <c r="L35" s="773"/>
      <c r="M35" s="773">
        <v>1637</v>
      </c>
      <c r="N35" s="773"/>
      <c r="O35" s="773">
        <v>2613</v>
      </c>
      <c r="P35" s="773"/>
      <c r="Q35" s="773">
        <v>45654</v>
      </c>
      <c r="R35" s="773"/>
      <c r="S35" s="802">
        <v>50.28529467976648</v>
      </c>
    </row>
    <row r="36" spans="1:19" ht="15.75">
      <c r="A36" s="769">
        <v>2021</v>
      </c>
      <c r="B36" s="800"/>
      <c r="C36" s="773">
        <v>48969.082999999999</v>
      </c>
      <c r="D36" s="773"/>
      <c r="E36" s="773">
        <v>1021</v>
      </c>
      <c r="F36" s="773"/>
      <c r="G36" s="773">
        <v>905</v>
      </c>
      <c r="H36" s="773"/>
      <c r="I36" s="773">
        <v>864.08299999999997</v>
      </c>
      <c r="J36" s="773"/>
      <c r="K36" s="773">
        <v>41928</v>
      </c>
      <c r="L36" s="773"/>
      <c r="M36" s="773">
        <v>1609</v>
      </c>
      <c r="N36" s="773"/>
      <c r="O36" s="773">
        <v>2642</v>
      </c>
      <c r="P36" s="773"/>
      <c r="Q36" s="773">
        <v>46179</v>
      </c>
      <c r="R36" s="773"/>
      <c r="S36" s="802">
        <v>50.269704449113497</v>
      </c>
    </row>
    <row r="37" spans="1:19" ht="15.75">
      <c r="A37" s="769">
        <v>2022</v>
      </c>
      <c r="B37" s="800"/>
      <c r="C37" s="773">
        <v>49519.082999999999</v>
      </c>
      <c r="D37" s="773"/>
      <c r="E37" s="773">
        <v>1044</v>
      </c>
      <c r="F37" s="773"/>
      <c r="G37" s="773">
        <v>922</v>
      </c>
      <c r="H37" s="773"/>
      <c r="I37" s="773">
        <v>864.08299999999997</v>
      </c>
      <c r="J37" s="773"/>
      <c r="K37" s="773">
        <v>42410</v>
      </c>
      <c r="L37" s="773"/>
      <c r="M37" s="773">
        <v>1610</v>
      </c>
      <c r="N37" s="773"/>
      <c r="O37" s="773">
        <v>2669</v>
      </c>
      <c r="P37" s="773"/>
      <c r="Q37" s="773">
        <v>46689</v>
      </c>
      <c r="R37" s="773"/>
      <c r="S37" s="802">
        <v>50.109303119123396</v>
      </c>
    </row>
    <row r="38" spans="1:19" ht="15.75">
      <c r="A38" s="800"/>
      <c r="B38" s="800"/>
      <c r="C38" s="773"/>
      <c r="D38" s="773"/>
      <c r="E38" s="773"/>
      <c r="F38" s="773"/>
      <c r="G38" s="773"/>
      <c r="H38" s="773"/>
      <c r="I38" s="773"/>
      <c r="J38" s="773"/>
      <c r="K38" s="804"/>
      <c r="L38" s="804"/>
      <c r="M38" s="804"/>
      <c r="N38" s="804"/>
      <c r="O38" s="804"/>
      <c r="P38" s="804"/>
      <c r="Q38" s="804"/>
      <c r="R38" s="804"/>
      <c r="S38" s="802"/>
    </row>
    <row r="39" spans="1:19" ht="15.75">
      <c r="A39" s="805" t="s">
        <v>811</v>
      </c>
      <c r="B39" s="805"/>
      <c r="C39" s="806" t="s">
        <v>812</v>
      </c>
      <c r="D39" s="806"/>
      <c r="E39" s="773"/>
      <c r="F39" s="773"/>
      <c r="G39" s="773"/>
      <c r="H39" s="773"/>
      <c r="I39" s="773"/>
      <c r="J39" s="773"/>
      <c r="K39" s="807"/>
      <c r="L39" s="807"/>
      <c r="M39" s="807"/>
      <c r="N39" s="807"/>
      <c r="O39" s="773"/>
      <c r="P39" s="773"/>
      <c r="Q39" s="807"/>
      <c r="R39" s="807"/>
      <c r="S39" s="802"/>
    </row>
    <row r="40" spans="1:19" ht="15.75">
      <c r="A40" s="808"/>
      <c r="B40" s="808"/>
      <c r="C40" s="809"/>
      <c r="D40" s="809"/>
      <c r="E40" s="809"/>
      <c r="F40" s="809"/>
      <c r="G40" s="809"/>
      <c r="H40" s="809"/>
      <c r="I40" s="809"/>
      <c r="J40" s="809"/>
      <c r="K40" s="809"/>
      <c r="L40" s="809"/>
      <c r="M40" s="809"/>
      <c r="N40" s="809"/>
      <c r="O40" s="809"/>
      <c r="P40" s="809"/>
      <c r="Q40" s="809"/>
      <c r="R40" s="809"/>
      <c r="S40" s="809"/>
    </row>
    <row r="41" spans="1:19" ht="15.75">
      <c r="A41" s="808" t="s">
        <v>813</v>
      </c>
      <c r="B41" s="808"/>
      <c r="C41" s="810" t="s">
        <v>814</v>
      </c>
      <c r="D41" s="811"/>
      <c r="E41" s="809"/>
      <c r="F41" s="809"/>
      <c r="G41" s="809"/>
      <c r="H41" s="809"/>
      <c r="I41" s="809"/>
      <c r="J41" s="809"/>
      <c r="K41" s="809"/>
      <c r="L41" s="809"/>
      <c r="M41" s="809"/>
      <c r="N41" s="809"/>
      <c r="O41" s="809"/>
      <c r="P41" s="809"/>
      <c r="Q41" s="809"/>
      <c r="R41" s="809"/>
      <c r="S41" s="809"/>
    </row>
    <row r="42" spans="1:19" ht="15.75">
      <c r="A42" s="812"/>
      <c r="B42" s="812"/>
      <c r="C42" s="810" t="s">
        <v>815</v>
      </c>
      <c r="D42" s="810"/>
      <c r="E42" s="809"/>
      <c r="F42" s="809"/>
      <c r="G42" s="809"/>
      <c r="H42" s="809"/>
      <c r="I42" s="809"/>
      <c r="J42" s="809"/>
      <c r="K42" s="809"/>
      <c r="L42" s="809"/>
      <c r="M42" s="809"/>
      <c r="N42" s="809"/>
      <c r="O42" s="809"/>
      <c r="P42" s="809"/>
      <c r="Q42" s="809"/>
      <c r="R42" s="809"/>
      <c r="S42" s="809"/>
    </row>
    <row r="43" spans="1:19" ht="15.75">
      <c r="A43" s="813"/>
      <c r="B43" s="813"/>
      <c r="C43" s="814" t="s">
        <v>816</v>
      </c>
      <c r="D43" s="814"/>
      <c r="E43" s="809"/>
      <c r="F43" s="809"/>
      <c r="G43" s="809"/>
      <c r="H43" s="809"/>
      <c r="I43" s="809"/>
      <c r="J43" s="809"/>
      <c r="K43" s="809"/>
      <c r="L43" s="809"/>
      <c r="M43" s="809"/>
      <c r="N43" s="809"/>
      <c r="O43" s="809"/>
      <c r="P43" s="809"/>
      <c r="Q43" s="809"/>
      <c r="R43" s="809"/>
      <c r="S43" s="809"/>
    </row>
  </sheetData>
  <pageMargins left="0.5" right="0.5" top="0.5" bottom="0.5" header="0" footer="0"/>
  <pageSetup paperSize="5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22"/>
  <sheetViews>
    <sheetView zoomScaleNormal="100" workbookViewId="0">
      <selection activeCell="A2" sqref="A2"/>
    </sheetView>
  </sheetViews>
  <sheetFormatPr defaultRowHeight="15"/>
  <cols>
    <col min="1" max="1" width="9.140625" style="180"/>
    <col min="2" max="2" width="54.28515625" style="180" customWidth="1"/>
    <col min="3" max="4" width="11.140625" style="138" bestFit="1" customWidth="1"/>
    <col min="5" max="5" width="17.28515625" style="139" customWidth="1"/>
    <col min="6" max="6" width="6.7109375" style="139" bestFit="1" customWidth="1"/>
    <col min="7" max="7" width="9.140625" style="139" customWidth="1"/>
    <col min="8" max="8" width="9.7109375" style="139" customWidth="1"/>
    <col min="9" max="9" width="10.140625" style="139" customWidth="1"/>
    <col min="10" max="10" width="10.7109375" style="139" customWidth="1"/>
    <col min="11" max="12" width="17.28515625" style="140" customWidth="1"/>
    <col min="13" max="15" width="12.7109375" style="140" customWidth="1"/>
    <col min="16" max="16384" width="9.140625" style="139"/>
  </cols>
  <sheetData>
    <row r="1" spans="1:21" ht="5.25" customHeight="1">
      <c r="A1" s="137"/>
      <c r="B1" s="137"/>
      <c r="K1" s="185"/>
      <c r="L1" s="185"/>
      <c r="M1" s="185"/>
      <c r="N1" s="185"/>
      <c r="O1" s="185"/>
    </row>
    <row r="2" spans="1:21" ht="12.75" customHeight="1">
      <c r="A2" s="141"/>
      <c r="B2" s="141"/>
      <c r="C2" s="142"/>
      <c r="D2" s="142"/>
      <c r="E2" s="142"/>
      <c r="F2" s="142"/>
      <c r="H2" s="139" t="s">
        <v>409</v>
      </c>
      <c r="I2" s="139" t="s">
        <v>407</v>
      </c>
      <c r="J2" s="139" t="s">
        <v>408</v>
      </c>
      <c r="K2" s="185"/>
      <c r="L2" s="185" t="s">
        <v>390</v>
      </c>
      <c r="M2" s="185" t="s">
        <v>409</v>
      </c>
      <c r="N2" s="185" t="s">
        <v>407</v>
      </c>
      <c r="O2" s="185" t="s">
        <v>408</v>
      </c>
      <c r="P2" s="816" t="s">
        <v>388</v>
      </c>
      <c r="Q2" s="816" t="s">
        <v>398</v>
      </c>
      <c r="R2" s="816" t="s">
        <v>399</v>
      </c>
    </row>
    <row r="3" spans="1:21">
      <c r="A3" s="144"/>
      <c r="B3" s="141"/>
      <c r="C3" s="145"/>
      <c r="D3" s="145"/>
      <c r="E3" s="145"/>
      <c r="F3" s="145"/>
      <c r="H3" s="147">
        <f>SUM(H10:H105)</f>
        <v>3612.7902477339148</v>
      </c>
      <c r="I3" s="147">
        <f>SUM(I10:I105)</f>
        <v>733.99592764408919</v>
      </c>
      <c r="J3" s="147">
        <f>SUM(J10:J106)</f>
        <v>404.59462218026601</v>
      </c>
      <c r="K3" s="387"/>
      <c r="L3" s="916">
        <f>SUM(L10:L105)</f>
        <v>3588.2476811258939</v>
      </c>
      <c r="M3" s="916">
        <f>SUM(M10:M123)</f>
        <v>3832.8382774744605</v>
      </c>
      <c r="N3" s="916">
        <f>SUM(N10:N122)</f>
        <v>854.13726368181347</v>
      </c>
      <c r="O3" s="916">
        <f>SUM(O10:O122)</f>
        <v>412.74857304838423</v>
      </c>
      <c r="P3" s="818">
        <f t="shared" ref="P3:R3" si="0">SUM(P10:P122)</f>
        <v>3610.7957623123793</v>
      </c>
      <c r="Q3" s="818">
        <f t="shared" si="0"/>
        <v>770.59368277033184</v>
      </c>
      <c r="R3" s="818">
        <f t="shared" si="0"/>
        <v>355.94588703897534</v>
      </c>
      <c r="T3" s="820"/>
      <c r="U3" s="820"/>
    </row>
    <row r="4" spans="1:21">
      <c r="A4" s="144"/>
      <c r="B4" s="141"/>
      <c r="C4" s="145"/>
      <c r="D4" s="145"/>
      <c r="E4" s="145"/>
      <c r="F4" s="145"/>
      <c r="G4" s="914" t="s">
        <v>653</v>
      </c>
      <c r="H4" s="915">
        <v>3648</v>
      </c>
      <c r="I4" s="915">
        <v>743</v>
      </c>
      <c r="J4" s="915">
        <v>371</v>
      </c>
      <c r="K4" s="387"/>
      <c r="L4" s="388"/>
      <c r="M4" s="387">
        <f>M3/H4</f>
        <v>1.0506683874655867</v>
      </c>
      <c r="N4" s="387"/>
      <c r="O4" s="387"/>
      <c r="P4" s="940" t="s">
        <v>817</v>
      </c>
      <c r="Q4" s="940"/>
      <c r="R4" s="940"/>
    </row>
    <row r="5" spans="1:21">
      <c r="A5" s="144"/>
      <c r="B5" s="141"/>
      <c r="C5" s="145"/>
      <c r="D5" s="145"/>
      <c r="E5" s="145"/>
      <c r="F5" s="145"/>
      <c r="H5" s="150">
        <f>(H4-H3)/H4</f>
        <v>9.6517961255715903E-3</v>
      </c>
      <c r="I5" s="150">
        <f t="shared" ref="I5:J5" si="1">(I4-I3)/I4</f>
        <v>1.2118536145236619E-2</v>
      </c>
      <c r="J5" s="150">
        <f t="shared" si="1"/>
        <v>-9.055154226486796E-2</v>
      </c>
      <c r="K5" s="387"/>
      <c r="L5" s="389"/>
      <c r="M5" s="390">
        <f>M4-1</f>
        <v>5.0668387465586662E-2</v>
      </c>
      <c r="N5" s="387"/>
      <c r="O5" s="387"/>
    </row>
    <row r="6" spans="1:21" ht="15.75" customHeight="1">
      <c r="A6" s="144"/>
      <c r="B6" s="141"/>
      <c r="C6" s="145" t="s">
        <v>411</v>
      </c>
      <c r="D6" s="145" t="s">
        <v>411</v>
      </c>
      <c r="E6" s="145" t="s">
        <v>412</v>
      </c>
      <c r="F6" s="145"/>
      <c r="H6" s="153"/>
      <c r="I6" s="154"/>
      <c r="J6" s="154"/>
      <c r="K6" s="946" t="s">
        <v>386</v>
      </c>
      <c r="L6" s="946"/>
      <c r="M6" s="946"/>
      <c r="N6" s="946"/>
      <c r="O6" s="946"/>
      <c r="P6" s="820"/>
    </row>
    <row r="7" spans="1:21">
      <c r="A7" s="155"/>
      <c r="B7" s="156"/>
      <c r="C7" s="146" t="s">
        <v>388</v>
      </c>
      <c r="D7" s="146" t="s">
        <v>389</v>
      </c>
      <c r="E7" s="146" t="s">
        <v>87</v>
      </c>
      <c r="F7" s="146" t="s">
        <v>414</v>
      </c>
      <c r="H7" s="945" t="s">
        <v>391</v>
      </c>
      <c r="I7" s="945"/>
      <c r="J7" s="945"/>
      <c r="K7" s="391"/>
      <c r="L7" s="392" t="s">
        <v>415</v>
      </c>
      <c r="M7" s="947" t="s">
        <v>416</v>
      </c>
      <c r="N7" s="947"/>
      <c r="O7" s="947"/>
    </row>
    <row r="8" spans="1:21">
      <c r="A8" s="398" t="s">
        <v>417</v>
      </c>
      <c r="B8" s="399" t="s">
        <v>87</v>
      </c>
      <c r="C8" s="162" t="s">
        <v>418</v>
      </c>
      <c r="D8" s="162" t="s">
        <v>418</v>
      </c>
      <c r="E8" s="162" t="s">
        <v>419</v>
      </c>
      <c r="F8" s="162" t="s">
        <v>420</v>
      </c>
      <c r="G8" s="163"/>
      <c r="H8" s="164" t="s">
        <v>388</v>
      </c>
      <c r="I8" s="164" t="s">
        <v>398</v>
      </c>
      <c r="J8" s="164" t="s">
        <v>399</v>
      </c>
      <c r="K8" s="393" t="s">
        <v>422</v>
      </c>
      <c r="L8" s="394" t="s">
        <v>388</v>
      </c>
      <c r="M8" s="394" t="s">
        <v>393</v>
      </c>
      <c r="N8" s="394" t="s">
        <v>394</v>
      </c>
      <c r="O8" s="394" t="s">
        <v>395</v>
      </c>
    </row>
    <row r="9" spans="1:21">
      <c r="A9" s="167"/>
      <c r="B9" s="167"/>
      <c r="C9" s="146"/>
      <c r="D9" s="146"/>
      <c r="E9" s="146"/>
      <c r="F9" s="146"/>
      <c r="G9" s="163"/>
      <c r="H9" s="164"/>
      <c r="I9" s="164"/>
      <c r="J9" s="164"/>
      <c r="K9" s="394"/>
      <c r="L9" s="394"/>
      <c r="M9" s="394"/>
      <c r="N9" s="394"/>
      <c r="O9" s="394"/>
    </row>
    <row r="10" spans="1:21">
      <c r="A10" s="168">
        <v>111</v>
      </c>
      <c r="B10" s="169" t="s">
        <v>186</v>
      </c>
      <c r="C10" s="170">
        <v>243.42282409814271</v>
      </c>
      <c r="D10" s="170">
        <v>46.930715210749206</v>
      </c>
      <c r="E10" s="171">
        <v>19.444444444444443</v>
      </c>
      <c r="F10" s="172">
        <v>1</v>
      </c>
      <c r="G10" s="173"/>
      <c r="H10" s="174">
        <f t="shared" ref="H10:H21" si="2">IF(AND(F10=2,E10&gt;10),C10*10/E10,C10)</f>
        <v>243.42282409814271</v>
      </c>
      <c r="I10" s="174">
        <f t="shared" ref="I10:I21" si="3">IF(AND(F10=2,E10&gt;10),D10*10/E10,D10)</f>
        <v>46.930715210749206</v>
      </c>
      <c r="J10" s="140">
        <v>26.281200518019556</v>
      </c>
      <c r="K10" s="185">
        <f>(32-28)/(34-28)</f>
        <v>0.66666666666666663</v>
      </c>
      <c r="L10" s="184">
        <v>243.42282409814271</v>
      </c>
      <c r="M10" s="185">
        <f>L10*K10</f>
        <v>162.28188273209514</v>
      </c>
      <c r="N10" s="185">
        <f>I10*K10</f>
        <v>31.287143473832803</v>
      </c>
      <c r="O10" s="185">
        <f>J10*K10</f>
        <v>17.52080034534637</v>
      </c>
      <c r="P10" s="819">
        <f>M10*'Table ES-1 Refresh ''13'!$D$8/Commercial!$M$3</f>
        <v>152.88063102292696</v>
      </c>
      <c r="Q10" s="819">
        <f>N10*'Table ES-1 Refresh ''13'!$G$8/Commercial!$N$3</f>
        <v>28.226932763638324</v>
      </c>
      <c r="R10" s="819">
        <f>O10*'Table ES-1 Refresh ''13'!$J$8/Commercial!$O$3</f>
        <v>15.109578149470739</v>
      </c>
    </row>
    <row r="11" spans="1:21">
      <c r="A11" s="168">
        <v>112</v>
      </c>
      <c r="B11" s="169" t="s">
        <v>185</v>
      </c>
      <c r="C11" s="170">
        <v>97.3221864444468</v>
      </c>
      <c r="D11" s="170">
        <v>18.878520760211803</v>
      </c>
      <c r="E11" s="171">
        <v>19.444444444444443</v>
      </c>
      <c r="F11" s="172">
        <v>1</v>
      </c>
      <c r="G11" s="173"/>
      <c r="H11" s="174">
        <f t="shared" si="2"/>
        <v>97.3221864444468</v>
      </c>
      <c r="I11" s="174">
        <f t="shared" si="3"/>
        <v>18.878520760211803</v>
      </c>
      <c r="J11" s="140">
        <v>10.571971625718611</v>
      </c>
      <c r="K11" s="185">
        <f>(32-28)/(34-28)</f>
        <v>0.66666666666666663</v>
      </c>
      <c r="L11" s="184">
        <v>97.3221864444468</v>
      </c>
      <c r="M11" s="185">
        <f t="shared" ref="M11:M75" si="4">L11*K11</f>
        <v>64.8814576296312</v>
      </c>
      <c r="N11" s="185">
        <f t="shared" ref="N11:N75" si="5">I11*K11</f>
        <v>12.585680506807869</v>
      </c>
      <c r="O11" s="185">
        <f t="shared" ref="O11:O75" si="6">J11*K11</f>
        <v>7.0479810838124068</v>
      </c>
      <c r="P11" s="819">
        <f>M11*'Table ES-1 Refresh ''13'!$D$8/Commercial!$M$3</f>
        <v>61.122769942720005</v>
      </c>
      <c r="Q11" s="819">
        <f>N11*'Table ES-1 Refresh ''13'!$G$8/Commercial!$N$3</f>
        <v>11.354668979206078</v>
      </c>
      <c r="R11" s="819">
        <f>O11*'Table ES-1 Refresh ''13'!$J$8/Commercial!$O$3</f>
        <v>6.0780340442689855</v>
      </c>
    </row>
    <row r="12" spans="1:21">
      <c r="A12" s="168">
        <v>113</v>
      </c>
      <c r="B12" s="176" t="s">
        <v>180</v>
      </c>
      <c r="C12" s="170">
        <v>55.603901779843341</v>
      </c>
      <c r="D12" s="170">
        <v>10.716589744051982</v>
      </c>
      <c r="E12" s="171">
        <v>19.444444444444443</v>
      </c>
      <c r="F12" s="172">
        <v>1</v>
      </c>
      <c r="G12" s="173"/>
      <c r="H12" s="174">
        <f t="shared" si="2"/>
        <v>55.603901779843341</v>
      </c>
      <c r="I12" s="174">
        <f t="shared" si="3"/>
        <v>10.716589744051982</v>
      </c>
      <c r="J12" s="140">
        <v>6.1084561541096294</v>
      </c>
      <c r="K12" s="185">
        <f>32/34</f>
        <v>0.94117647058823528</v>
      </c>
      <c r="L12" s="184">
        <v>55.603901779843341</v>
      </c>
      <c r="M12" s="185">
        <f t="shared" si="4"/>
        <v>52.333084028087846</v>
      </c>
      <c r="N12" s="185">
        <f t="shared" si="5"/>
        <v>10.086202112048923</v>
      </c>
      <c r="O12" s="185">
        <f t="shared" si="6"/>
        <v>5.749135203867886</v>
      </c>
      <c r="P12" s="819">
        <f>M12*'Table ES-1 Refresh ''13'!$D$8/Commercial!$M$3</f>
        <v>49.301343901697273</v>
      </c>
      <c r="Q12" s="819">
        <f>N12*'Table ES-1 Refresh ''13'!$G$8/Commercial!$N$3</f>
        <v>9.0996657811022139</v>
      </c>
      <c r="R12" s="819">
        <f>O12*'Table ES-1 Refresh ''13'!$J$8/Commercial!$O$3</f>
        <v>4.9579360498670146</v>
      </c>
    </row>
    <row r="13" spans="1:21">
      <c r="A13" s="168">
        <v>114</v>
      </c>
      <c r="B13" s="176" t="s">
        <v>184</v>
      </c>
      <c r="C13" s="170">
        <v>96.558260117678842</v>
      </c>
      <c r="D13" s="170">
        <v>18.52731299688341</v>
      </c>
      <c r="E13" s="171">
        <v>19.444444444444443</v>
      </c>
      <c r="F13" s="172">
        <v>1</v>
      </c>
      <c r="G13" s="173"/>
      <c r="H13" s="174">
        <f t="shared" si="2"/>
        <v>96.558260117678842</v>
      </c>
      <c r="I13" s="174">
        <f t="shared" si="3"/>
        <v>18.52731299688341</v>
      </c>
      <c r="J13" s="140">
        <v>10.449404530242242</v>
      </c>
      <c r="K13" s="185">
        <f t="shared" ref="K13:K14" si="7">32/34</f>
        <v>0.94117647058823528</v>
      </c>
      <c r="L13" s="184">
        <v>96.558260117678842</v>
      </c>
      <c r="M13" s="185">
        <f t="shared" si="4"/>
        <v>90.878362463697727</v>
      </c>
      <c r="N13" s="185">
        <f t="shared" si="5"/>
        <v>17.437471055890267</v>
      </c>
      <c r="O13" s="185">
        <f t="shared" si="6"/>
        <v>9.8347336755221111</v>
      </c>
      <c r="P13" s="819">
        <f>M13*'Table ES-1 Refresh ''13'!$D$8/Commercial!$M$3</f>
        <v>85.613632069555763</v>
      </c>
      <c r="Q13" s="819">
        <f>N13*'Table ES-1 Refresh ''13'!$G$8/Commercial!$N$3</f>
        <v>15.731903536485001</v>
      </c>
      <c r="R13" s="819">
        <f>O13*'Table ES-1 Refresh ''13'!$J$8/Commercial!$O$3</f>
        <v>8.4812722090633041</v>
      </c>
    </row>
    <row r="14" spans="1:21">
      <c r="A14" s="168">
        <v>115</v>
      </c>
      <c r="B14" s="176" t="s">
        <v>400</v>
      </c>
      <c r="C14" s="170">
        <v>4.9679782331119338</v>
      </c>
      <c r="D14" s="170">
        <v>0.97752914127119594</v>
      </c>
      <c r="E14" s="171">
        <v>19.444444444444443</v>
      </c>
      <c r="F14" s="172">
        <v>1</v>
      </c>
      <c r="G14" s="173"/>
      <c r="H14" s="174">
        <f t="shared" si="2"/>
        <v>4.9679782331119338</v>
      </c>
      <c r="I14" s="174">
        <f t="shared" si="3"/>
        <v>0.97752914127119594</v>
      </c>
      <c r="J14" s="140">
        <v>0.5513264356769545</v>
      </c>
      <c r="K14" s="185">
        <f t="shared" si="7"/>
        <v>0.94117647058823528</v>
      </c>
      <c r="L14" s="184">
        <v>4.9679782331119338</v>
      </c>
      <c r="M14" s="185">
        <f t="shared" si="4"/>
        <v>4.6757442193994674</v>
      </c>
      <c r="N14" s="185">
        <f t="shared" si="5"/>
        <v>0.92002742707877261</v>
      </c>
      <c r="O14" s="185">
        <f t="shared" si="6"/>
        <v>0.51889546887242777</v>
      </c>
      <c r="P14" s="819">
        <f>M14*'Table ES-1 Refresh ''13'!$D$8/Commercial!$M$3</f>
        <v>4.4048708009117687</v>
      </c>
      <c r="Q14" s="819">
        <f>N14*'Table ES-1 Refresh ''13'!$G$8/Commercial!$N$3</f>
        <v>0.83003909725972491</v>
      </c>
      <c r="R14" s="819">
        <f>O14*'Table ES-1 Refresh ''13'!$J$8/Commercial!$O$3</f>
        <v>0.44748478858253965</v>
      </c>
    </row>
    <row r="15" spans="1:21">
      <c r="A15" s="177">
        <v>121</v>
      </c>
      <c r="B15" s="169" t="s">
        <v>182</v>
      </c>
      <c r="C15" s="170">
        <v>70.693813141119804</v>
      </c>
      <c r="D15" s="170">
        <v>14.100067754293997</v>
      </c>
      <c r="E15" s="171">
        <v>19.444444444444443</v>
      </c>
      <c r="F15" s="172">
        <v>2</v>
      </c>
      <c r="G15" s="173"/>
      <c r="H15" s="174">
        <f t="shared" si="2"/>
        <v>36.356818186861616</v>
      </c>
      <c r="I15" s="174">
        <f t="shared" si="3"/>
        <v>7.2514634164940563</v>
      </c>
      <c r="J15" s="140">
        <v>4.0898253669026472</v>
      </c>
      <c r="K15" s="185">
        <v>1</v>
      </c>
      <c r="L15" s="184">
        <v>36.356818186861616</v>
      </c>
      <c r="M15" s="185">
        <f t="shared" si="4"/>
        <v>36.356818186861616</v>
      </c>
      <c r="N15" s="185">
        <f t="shared" si="5"/>
        <v>7.2514634164940563</v>
      </c>
      <c r="O15" s="185">
        <f t="shared" si="6"/>
        <v>4.0898253669026472</v>
      </c>
      <c r="P15" s="819">
        <f>M15*'Table ES-1 Refresh ''13'!$D$8/Commercial!$M$3</f>
        <v>34.250608957804225</v>
      </c>
      <c r="Q15" s="819">
        <f>N15*'Table ES-1 Refresh ''13'!$G$8/Commercial!$N$3</f>
        <v>6.5421942551755059</v>
      </c>
      <c r="R15" s="819">
        <f>O15*'Table ES-1 Refresh ''13'!$J$8/Commercial!$O$3</f>
        <v>3.5269813467919944</v>
      </c>
    </row>
    <row r="16" spans="1:21">
      <c r="A16" s="178">
        <v>122</v>
      </c>
      <c r="B16" s="169" t="s">
        <v>181</v>
      </c>
      <c r="C16" s="170">
        <v>55.060651839772312</v>
      </c>
      <c r="D16" s="170">
        <v>10.972665179895083</v>
      </c>
      <c r="E16" s="171">
        <v>19.444444444444443</v>
      </c>
      <c r="F16" s="172">
        <v>2</v>
      </c>
      <c r="G16" s="173"/>
      <c r="H16" s="174">
        <f t="shared" si="2"/>
        <v>28.316906660454332</v>
      </c>
      <c r="I16" s="174">
        <f t="shared" si="3"/>
        <v>5.643084949660329</v>
      </c>
      <c r="J16" s="140">
        <v>3.1826999116084251</v>
      </c>
      <c r="K16" s="185">
        <v>1</v>
      </c>
      <c r="L16" s="184">
        <v>28.316906660454332</v>
      </c>
      <c r="M16" s="185">
        <f t="shared" si="4"/>
        <v>28.316906660454332</v>
      </c>
      <c r="N16" s="185">
        <f t="shared" si="5"/>
        <v>5.643084949660329</v>
      </c>
      <c r="O16" s="185">
        <f t="shared" si="6"/>
        <v>3.1826999116084251</v>
      </c>
      <c r="P16" s="819">
        <f>M16*'Table ES-1 Refresh ''13'!$D$8/Commercial!$M$3</f>
        <v>26.676462498369801</v>
      </c>
      <c r="Q16" s="819">
        <f>N16*'Table ES-1 Refresh ''13'!$G$8/Commercial!$N$3</f>
        <v>5.0911320679301424</v>
      </c>
      <c r="R16" s="819">
        <f>O16*'Table ES-1 Refresh ''13'!$J$8/Commercial!$O$3</f>
        <v>2.7446949963980329</v>
      </c>
    </row>
    <row r="17" spans="1:18">
      <c r="A17" s="177">
        <v>123</v>
      </c>
      <c r="B17" s="169" t="s">
        <v>180</v>
      </c>
      <c r="C17" s="170">
        <v>25.516262123355276</v>
      </c>
      <c r="D17" s="170">
        <v>5.0504132795760475</v>
      </c>
      <c r="E17" s="171">
        <v>19.444444444444443</v>
      </c>
      <c r="F17" s="172">
        <v>1</v>
      </c>
      <c r="G17" s="173"/>
      <c r="H17" s="174">
        <f t="shared" si="2"/>
        <v>25.516262123355276</v>
      </c>
      <c r="I17" s="174">
        <f t="shared" si="3"/>
        <v>5.0504132795760475</v>
      </c>
      <c r="J17" s="140">
        <v>2.8635843295196186</v>
      </c>
      <c r="K17" s="185">
        <v>1</v>
      </c>
      <c r="L17" s="184">
        <v>25.516262123355276</v>
      </c>
      <c r="M17" s="185">
        <f t="shared" si="4"/>
        <v>25.516262123355276</v>
      </c>
      <c r="N17" s="185">
        <f t="shared" si="5"/>
        <v>5.0504132795760475</v>
      </c>
      <c r="O17" s="185">
        <f t="shared" si="6"/>
        <v>2.8635843295196186</v>
      </c>
      <c r="P17" s="819">
        <f>M17*'Table ES-1 Refresh ''13'!$D$8/Commercial!$M$3</f>
        <v>24.038063825059755</v>
      </c>
      <c r="Q17" s="819">
        <f>N17*'Table ES-1 Refresh ''13'!$G$8/Commercial!$N$3</f>
        <v>4.5564299019630283</v>
      </c>
      <c r="R17" s="819">
        <f>O17*'Table ES-1 Refresh ''13'!$J$8/Commercial!$O$3</f>
        <v>2.4694962765196147</v>
      </c>
    </row>
    <row r="18" spans="1:18">
      <c r="A18" s="178">
        <v>124</v>
      </c>
      <c r="B18" s="169" t="s">
        <v>400</v>
      </c>
      <c r="C18" s="170">
        <v>2.1320707673690285</v>
      </c>
      <c r="D18" s="170">
        <v>0.43066029347865997</v>
      </c>
      <c r="E18" s="171">
        <v>19.444444444444443</v>
      </c>
      <c r="F18" s="172">
        <v>1</v>
      </c>
      <c r="G18" s="173"/>
      <c r="H18" s="174">
        <f t="shared" si="2"/>
        <v>2.1320707673690285</v>
      </c>
      <c r="I18" s="174">
        <f t="shared" si="3"/>
        <v>0.43066029347865997</v>
      </c>
      <c r="J18" s="140">
        <v>0.24332306581544286</v>
      </c>
      <c r="K18" s="185">
        <v>1</v>
      </c>
      <c r="L18" s="184">
        <v>2.1320707673690285</v>
      </c>
      <c r="M18" s="185">
        <f t="shared" si="4"/>
        <v>2.1320707673690285</v>
      </c>
      <c r="N18" s="185">
        <f t="shared" si="5"/>
        <v>0.43066029347865997</v>
      </c>
      <c r="O18" s="185">
        <f t="shared" si="6"/>
        <v>0.24332306581544286</v>
      </c>
      <c r="P18" s="819">
        <f>M18*'Table ES-1 Refresh ''13'!$D$8/Commercial!$M$3</f>
        <v>2.0085564624549939</v>
      </c>
      <c r="Q18" s="819">
        <f>N18*'Table ES-1 Refresh ''13'!$G$8/Commercial!$N$3</f>
        <v>0.38853720085241444</v>
      </c>
      <c r="R18" s="819">
        <f>O18*'Table ES-1 Refresh ''13'!$J$8/Commercial!$O$3</f>
        <v>0.20983681144929825</v>
      </c>
    </row>
    <row r="19" spans="1:18">
      <c r="A19" s="168">
        <v>131</v>
      </c>
      <c r="B19" s="176" t="s">
        <v>177</v>
      </c>
      <c r="C19" s="170">
        <v>402.27904442525357</v>
      </c>
      <c r="D19" s="170">
        <v>77.894337832016518</v>
      </c>
      <c r="E19" s="171">
        <v>19.444444444444443</v>
      </c>
      <c r="F19" s="172">
        <v>1</v>
      </c>
      <c r="G19" s="173"/>
      <c r="H19" s="174">
        <f t="shared" si="2"/>
        <v>402.27904442525357</v>
      </c>
      <c r="I19" s="174">
        <f t="shared" si="3"/>
        <v>77.894337832016518</v>
      </c>
      <c r="J19" s="140">
        <v>43.932406537257314</v>
      </c>
      <c r="K19" s="185">
        <f>(53-18)/(75-18)</f>
        <v>0.61403508771929827</v>
      </c>
      <c r="L19" s="184">
        <v>402.27904442525357</v>
      </c>
      <c r="M19" s="185">
        <f t="shared" si="4"/>
        <v>247.01344833129608</v>
      </c>
      <c r="N19" s="185">
        <f t="shared" si="5"/>
        <v>47.829856563518916</v>
      </c>
      <c r="O19" s="185">
        <f t="shared" si="6"/>
        <v>26.976039101824668</v>
      </c>
      <c r="P19" s="819">
        <f>M19*'Table ES-1 Refresh ''13'!$D$8/Commercial!$M$3</f>
        <v>232.70356010337966</v>
      </c>
      <c r="Q19" s="819">
        <f>N19*'Table ES-1 Refresh ''13'!$G$8/Commercial!$N$3</f>
        <v>43.15159504548793</v>
      </c>
      <c r="R19" s="819">
        <f>O19*'Table ES-1 Refresh ''13'!$J$8/Commercial!$O$3</f>
        <v>23.263581739315828</v>
      </c>
    </row>
    <row r="20" spans="1:18">
      <c r="A20" s="168">
        <v>141</v>
      </c>
      <c r="B20" s="176" t="s">
        <v>175</v>
      </c>
      <c r="C20" s="170">
        <v>134.09301480841788</v>
      </c>
      <c r="D20" s="170">
        <v>25.964779277338842</v>
      </c>
      <c r="E20" s="171">
        <v>19.444444444444443</v>
      </c>
      <c r="F20" s="172">
        <v>1</v>
      </c>
      <c r="G20" s="173"/>
      <c r="H20" s="174">
        <f t="shared" si="2"/>
        <v>134.09301480841788</v>
      </c>
      <c r="I20" s="174">
        <f t="shared" si="3"/>
        <v>25.964779277338842</v>
      </c>
      <c r="J20" s="140">
        <v>14.644135512419105</v>
      </c>
      <c r="K20" s="185">
        <f>(53-18)/(75-18)</f>
        <v>0.61403508771929827</v>
      </c>
      <c r="L20" s="184">
        <v>134.09301480841788</v>
      </c>
      <c r="M20" s="185">
        <f t="shared" si="4"/>
        <v>82.33781611043203</v>
      </c>
      <c r="N20" s="185">
        <f t="shared" si="5"/>
        <v>15.943285521172973</v>
      </c>
      <c r="O20" s="185">
        <f t="shared" si="6"/>
        <v>8.9920130339415554</v>
      </c>
      <c r="P20" s="819">
        <f>M20*'Table ES-1 Refresh ''13'!$D$8/Commercial!$M$3</f>
        <v>77.567853367793219</v>
      </c>
      <c r="Q20" s="819">
        <f>N20*'Table ES-1 Refresh ''13'!$G$8/Commercial!$N$3</f>
        <v>14.383865015162645</v>
      </c>
      <c r="R20" s="819">
        <f>O20*'Table ES-1 Refresh ''13'!$J$8/Commercial!$O$3</f>
        <v>7.7545272464386086</v>
      </c>
    </row>
    <row r="21" spans="1:18">
      <c r="A21" s="177">
        <v>151</v>
      </c>
      <c r="B21" s="169" t="s">
        <v>401</v>
      </c>
      <c r="C21" s="170">
        <v>58.248507852956493</v>
      </c>
      <c r="D21" s="170">
        <v>11.627309529667869</v>
      </c>
      <c r="E21" s="171">
        <v>19.444444444444443</v>
      </c>
      <c r="F21" s="172">
        <v>1</v>
      </c>
      <c r="G21" s="173"/>
      <c r="H21" s="174">
        <f t="shared" si="2"/>
        <v>58.248507852956493</v>
      </c>
      <c r="I21" s="174">
        <f t="shared" si="3"/>
        <v>11.627309529667869</v>
      </c>
      <c r="J21" s="140">
        <v>6.5926845033216814</v>
      </c>
      <c r="K21" s="185">
        <v>1</v>
      </c>
      <c r="L21" s="184">
        <v>58.248507852956493</v>
      </c>
      <c r="M21" s="185">
        <f t="shared" si="4"/>
        <v>58.248507852956493</v>
      </c>
      <c r="N21" s="185">
        <f t="shared" si="5"/>
        <v>11.627309529667869</v>
      </c>
      <c r="O21" s="185">
        <f t="shared" si="6"/>
        <v>6.5926845033216814</v>
      </c>
      <c r="P21" s="819">
        <f>M21*'Table ES-1 Refresh ''13'!$D$8/Commercial!$M$3</f>
        <v>54.874077665249537</v>
      </c>
      <c r="Q21" s="819">
        <f>N21*'Table ES-1 Refresh ''13'!$G$8/Commercial!$N$3</f>
        <v>10.490036733153378</v>
      </c>
      <c r="R21" s="819">
        <f>O21*'Table ES-1 Refresh ''13'!$J$8/Commercial!$O$3</f>
        <v>5.6853956300119224</v>
      </c>
    </row>
    <row r="22" spans="1:18">
      <c r="A22" s="168">
        <v>153</v>
      </c>
      <c r="B22" s="176" t="s">
        <v>170</v>
      </c>
      <c r="C22" s="170">
        <v>50.005099474155784</v>
      </c>
      <c r="D22" s="170">
        <v>9.9817900870663063</v>
      </c>
      <c r="E22" s="171">
        <v>19.444444444444443</v>
      </c>
      <c r="F22" s="172">
        <v>1</v>
      </c>
      <c r="G22" s="173"/>
      <c r="H22" s="174">
        <f t="shared" ref="H22:H39" si="8">IF(AND(F23=2,E23&gt;10),C23*10/E23,C23)</f>
        <v>36.597504871077831</v>
      </c>
      <c r="I22" s="174">
        <f t="shared" ref="I22:I39" si="9">IF(AND(F23=2,E23&gt;10),D23*10/E23,D23)</f>
        <v>5.2165909120949649</v>
      </c>
      <c r="J22" s="140">
        <v>0</v>
      </c>
      <c r="K22" s="185">
        <v>1</v>
      </c>
      <c r="L22" s="184">
        <v>50</v>
      </c>
      <c r="M22" s="185">
        <f t="shared" si="4"/>
        <v>50</v>
      </c>
      <c r="N22" s="185">
        <f t="shared" si="5"/>
        <v>5.2165909120949649</v>
      </c>
      <c r="O22" s="185">
        <f t="shared" si="6"/>
        <v>0</v>
      </c>
      <c r="P22" s="819">
        <f>M22*'Table ES-1 Refresh ''13'!$D$8/Commercial!$M$3</f>
        <v>47.103419201548107</v>
      </c>
      <c r="Q22" s="819">
        <f>N22*'Table ES-1 Refresh ''13'!$G$8/Commercial!$N$3</f>
        <v>4.7063536194751485</v>
      </c>
      <c r="R22" s="819">
        <f>O22*'Table ES-1 Refresh ''13'!$J$8/Commercial!$O$3</f>
        <v>0</v>
      </c>
    </row>
    <row r="23" spans="1:18">
      <c r="A23" s="177">
        <v>161</v>
      </c>
      <c r="B23" s="169" t="s">
        <v>168</v>
      </c>
      <c r="C23" s="170">
        <v>36.597504871077831</v>
      </c>
      <c r="D23" s="170">
        <v>5.2165909120949649</v>
      </c>
      <c r="E23" s="171">
        <v>16.279069767441861</v>
      </c>
      <c r="F23" s="172">
        <v>1</v>
      </c>
      <c r="G23" s="173"/>
      <c r="H23" s="174">
        <f t="shared" si="8"/>
        <v>85.048251518339569</v>
      </c>
      <c r="I23" s="174">
        <f t="shared" si="9"/>
        <v>6.5694531448831146</v>
      </c>
      <c r="J23" s="140">
        <v>5.3209227303368642</v>
      </c>
      <c r="K23" s="395">
        <f>(5-2)/(40-5)</f>
        <v>8.5714285714285715E-2</v>
      </c>
      <c r="L23" s="184">
        <v>37</v>
      </c>
      <c r="M23" s="185">
        <f t="shared" si="4"/>
        <v>3.1714285714285713</v>
      </c>
      <c r="N23" s="185">
        <f t="shared" si="5"/>
        <v>0.56309598384712412</v>
      </c>
      <c r="O23" s="185">
        <f t="shared" si="6"/>
        <v>0.45607909117173123</v>
      </c>
      <c r="P23" s="819">
        <f>M23*'Table ES-1 Refresh ''13'!$D$8/Commercial!$M$3</f>
        <v>2.9877025893553371</v>
      </c>
      <c r="Q23" s="819">
        <f>N23*'Table ES-1 Refresh ''13'!$G$8/Commercial!$N$3</f>
        <v>0.50801929197598317</v>
      </c>
      <c r="R23" s="819">
        <f>O23*'Table ES-1 Refresh ''13'!$J$8/Commercial!$O$3</f>
        <v>0.39331323538705792</v>
      </c>
    </row>
    <row r="24" spans="1:18">
      <c r="A24" s="168">
        <v>201</v>
      </c>
      <c r="B24" s="176" t="s">
        <v>166</v>
      </c>
      <c r="C24" s="170">
        <v>85.048251518339569</v>
      </c>
      <c r="D24" s="170">
        <v>6.5694531448831146</v>
      </c>
      <c r="E24" s="171">
        <v>5.4545454545454541</v>
      </c>
      <c r="F24" s="172">
        <v>1</v>
      </c>
      <c r="G24" s="173"/>
      <c r="H24" s="174">
        <f t="shared" si="8"/>
        <v>6.83925891732091</v>
      </c>
      <c r="I24" s="174">
        <f t="shared" si="9"/>
        <v>0.52829059030680836</v>
      </c>
      <c r="J24" s="140">
        <v>3.5475046982368821</v>
      </c>
      <c r="K24" s="395">
        <v>1</v>
      </c>
      <c r="L24" s="184">
        <v>85</v>
      </c>
      <c r="M24" s="185">
        <f t="shared" si="4"/>
        <v>85</v>
      </c>
      <c r="N24" s="185">
        <f t="shared" si="5"/>
        <v>0.52829059030680836</v>
      </c>
      <c r="O24" s="185">
        <f t="shared" si="6"/>
        <v>3.5475046982368821</v>
      </c>
      <c r="P24" s="819">
        <f>M24*'Table ES-1 Refresh ''13'!$D$8/Commercial!$M$3</f>
        <v>80.075812642631774</v>
      </c>
      <c r="Q24" s="819">
        <f>N24*'Table ES-1 Refresh ''13'!$G$8/Commercial!$N$3</f>
        <v>0.47661823089489913</v>
      </c>
      <c r="R24" s="819">
        <f>O24*'Table ES-1 Refresh ''13'!$J$8/Commercial!$O$3</f>
        <v>3.0592951473168064</v>
      </c>
    </row>
    <row r="25" spans="1:18">
      <c r="A25" s="168">
        <v>202</v>
      </c>
      <c r="B25" s="176" t="s">
        <v>164</v>
      </c>
      <c r="C25" s="170">
        <v>6.83925891732091</v>
      </c>
      <c r="D25" s="170">
        <v>0.52829059030680836</v>
      </c>
      <c r="E25" s="171">
        <v>5.4545454545454541</v>
      </c>
      <c r="F25" s="172">
        <v>1</v>
      </c>
      <c r="G25" s="173"/>
      <c r="H25" s="174">
        <f t="shared" si="8"/>
        <v>10.089529167305862</v>
      </c>
      <c r="I25" s="174">
        <f t="shared" si="9"/>
        <v>0.75542999020368617</v>
      </c>
      <c r="J25" s="140">
        <v>0.28527691876567651</v>
      </c>
      <c r="K25" s="395">
        <v>1</v>
      </c>
      <c r="L25" s="184">
        <v>7</v>
      </c>
      <c r="M25" s="185">
        <f t="shared" si="4"/>
        <v>7</v>
      </c>
      <c r="N25" s="185">
        <f t="shared" si="5"/>
        <v>0.75542999020368617</v>
      </c>
      <c r="O25" s="185">
        <f t="shared" si="6"/>
        <v>0.28527691876567651</v>
      </c>
      <c r="P25" s="819">
        <f>M25*'Table ES-1 Refresh ''13'!$D$8/Commercial!$M$3</f>
        <v>6.5944786882167357</v>
      </c>
      <c r="Q25" s="819">
        <f>N25*'Table ES-1 Refresh ''13'!$G$8/Commercial!$N$3</f>
        <v>0.68154101568746361</v>
      </c>
      <c r="R25" s="819">
        <f>O25*'Table ES-1 Refresh ''13'!$J$8/Commercial!$O$3</f>
        <v>0.24601695204380755</v>
      </c>
    </row>
    <row r="26" spans="1:18">
      <c r="A26" s="168">
        <v>211</v>
      </c>
      <c r="B26" s="176" t="s">
        <v>164</v>
      </c>
      <c r="C26" s="170">
        <v>10.089529167305862</v>
      </c>
      <c r="D26" s="170">
        <v>0.75542999020368617</v>
      </c>
      <c r="E26" s="171">
        <v>5.4545454545454541</v>
      </c>
      <c r="F26" s="172">
        <v>1</v>
      </c>
      <c r="G26" s="173"/>
      <c r="H26" s="174">
        <f t="shared" si="8"/>
        <v>32.416728674723146</v>
      </c>
      <c r="I26" s="174">
        <f t="shared" si="9"/>
        <v>9.6068816696053894</v>
      </c>
      <c r="J26" s="140">
        <v>0</v>
      </c>
      <c r="K26" s="185">
        <v>1</v>
      </c>
      <c r="L26" s="184">
        <v>10.089529167305862</v>
      </c>
      <c r="M26" s="185">
        <f t="shared" si="4"/>
        <v>10.089529167305862</v>
      </c>
      <c r="N26" s="185">
        <f t="shared" si="5"/>
        <v>9.6068816696053894</v>
      </c>
      <c r="O26" s="185">
        <f t="shared" si="6"/>
        <v>0</v>
      </c>
      <c r="P26" s="819">
        <f>M26*'Table ES-1 Refresh ''13'!$D$8/Commercial!$M$3</f>
        <v>9.5050264382770937</v>
      </c>
      <c r="Q26" s="819">
        <f>N26*'Table ES-1 Refresh ''13'!$G$8/Commercial!$N$3</f>
        <v>8.6672279041062943</v>
      </c>
      <c r="R26" s="819">
        <f>O26*'Table ES-1 Refresh ''13'!$J$8/Commercial!$O$3</f>
        <v>0</v>
      </c>
    </row>
    <row r="27" spans="1:18">
      <c r="A27" s="168">
        <v>301</v>
      </c>
      <c r="B27" s="176" t="s">
        <v>162</v>
      </c>
      <c r="C27" s="170">
        <v>64.833457349446292</v>
      </c>
      <c r="D27" s="170">
        <v>19.213763339210779</v>
      </c>
      <c r="E27" s="172">
        <v>20</v>
      </c>
      <c r="F27" s="172">
        <v>2</v>
      </c>
      <c r="G27" s="173"/>
      <c r="H27" s="174">
        <f t="shared" si="8"/>
        <v>15.59590708523505</v>
      </c>
      <c r="I27" s="174">
        <f t="shared" si="9"/>
        <v>3.2457384692365836</v>
      </c>
      <c r="J27" s="140">
        <v>4.8034408348026948E-2</v>
      </c>
      <c r="K27" s="185">
        <v>1</v>
      </c>
      <c r="L27" s="184">
        <v>32.416728674723146</v>
      </c>
      <c r="M27" s="185">
        <f t="shared" si="4"/>
        <v>32.416728674723146</v>
      </c>
      <c r="N27" s="185">
        <f t="shared" si="5"/>
        <v>3.2457384692365836</v>
      </c>
      <c r="O27" s="185">
        <f t="shared" si="6"/>
        <v>4.8034408348026948E-2</v>
      </c>
      <c r="P27" s="819">
        <f>M27*'Table ES-1 Refresh ''13'!$D$8/Commercial!$M$3</f>
        <v>30.538775198166586</v>
      </c>
      <c r="Q27" s="819">
        <f>N27*'Table ES-1 Refresh ''13'!$G$8/Commercial!$N$3</f>
        <v>2.9282712119794532</v>
      </c>
      <c r="R27" s="819">
        <f>O27*'Table ES-1 Refresh ''13'!$J$8/Commercial!$O$3</f>
        <v>4.1423886608631673E-2</v>
      </c>
    </row>
    <row r="28" spans="1:18">
      <c r="A28" s="177">
        <v>302</v>
      </c>
      <c r="B28" s="169" t="s">
        <v>161</v>
      </c>
      <c r="C28" s="170">
        <v>15.59590708523505</v>
      </c>
      <c r="D28" s="170">
        <v>3.2457384692365836</v>
      </c>
      <c r="E28" s="172">
        <v>20</v>
      </c>
      <c r="F28" s="172">
        <v>1</v>
      </c>
      <c r="G28" s="173"/>
      <c r="H28" s="174">
        <f t="shared" si="8"/>
        <v>4.3650332100887832</v>
      </c>
      <c r="I28" s="174">
        <f t="shared" si="9"/>
        <v>0.86417729931777809</v>
      </c>
      <c r="J28" s="140">
        <v>0</v>
      </c>
      <c r="K28" s="185">
        <v>1</v>
      </c>
      <c r="L28" s="184">
        <v>15.59590708523505</v>
      </c>
      <c r="M28" s="185">
        <f t="shared" si="4"/>
        <v>15.59590708523505</v>
      </c>
      <c r="N28" s="185">
        <f t="shared" si="5"/>
        <v>0.86417729931777809</v>
      </c>
      <c r="O28" s="185">
        <f t="shared" si="6"/>
        <v>0</v>
      </c>
      <c r="P28" s="819">
        <f>M28*'Table ES-1 Refresh ''13'!$D$8/Commercial!$M$3</f>
        <v>14.692410985284416</v>
      </c>
      <c r="Q28" s="819">
        <f>N28*'Table ES-1 Refresh ''13'!$G$8/Commercial!$N$3</f>
        <v>0.77965169764081443</v>
      </c>
      <c r="R28" s="819">
        <f>O28*'Table ES-1 Refresh ''13'!$J$8/Commercial!$O$3</f>
        <v>0</v>
      </c>
    </row>
    <row r="29" spans="1:18">
      <c r="A29" s="168">
        <v>304</v>
      </c>
      <c r="B29" s="176" t="s">
        <v>160</v>
      </c>
      <c r="C29" s="170">
        <v>4.3650332100887832</v>
      </c>
      <c r="D29" s="170">
        <v>0.86417729931777809</v>
      </c>
      <c r="E29" s="172">
        <v>10</v>
      </c>
      <c r="F29" s="172">
        <v>1</v>
      </c>
      <c r="G29" s="173"/>
      <c r="H29" s="174">
        <f t="shared" si="8"/>
        <v>17.450153610414159</v>
      </c>
      <c r="I29" s="174">
        <f t="shared" si="9"/>
        <v>5.0848622542288915</v>
      </c>
      <c r="J29" s="140">
        <v>0.11234304891131115</v>
      </c>
      <c r="K29" s="185">
        <v>1</v>
      </c>
      <c r="L29" s="184">
        <v>4.3650332100887832</v>
      </c>
      <c r="M29" s="185">
        <f t="shared" si="4"/>
        <v>4.3650332100887832</v>
      </c>
      <c r="N29" s="185">
        <f t="shared" si="5"/>
        <v>5.0848622542288915</v>
      </c>
      <c r="O29" s="185">
        <f t="shared" si="6"/>
        <v>0.11234304891131115</v>
      </c>
      <c r="P29" s="819">
        <f>M29*'Table ES-1 Refresh ''13'!$D$8/Commercial!$M$3</f>
        <v>4.1121597824698233</v>
      </c>
      <c r="Q29" s="819">
        <f>N29*'Table ES-1 Refresh ''13'!$G$8/Commercial!$N$3</f>
        <v>4.5875094056612609</v>
      </c>
      <c r="R29" s="819">
        <f>O29*'Table ES-1 Refresh ''13'!$J$8/Commercial!$O$3</f>
        <v>9.6882336629452212E-2</v>
      </c>
    </row>
    <row r="30" spans="1:18">
      <c r="A30" s="177">
        <v>305</v>
      </c>
      <c r="B30" s="176" t="s">
        <v>159</v>
      </c>
      <c r="C30" s="170">
        <v>17.450153610414159</v>
      </c>
      <c r="D30" s="170">
        <v>5.0848622542288915</v>
      </c>
      <c r="E30" s="172">
        <v>10</v>
      </c>
      <c r="F30" s="172">
        <v>1</v>
      </c>
      <c r="G30" s="173"/>
      <c r="H30" s="174">
        <f t="shared" si="8"/>
        <v>31.397258676588109</v>
      </c>
      <c r="I30" s="174">
        <f t="shared" si="9"/>
        <v>6.2251482076515661</v>
      </c>
      <c r="J30" s="140">
        <v>0.15254586762686673</v>
      </c>
      <c r="K30" s="185">
        <v>1</v>
      </c>
      <c r="L30" s="184">
        <v>17.450153610414159</v>
      </c>
      <c r="M30" s="185">
        <f t="shared" si="4"/>
        <v>17.450153610414159</v>
      </c>
      <c r="N30" s="185">
        <f t="shared" si="5"/>
        <v>6.2251482076515661</v>
      </c>
      <c r="O30" s="185">
        <f t="shared" si="6"/>
        <v>0.15254586762686673</v>
      </c>
      <c r="P30" s="819">
        <f>M30*'Table ES-1 Refresh ''13'!$D$8/Commercial!$M$3</f>
        <v>16.439238012854929</v>
      </c>
      <c r="Q30" s="819">
        <f>N30*'Table ES-1 Refresh ''13'!$G$8/Commercial!$N$3</f>
        <v>5.6162634357472179</v>
      </c>
      <c r="R30" s="819">
        <f>O30*'Table ES-1 Refresh ''13'!$J$8/Commercial!$O$3</f>
        <v>0.1315524212853186</v>
      </c>
    </row>
    <row r="31" spans="1:18">
      <c r="A31" s="177">
        <v>306</v>
      </c>
      <c r="B31" s="176" t="s">
        <v>158</v>
      </c>
      <c r="C31" s="170">
        <v>31.397258676588109</v>
      </c>
      <c r="D31" s="170">
        <v>6.2251482076515661</v>
      </c>
      <c r="E31" s="172">
        <v>15</v>
      </c>
      <c r="F31" s="172">
        <v>1</v>
      </c>
      <c r="G31" s="173"/>
      <c r="H31" s="174">
        <f t="shared" si="8"/>
        <v>11.105023238837424</v>
      </c>
      <c r="I31" s="174">
        <f t="shared" si="9"/>
        <v>0.54771391797787872</v>
      </c>
      <c r="J31" s="140">
        <v>0.18675444622954698</v>
      </c>
      <c r="K31" s="185">
        <v>1</v>
      </c>
      <c r="L31" s="184">
        <v>31.397258676588109</v>
      </c>
      <c r="M31" s="185">
        <f t="shared" si="4"/>
        <v>31.397258676588109</v>
      </c>
      <c r="N31" s="185">
        <f t="shared" si="5"/>
        <v>0.54771391797787872</v>
      </c>
      <c r="O31" s="185">
        <f t="shared" si="6"/>
        <v>0.18675444622954698</v>
      </c>
      <c r="P31" s="819">
        <f>M31*'Table ES-1 Refresh ''13'!$D$8/Commercial!$M$3</f>
        <v>29.578364744455463</v>
      </c>
      <c r="Q31" s="819">
        <f>N31*'Table ES-1 Refresh ''13'!$G$8/Commercial!$N$3</f>
        <v>0.49414175344581401</v>
      </c>
      <c r="R31" s="819">
        <f>O31*'Table ES-1 Refresh ''13'!$J$8/Commercial!$O$3</f>
        <v>0.16105319645491842</v>
      </c>
    </row>
    <row r="32" spans="1:18">
      <c r="A32" s="168">
        <v>307</v>
      </c>
      <c r="B32" s="176" t="s">
        <v>157</v>
      </c>
      <c r="C32" s="170">
        <v>11.105023238837424</v>
      </c>
      <c r="D32" s="170">
        <v>0.54771391797787872</v>
      </c>
      <c r="E32" s="172">
        <v>5</v>
      </c>
      <c r="F32" s="172">
        <v>1</v>
      </c>
      <c r="G32" s="173"/>
      <c r="H32" s="174">
        <f t="shared" si="8"/>
        <v>35.046706945069602</v>
      </c>
      <c r="I32" s="174">
        <f t="shared" si="9"/>
        <v>6.9402790520996902</v>
      </c>
      <c r="J32" s="140">
        <v>5.4771391797787873E-2</v>
      </c>
      <c r="K32" s="185">
        <v>1</v>
      </c>
      <c r="L32" s="184">
        <v>11.105023238837424</v>
      </c>
      <c r="M32" s="185">
        <f t="shared" si="4"/>
        <v>11.105023238837424</v>
      </c>
      <c r="N32" s="185">
        <f t="shared" si="5"/>
        <v>6.9402790520996902</v>
      </c>
      <c r="O32" s="185">
        <f t="shared" si="6"/>
        <v>5.4771391797787873E-2</v>
      </c>
      <c r="P32" s="819">
        <f>M32*'Table ES-1 Refresh ''13'!$D$8/Commercial!$M$3</f>
        <v>10.461691297237852</v>
      </c>
      <c r="Q32" s="819">
        <f>N32*'Table ES-1 Refresh ''13'!$G$8/Commercial!$N$3</f>
        <v>6.2614469847127454</v>
      </c>
      <c r="R32" s="819">
        <f>O32*'Table ES-1 Refresh ''13'!$J$8/Commercial!$O$3</f>
        <v>4.7233722684578434E-2</v>
      </c>
    </row>
    <row r="33" spans="1:18">
      <c r="A33" s="177">
        <v>308</v>
      </c>
      <c r="B33" s="169" t="s">
        <v>145</v>
      </c>
      <c r="C33" s="170">
        <v>35.046706945069602</v>
      </c>
      <c r="D33" s="170">
        <v>6.9402790520996902</v>
      </c>
      <c r="E33" s="172">
        <v>15</v>
      </c>
      <c r="F33" s="172">
        <v>1</v>
      </c>
      <c r="G33" s="173"/>
      <c r="H33" s="174">
        <f t="shared" si="8"/>
        <v>3.9292099737823891</v>
      </c>
      <c r="I33" s="174">
        <f t="shared" si="9"/>
        <v>0.779961988674166</v>
      </c>
      <c r="J33" s="140">
        <v>0.20820837156299069</v>
      </c>
      <c r="K33" s="185">
        <v>1</v>
      </c>
      <c r="L33" s="184">
        <v>35.046706945069602</v>
      </c>
      <c r="M33" s="185">
        <f t="shared" si="4"/>
        <v>35.046706945069602</v>
      </c>
      <c r="N33" s="185">
        <f t="shared" si="5"/>
        <v>0.779961988674166</v>
      </c>
      <c r="O33" s="185">
        <f t="shared" si="6"/>
        <v>0.20820837156299069</v>
      </c>
      <c r="P33" s="819">
        <f>M33*'Table ES-1 Refresh ''13'!$D$8/Commercial!$M$3</f>
        <v>33.016394577348414</v>
      </c>
      <c r="Q33" s="819">
        <f>N33*'Table ES-1 Refresh ''13'!$G$8/Commercial!$N$3</f>
        <v>0.70367352746384415</v>
      </c>
      <c r="R33" s="819">
        <f>O33*'Table ES-1 Refresh ''13'!$J$8/Commercial!$O$3</f>
        <v>0.1795546207648345</v>
      </c>
    </row>
    <row r="34" spans="1:18">
      <c r="A34" s="177">
        <v>309</v>
      </c>
      <c r="B34" s="169" t="s">
        <v>144</v>
      </c>
      <c r="C34" s="170">
        <v>3.9292099737823891</v>
      </c>
      <c r="D34" s="170">
        <v>0.779961988674166</v>
      </c>
      <c r="E34" s="172">
        <v>10</v>
      </c>
      <c r="F34" s="172">
        <v>1</v>
      </c>
      <c r="G34" s="173"/>
      <c r="H34" s="174">
        <f t="shared" si="8"/>
        <v>10.821216089789873</v>
      </c>
      <c r="I34" s="174">
        <f t="shared" si="9"/>
        <v>2.2444707434640105</v>
      </c>
      <c r="J34" s="140">
        <v>2.339885966022498E-2</v>
      </c>
      <c r="K34" s="185">
        <v>1</v>
      </c>
      <c r="L34" s="184">
        <v>3.9292099737823891</v>
      </c>
      <c r="M34" s="185">
        <f t="shared" si="4"/>
        <v>3.9292099737823891</v>
      </c>
      <c r="N34" s="185">
        <f t="shared" si="5"/>
        <v>2.2444707434640105</v>
      </c>
      <c r="O34" s="185">
        <f t="shared" si="6"/>
        <v>2.339885966022498E-2</v>
      </c>
      <c r="P34" s="819">
        <f>M34*'Table ES-1 Refresh ''13'!$D$8/Commercial!$M$3</f>
        <v>3.7015844905195143</v>
      </c>
      <c r="Q34" s="819">
        <f>N34*'Table ES-1 Refresh ''13'!$G$8/Commercial!$N$3</f>
        <v>2.0249379691277629</v>
      </c>
      <c r="R34" s="819">
        <f>O34*'Table ES-1 Refresh ''13'!$J$8/Commercial!$O$3</f>
        <v>2.0178695703165859E-2</v>
      </c>
    </row>
    <row r="35" spans="1:18">
      <c r="A35" s="177">
        <v>311</v>
      </c>
      <c r="B35" s="176" t="s">
        <v>143</v>
      </c>
      <c r="C35" s="170">
        <v>10.821216089789873</v>
      </c>
      <c r="D35" s="170">
        <v>2.2444707434640105</v>
      </c>
      <c r="E35" s="172">
        <v>10</v>
      </c>
      <c r="F35" s="172">
        <v>1</v>
      </c>
      <c r="G35" s="173"/>
      <c r="H35" s="174">
        <f t="shared" si="8"/>
        <v>19.539340387642046</v>
      </c>
      <c r="I35" s="174">
        <f t="shared" si="9"/>
        <v>11.950501521506318</v>
      </c>
      <c r="J35" s="140">
        <v>-0.31422590408496148</v>
      </c>
      <c r="K35" s="185">
        <v>1</v>
      </c>
      <c r="L35" s="184">
        <v>10.821216089789873</v>
      </c>
      <c r="M35" s="185">
        <f t="shared" si="4"/>
        <v>10.821216089789873</v>
      </c>
      <c r="N35" s="185">
        <f t="shared" si="5"/>
        <v>11.950501521506318</v>
      </c>
      <c r="O35" s="185">
        <f t="shared" si="6"/>
        <v>-0.31422590408496148</v>
      </c>
      <c r="P35" s="819">
        <f>M35*'Table ES-1 Refresh ''13'!$D$8/Commercial!$M$3</f>
        <v>10.194325554958194</v>
      </c>
      <c r="Q35" s="819">
        <f>N35*'Table ES-1 Refresh ''13'!$G$8/Commercial!$N$3</f>
        <v>10.781617159183645</v>
      </c>
      <c r="R35" s="819">
        <f>O35*'Table ES-1 Refresh ''13'!$J$8/Commercial!$O$3</f>
        <v>-0.27098196205522496</v>
      </c>
    </row>
    <row r="36" spans="1:18">
      <c r="A36" s="168">
        <v>313</v>
      </c>
      <c r="B36" s="169" t="s">
        <v>142</v>
      </c>
      <c r="C36" s="170">
        <v>19.539340387642046</v>
      </c>
      <c r="D36" s="170">
        <v>11.950501521506318</v>
      </c>
      <c r="E36" s="172">
        <v>20</v>
      </c>
      <c r="F36" s="172">
        <v>1</v>
      </c>
      <c r="G36" s="173"/>
      <c r="H36" s="174">
        <f t="shared" si="8"/>
        <v>6.7788429877944143</v>
      </c>
      <c r="I36" s="174">
        <f t="shared" si="9"/>
        <v>3.5031014417661273</v>
      </c>
      <c r="J36" s="140">
        <v>1.4340601825807582</v>
      </c>
      <c r="K36" s="185">
        <v>1</v>
      </c>
      <c r="L36" s="184">
        <v>19.539340387642046</v>
      </c>
      <c r="M36" s="185">
        <f t="shared" si="4"/>
        <v>19.539340387642046</v>
      </c>
      <c r="N36" s="185">
        <f t="shared" si="5"/>
        <v>3.5031014417661273</v>
      </c>
      <c r="O36" s="185">
        <f t="shared" si="6"/>
        <v>1.4340601825807582</v>
      </c>
      <c r="P36" s="819">
        <f>M36*'Table ES-1 Refresh ''13'!$D$8/Commercial!$M$3</f>
        <v>18.407394824016855</v>
      </c>
      <c r="Q36" s="819">
        <f>N36*'Table ES-1 Refresh ''13'!$G$8/Commercial!$N$3</f>
        <v>3.1604613870754084</v>
      </c>
      <c r="R36" s="819">
        <f>O36*'Table ES-1 Refresh ''13'!$J$8/Commercial!$O$3</f>
        <v>1.2367040302187682</v>
      </c>
    </row>
    <row r="37" spans="1:18">
      <c r="A37" s="177">
        <v>314</v>
      </c>
      <c r="B37" s="169" t="s">
        <v>141</v>
      </c>
      <c r="C37" s="170">
        <v>6.7788429877944143</v>
      </c>
      <c r="D37" s="170">
        <v>3.5031014417661273</v>
      </c>
      <c r="E37" s="172">
        <v>20</v>
      </c>
      <c r="F37" s="172">
        <v>1</v>
      </c>
      <c r="G37" s="173"/>
      <c r="H37" s="174">
        <f t="shared" si="8"/>
        <v>43.729343410192534</v>
      </c>
      <c r="I37" s="174">
        <f t="shared" si="9"/>
        <v>18.537392929430411</v>
      </c>
      <c r="J37" s="140">
        <v>0.14012405767064509</v>
      </c>
      <c r="K37" s="185">
        <v>1</v>
      </c>
      <c r="L37" s="184">
        <v>6.7788429877944143</v>
      </c>
      <c r="M37" s="185">
        <f t="shared" si="4"/>
        <v>6.7788429877944143</v>
      </c>
      <c r="N37" s="185">
        <f t="shared" si="5"/>
        <v>18.537392929430411</v>
      </c>
      <c r="O37" s="185">
        <f t="shared" si="6"/>
        <v>0.14012405767064509</v>
      </c>
      <c r="P37" s="819">
        <f>M37*'Table ES-1 Refresh ''13'!$D$8/Commercial!$M$3</f>
        <v>6.3861336591111026</v>
      </c>
      <c r="Q37" s="819">
        <f>N37*'Table ES-1 Refresh ''13'!$G$8/Commercial!$N$3</f>
        <v>16.724241516960575</v>
      </c>
      <c r="R37" s="819">
        <f>O37*'Table ES-1 Refresh ''13'!$J$8/Commercial!$O$3</f>
        <v>0.12084010765854665</v>
      </c>
    </row>
    <row r="38" spans="1:18">
      <c r="A38" s="177">
        <v>315</v>
      </c>
      <c r="B38" s="176" t="s">
        <v>156</v>
      </c>
      <c r="C38" s="170">
        <v>43.729343410192534</v>
      </c>
      <c r="D38" s="170">
        <v>18.537392929430411</v>
      </c>
      <c r="E38" s="172">
        <v>15</v>
      </c>
      <c r="F38" s="172">
        <v>1</v>
      </c>
      <c r="G38" s="173"/>
      <c r="H38" s="174">
        <f t="shared" si="8"/>
        <v>-5.5969413302016697</v>
      </c>
      <c r="I38" s="174">
        <f t="shared" si="9"/>
        <v>19.553712940806538</v>
      </c>
      <c r="J38" s="140">
        <v>0</v>
      </c>
      <c r="K38" s="185">
        <v>1</v>
      </c>
      <c r="L38" s="184">
        <v>43.729343410192534</v>
      </c>
      <c r="M38" s="185">
        <f t="shared" si="4"/>
        <v>43.729343410192534</v>
      </c>
      <c r="N38" s="185">
        <f t="shared" si="5"/>
        <v>19.553712940806538</v>
      </c>
      <c r="O38" s="185">
        <f t="shared" si="6"/>
        <v>0</v>
      </c>
      <c r="P38" s="819">
        <f>M38*'Table ES-1 Refresh ''13'!$D$8/Commercial!$M$3</f>
        <v>41.196031881175088</v>
      </c>
      <c r="Q38" s="819">
        <f>N38*'Table ES-1 Refresh ''13'!$G$8/Commercial!$N$3</f>
        <v>17.641154774044818</v>
      </c>
      <c r="R38" s="819">
        <f>O38*'Table ES-1 Refresh ''13'!$J$8/Commercial!$O$3</f>
        <v>0</v>
      </c>
    </row>
    <row r="39" spans="1:18">
      <c r="A39" s="177">
        <v>317</v>
      </c>
      <c r="B39" s="169" t="s">
        <v>155</v>
      </c>
      <c r="C39" s="170">
        <v>-5.5969413302016697</v>
      </c>
      <c r="D39" s="170">
        <v>19.553712940806538</v>
      </c>
      <c r="E39" s="172">
        <v>50</v>
      </c>
      <c r="F39" s="172">
        <v>1</v>
      </c>
      <c r="G39" s="173"/>
      <c r="H39" s="174">
        <f t="shared" si="8"/>
        <v>29.017098365037519</v>
      </c>
      <c r="I39" s="174">
        <f t="shared" si="9"/>
        <v>4.3267119653601291</v>
      </c>
      <c r="J39" s="140">
        <v>7.8214851763226151E-2</v>
      </c>
      <c r="K39" s="185">
        <v>1</v>
      </c>
      <c r="L39" s="184">
        <v>-5.5969413302016697</v>
      </c>
      <c r="M39" s="185">
        <f t="shared" si="4"/>
        <v>-5.5969413302016697</v>
      </c>
      <c r="N39" s="185">
        <f t="shared" si="5"/>
        <v>4.3267119653601291</v>
      </c>
      <c r="O39" s="185">
        <f t="shared" si="6"/>
        <v>7.8214851763226151E-2</v>
      </c>
      <c r="P39" s="819">
        <f>M39*'Table ES-1 Refresh ''13'!$D$8/Commercial!$M$3</f>
        <v>-5.2727014744591916</v>
      </c>
      <c r="Q39" s="819">
        <f>N39*'Table ES-1 Refresh ''13'!$G$8/Commercial!$N$3</f>
        <v>3.9035141650433447</v>
      </c>
      <c r="R39" s="819">
        <f>O39*'Table ES-1 Refresh ''13'!$J$8/Commercial!$O$3</f>
        <v>6.7450880774383465E-2</v>
      </c>
    </row>
    <row r="40" spans="1:18">
      <c r="A40" s="396">
        <v>321</v>
      </c>
      <c r="B40" s="397" t="s">
        <v>153</v>
      </c>
      <c r="C40" s="170">
        <v>43.525647547556282</v>
      </c>
      <c r="D40" s="170">
        <v>6.4900679480401928</v>
      </c>
      <c r="E40" s="172">
        <v>15</v>
      </c>
      <c r="F40" s="172">
        <v>2</v>
      </c>
      <c r="G40" s="173"/>
      <c r="H40" s="174">
        <f>IF(AND(F42=2,E42&gt;10),C42*10/E42,C42)</f>
        <v>183.57197281004451</v>
      </c>
      <c r="I40" s="174">
        <f>IF(AND(F42=2,E42&gt;10),D42*10/E42,D42)</f>
        <v>27.431846283356059</v>
      </c>
      <c r="J40" s="140">
        <v>0</v>
      </c>
      <c r="K40" s="185">
        <v>0</v>
      </c>
      <c r="L40" s="184">
        <v>0</v>
      </c>
      <c r="M40" s="185">
        <v>0</v>
      </c>
      <c r="N40" s="185">
        <v>0</v>
      </c>
      <c r="O40" s="185">
        <v>0</v>
      </c>
      <c r="P40" s="819">
        <f>M40*'Table ES-1 Refresh ''13'!$D$8/Commercial!$M$3</f>
        <v>0</v>
      </c>
      <c r="Q40" s="819">
        <f>N40*'Table ES-1 Refresh ''13'!$G$8/Commercial!$N$3</f>
        <v>0</v>
      </c>
      <c r="R40" s="819">
        <f>O40*'Table ES-1 Refresh ''13'!$J$8/Commercial!$O$3</f>
        <v>0</v>
      </c>
    </row>
    <row r="41" spans="1:18">
      <c r="A41" s="168" t="s">
        <v>437</v>
      </c>
      <c r="B41" s="176" t="s">
        <v>436</v>
      </c>
      <c r="C41" s="170">
        <v>43.525647547556282</v>
      </c>
      <c r="D41" s="170">
        <v>6.4900679480401928</v>
      </c>
      <c r="E41" s="172">
        <v>15</v>
      </c>
      <c r="F41" s="172">
        <v>2</v>
      </c>
      <c r="G41" s="173"/>
      <c r="H41" s="174">
        <f>IF(AND(F43=2,E43&gt;10),C43*10/E43,C43)</f>
        <v>87.563658385919737</v>
      </c>
      <c r="I41" s="174">
        <f>IF(AND(F43=2,E43&gt;10),D43*10/E43,D43)</f>
        <v>13.084893997542036</v>
      </c>
      <c r="J41" s="140">
        <v>0</v>
      </c>
      <c r="K41" s="185">
        <v>1</v>
      </c>
      <c r="L41" s="184">
        <v>29.017098365037519</v>
      </c>
      <c r="M41" s="185">
        <f t="shared" ref="M41" si="10">L41*K41</f>
        <v>29.017098365037519</v>
      </c>
      <c r="N41" s="185">
        <f t="shared" ref="N41" si="11">I41*K41</f>
        <v>13.084893997542036</v>
      </c>
      <c r="O41" s="185">
        <f t="shared" ref="O41" si="12">J41*K41</f>
        <v>0</v>
      </c>
      <c r="P41" s="819">
        <f>M41*'Table ES-1 Refresh ''13'!$D$8/Commercial!$M$3</f>
        <v>27.336090966018372</v>
      </c>
      <c r="Q41" s="819">
        <f>N41*'Table ES-1 Refresh ''13'!$G$8/Commercial!$N$3</f>
        <v>11.805054155770369</v>
      </c>
      <c r="R41" s="819">
        <f>O41*'Table ES-1 Refresh ''13'!$J$8/Commercial!$O$3</f>
        <v>0</v>
      </c>
    </row>
    <row r="42" spans="1:18">
      <c r="A42" s="177">
        <v>322</v>
      </c>
      <c r="B42" s="169" t="s">
        <v>152</v>
      </c>
      <c r="C42" s="170">
        <v>275.35795921506678</v>
      </c>
      <c r="D42" s="170">
        <v>41.147769425034092</v>
      </c>
      <c r="E42" s="172">
        <v>15</v>
      </c>
      <c r="F42" s="172">
        <v>2</v>
      </c>
      <c r="G42" s="173"/>
      <c r="H42" s="174">
        <f t="shared" ref="H42:H52" si="13">IF(AND(F43=2,E43&gt;10),C43*10/E43,C43)</f>
        <v>87.563658385919737</v>
      </c>
      <c r="I42" s="174">
        <f t="shared" ref="I42:I52" si="14">IF(AND(F43=2,E43&gt;10),D43*10/E43,D43)</f>
        <v>13.084893997542036</v>
      </c>
      <c r="J42" s="140">
        <v>0</v>
      </c>
      <c r="K42" s="185">
        <v>0.92</v>
      </c>
      <c r="L42" s="184">
        <v>183.57197281004451</v>
      </c>
      <c r="M42" s="185">
        <f t="shared" si="4"/>
        <v>168.88621498524097</v>
      </c>
      <c r="N42" s="185">
        <f t="shared" si="5"/>
        <v>12.038102477738674</v>
      </c>
      <c r="O42" s="185">
        <f t="shared" si="6"/>
        <v>0</v>
      </c>
      <c r="P42" s="819">
        <f>M42*'Table ES-1 Refresh ''13'!$D$8/Commercial!$M$3</f>
        <v>159.10236363625165</v>
      </c>
      <c r="Q42" s="819">
        <f>N42*'Table ES-1 Refresh ''13'!$G$8/Commercial!$N$3</f>
        <v>10.860649823308741</v>
      </c>
      <c r="R42" s="819">
        <f>O42*'Table ES-1 Refresh ''13'!$J$8/Commercial!$O$3</f>
        <v>0</v>
      </c>
    </row>
    <row r="43" spans="1:18">
      <c r="A43" s="168">
        <v>323</v>
      </c>
      <c r="B43" s="176" t="s">
        <v>146</v>
      </c>
      <c r="C43" s="170">
        <v>131.34548757887961</v>
      </c>
      <c r="D43" s="170">
        <v>19.627340996313055</v>
      </c>
      <c r="E43" s="172">
        <v>15</v>
      </c>
      <c r="F43" s="172">
        <v>2</v>
      </c>
      <c r="G43" s="173"/>
      <c r="H43" s="174">
        <f t="shared" si="13"/>
        <v>24.589698199801841</v>
      </c>
      <c r="I43" s="174">
        <f t="shared" si="14"/>
        <v>7.4329138392596548</v>
      </c>
      <c r="J43" s="140">
        <v>0.78509363985252223</v>
      </c>
      <c r="K43" s="185">
        <v>0.92</v>
      </c>
      <c r="L43" s="184">
        <v>87.563658385919737</v>
      </c>
      <c r="M43" s="185">
        <f t="shared" si="4"/>
        <v>80.558565715046157</v>
      </c>
      <c r="N43" s="185">
        <f t="shared" si="5"/>
        <v>6.838280732118883</v>
      </c>
      <c r="O43" s="185">
        <f t="shared" si="6"/>
        <v>0.7222861486643205</v>
      </c>
      <c r="P43" s="819">
        <f>M43*'Table ES-1 Refresh ''13'!$D$8/Commercial!$M$3</f>
        <v>75.891677823025617</v>
      </c>
      <c r="Q43" s="819">
        <f>N43*'Table ES-1 Refresh ''13'!$G$8/Commercial!$N$3</f>
        <v>6.1694251699852281</v>
      </c>
      <c r="R43" s="819">
        <f>O43*'Table ES-1 Refresh ''13'!$J$8/Commercial!$O$3</f>
        <v>0.62288473097191965</v>
      </c>
    </row>
    <row r="44" spans="1:18">
      <c r="A44" s="177">
        <v>326</v>
      </c>
      <c r="B44" s="176" t="s">
        <v>151</v>
      </c>
      <c r="C44" s="170">
        <v>24.589698199801841</v>
      </c>
      <c r="D44" s="170">
        <v>7.4329138392596548</v>
      </c>
      <c r="E44" s="172">
        <v>10</v>
      </c>
      <c r="F44" s="172">
        <v>1</v>
      </c>
      <c r="G44" s="173"/>
      <c r="H44" s="174">
        <f t="shared" si="13"/>
        <v>38.446473310959135</v>
      </c>
      <c r="I44" s="174">
        <f t="shared" si="14"/>
        <v>11.621190162586554</v>
      </c>
      <c r="J44" s="140">
        <v>0</v>
      </c>
      <c r="K44" s="185">
        <v>0.92</v>
      </c>
      <c r="L44" s="184">
        <v>24.589698199801841</v>
      </c>
      <c r="M44" s="185">
        <f t="shared" si="4"/>
        <v>22.622522343817696</v>
      </c>
      <c r="N44" s="185">
        <f t="shared" si="5"/>
        <v>10.69149494957963</v>
      </c>
      <c r="O44" s="185">
        <f t="shared" si="6"/>
        <v>0</v>
      </c>
      <c r="P44" s="819">
        <f>M44*'Table ES-1 Refresh ''13'!$D$8/Commercial!$M$3</f>
        <v>21.311963067144674</v>
      </c>
      <c r="Q44" s="819">
        <f>N44*'Table ES-1 Refresh ''13'!$G$8/Commercial!$N$3</f>
        <v>9.6457546319933396</v>
      </c>
      <c r="R44" s="819">
        <f>O44*'Table ES-1 Refresh ''13'!$J$8/Commercial!$O$3</f>
        <v>0</v>
      </c>
    </row>
    <row r="45" spans="1:18">
      <c r="A45" s="168">
        <v>327</v>
      </c>
      <c r="B45" s="176" t="s">
        <v>150</v>
      </c>
      <c r="C45" s="170">
        <v>38.446473310959135</v>
      </c>
      <c r="D45" s="170">
        <v>11.621190162586554</v>
      </c>
      <c r="E45" s="172">
        <v>5</v>
      </c>
      <c r="F45" s="172">
        <v>1</v>
      </c>
      <c r="G45" s="173"/>
      <c r="H45" s="174">
        <f t="shared" si="13"/>
        <v>25.916034887752051</v>
      </c>
      <c r="I45" s="174">
        <f t="shared" si="14"/>
        <v>1.3250840366560162</v>
      </c>
      <c r="J45" s="140">
        <v>0</v>
      </c>
      <c r="K45" s="185">
        <v>0.92</v>
      </c>
      <c r="L45" s="184">
        <v>38.446473310959135</v>
      </c>
      <c r="M45" s="185">
        <f t="shared" si="4"/>
        <v>35.370755446082406</v>
      </c>
      <c r="N45" s="185">
        <f t="shared" si="5"/>
        <v>1.2190773137235349</v>
      </c>
      <c r="O45" s="185">
        <f t="shared" si="6"/>
        <v>0</v>
      </c>
      <c r="P45" s="819">
        <f>M45*'Table ES-1 Refresh ''13'!$D$8/Commercial!$M$3</f>
        <v>33.321670425045205</v>
      </c>
      <c r="Q45" s="819">
        <f>N45*'Table ES-1 Refresh ''13'!$G$8/Commercial!$N$3</f>
        <v>1.0998387691394946</v>
      </c>
      <c r="R45" s="819">
        <f>O45*'Table ES-1 Refresh ''13'!$J$8/Commercial!$O$3</f>
        <v>0</v>
      </c>
    </row>
    <row r="46" spans="1:18">
      <c r="A46" s="177">
        <v>328</v>
      </c>
      <c r="B46" s="176" t="s">
        <v>402</v>
      </c>
      <c r="C46" s="170">
        <v>25.916034887752051</v>
      </c>
      <c r="D46" s="170">
        <v>1.3250840366560162</v>
      </c>
      <c r="E46" s="172">
        <v>5</v>
      </c>
      <c r="F46" s="172">
        <v>1</v>
      </c>
      <c r="G46" s="173"/>
      <c r="H46" s="174">
        <f t="shared" si="13"/>
        <v>109.88856505561382</v>
      </c>
      <c r="I46" s="174">
        <f t="shared" si="14"/>
        <v>22.469504776335452</v>
      </c>
      <c r="J46" s="140">
        <v>0.13250840366560163</v>
      </c>
      <c r="K46" s="185">
        <v>0.92</v>
      </c>
      <c r="L46" s="184">
        <v>25.916034887752051</v>
      </c>
      <c r="M46" s="185">
        <f t="shared" si="4"/>
        <v>23.842752096731889</v>
      </c>
      <c r="N46" s="185">
        <f t="shared" si="5"/>
        <v>20.671944394228618</v>
      </c>
      <c r="O46" s="185">
        <f t="shared" si="6"/>
        <v>0.1219077313723535</v>
      </c>
      <c r="P46" s="819">
        <f>M46*'Table ES-1 Refresh ''13'!$D$8/Commercial!$M$3</f>
        <v>22.461502938619045</v>
      </c>
      <c r="Q46" s="819">
        <f>N46*'Table ES-1 Refresh ''13'!$G$8/Commercial!$N$3</f>
        <v>18.65001146549476</v>
      </c>
      <c r="R46" s="819">
        <f>O46*'Table ES-1 Refresh ''13'!$J$8/Commercial!$O$3</f>
        <v>0.10513072222094583</v>
      </c>
    </row>
    <row r="47" spans="1:18">
      <c r="A47" s="168">
        <v>329</v>
      </c>
      <c r="B47" s="169" t="s">
        <v>145</v>
      </c>
      <c r="C47" s="170">
        <v>109.88856505561382</v>
      </c>
      <c r="D47" s="170">
        <v>22.469504776335452</v>
      </c>
      <c r="E47" s="172">
        <v>15</v>
      </c>
      <c r="F47" s="172">
        <v>1</v>
      </c>
      <c r="G47" s="180"/>
      <c r="H47" s="174">
        <f t="shared" si="13"/>
        <v>11.171524883810914</v>
      </c>
      <c r="I47" s="174">
        <f t="shared" si="14"/>
        <v>2.2889369030234974</v>
      </c>
      <c r="J47" s="140">
        <v>0</v>
      </c>
      <c r="K47" s="185">
        <v>0.92</v>
      </c>
      <c r="L47" s="184">
        <v>109.88856505561382</v>
      </c>
      <c r="M47" s="185">
        <f t="shared" si="4"/>
        <v>101.09747985116472</v>
      </c>
      <c r="N47" s="185">
        <f t="shared" si="5"/>
        <v>2.1058219507816176</v>
      </c>
      <c r="O47" s="185">
        <f t="shared" si="6"/>
        <v>0</v>
      </c>
      <c r="P47" s="819">
        <f>M47*'Table ES-1 Refresh ''13'!$D$8/Commercial!$M$3</f>
        <v>95.240739472989503</v>
      </c>
      <c r="Q47" s="819">
        <f>N47*'Table ES-1 Refresh ''13'!$G$8/Commercial!$N$3</f>
        <v>1.89985048224745</v>
      </c>
      <c r="R47" s="819">
        <f>O47*'Table ES-1 Refresh ''13'!$J$8/Commercial!$O$3</f>
        <v>0</v>
      </c>
    </row>
    <row r="48" spans="1:18">
      <c r="A48" s="177">
        <v>330</v>
      </c>
      <c r="B48" s="169" t="s">
        <v>144</v>
      </c>
      <c r="C48" s="170">
        <v>11.171524883810914</v>
      </c>
      <c r="D48" s="170">
        <v>2.2889369030234974</v>
      </c>
      <c r="E48" s="172">
        <v>10</v>
      </c>
      <c r="F48" s="172">
        <v>1</v>
      </c>
      <c r="G48" s="180"/>
      <c r="H48" s="174">
        <f t="shared" si="13"/>
        <v>43.42567568480905</v>
      </c>
      <c r="I48" s="174">
        <f t="shared" si="14"/>
        <v>8.9982440978885201</v>
      </c>
      <c r="J48" s="140">
        <v>0</v>
      </c>
      <c r="K48" s="185">
        <v>0.92</v>
      </c>
      <c r="L48" s="184">
        <v>11.171524883810914</v>
      </c>
      <c r="M48" s="185">
        <f t="shared" si="4"/>
        <v>10.277802893106042</v>
      </c>
      <c r="N48" s="185">
        <f t="shared" si="5"/>
        <v>8.2783845700574386</v>
      </c>
      <c r="O48" s="185">
        <f t="shared" si="6"/>
        <v>0</v>
      </c>
      <c r="P48" s="819">
        <f>M48*'Table ES-1 Refresh ''13'!$D$8/Commercial!$M$3</f>
        <v>9.6823931628971582</v>
      </c>
      <c r="Q48" s="819">
        <f>N48*'Table ES-1 Refresh ''13'!$G$8/Commercial!$N$3</f>
        <v>7.4686717515770171</v>
      </c>
      <c r="R48" s="819">
        <f>O48*'Table ES-1 Refresh ''13'!$J$8/Commercial!$O$3</f>
        <v>0</v>
      </c>
    </row>
    <row r="49" spans="1:18">
      <c r="A49" s="177">
        <v>332</v>
      </c>
      <c r="B49" s="176" t="s">
        <v>143</v>
      </c>
      <c r="C49" s="170">
        <v>43.42567568480905</v>
      </c>
      <c r="D49" s="170">
        <v>8.9982440978885201</v>
      </c>
      <c r="E49" s="172">
        <v>10</v>
      </c>
      <c r="F49" s="172">
        <v>1</v>
      </c>
      <c r="G49" s="180"/>
      <c r="H49" s="174">
        <f t="shared" si="13"/>
        <v>76.232190766591529</v>
      </c>
      <c r="I49" s="174">
        <f t="shared" si="14"/>
        <v>45.323327527694701</v>
      </c>
      <c r="J49" s="140">
        <v>-5.4889288997119969</v>
      </c>
      <c r="K49" s="185">
        <v>0.92</v>
      </c>
      <c r="L49" s="184">
        <v>43.42567568480905</v>
      </c>
      <c r="M49" s="185">
        <f t="shared" si="4"/>
        <v>39.951621630024327</v>
      </c>
      <c r="N49" s="185">
        <f t="shared" si="5"/>
        <v>41.697461325479125</v>
      </c>
      <c r="O49" s="185">
        <f t="shared" si="6"/>
        <v>-5.0498145877350371</v>
      </c>
      <c r="P49" s="819">
        <f>M49*'Table ES-1 Refresh ''13'!$D$8/Commercial!$M$3</f>
        <v>37.637159628413457</v>
      </c>
      <c r="Q49" s="819">
        <f>N49*'Table ES-1 Refresh ''13'!$G$8/Commercial!$N$3</f>
        <v>37.619012366312468</v>
      </c>
      <c r="R49" s="819">
        <f>O49*'Table ES-1 Refresh ''13'!$J$8/Commercial!$O$3</f>
        <v>-4.3548563221876897</v>
      </c>
    </row>
    <row r="50" spans="1:18">
      <c r="A50" s="177">
        <v>334</v>
      </c>
      <c r="B50" s="169" t="s">
        <v>142</v>
      </c>
      <c r="C50" s="170">
        <v>76.232190766591529</v>
      </c>
      <c r="D50" s="170">
        <v>45.323327527694701</v>
      </c>
      <c r="E50" s="172">
        <v>20</v>
      </c>
      <c r="F50" s="172">
        <v>1</v>
      </c>
      <c r="G50" s="180"/>
      <c r="H50" s="174">
        <f t="shared" si="13"/>
        <v>26.57923865093316</v>
      </c>
      <c r="I50" s="174">
        <f t="shared" si="14"/>
        <v>14.587894661307908</v>
      </c>
      <c r="J50" s="140">
        <v>21.755197213293457</v>
      </c>
      <c r="K50" s="185">
        <v>0.92</v>
      </c>
      <c r="L50" s="184">
        <v>76.232190766591529</v>
      </c>
      <c r="M50" s="185">
        <f t="shared" si="4"/>
        <v>70.133615505264203</v>
      </c>
      <c r="N50" s="185">
        <f t="shared" si="5"/>
        <v>13.420863088403276</v>
      </c>
      <c r="O50" s="185">
        <f t="shared" si="6"/>
        <v>20.014781436229981</v>
      </c>
      <c r="P50" s="819">
        <f>M50*'Table ES-1 Refresh ''13'!$D$8/Commercial!$M$3</f>
        <v>66.070661825293087</v>
      </c>
      <c r="Q50" s="819">
        <f>N50*'Table ES-1 Refresh ''13'!$G$8/Commercial!$N$3</f>
        <v>12.108161946557738</v>
      </c>
      <c r="R50" s="819">
        <f>O50*'Table ES-1 Refresh ''13'!$J$8/Commercial!$O$3</f>
        <v>17.260336188672813</v>
      </c>
    </row>
    <row r="51" spans="1:18">
      <c r="A51" s="168">
        <v>335</v>
      </c>
      <c r="B51" s="169" t="s">
        <v>141</v>
      </c>
      <c r="C51" s="170">
        <v>26.57923865093316</v>
      </c>
      <c r="D51" s="170">
        <v>14.587894661307908</v>
      </c>
      <c r="E51" s="172">
        <v>20</v>
      </c>
      <c r="F51" s="172">
        <v>1</v>
      </c>
      <c r="G51" s="180"/>
      <c r="H51" s="174">
        <f t="shared" si="13"/>
        <v>148.58809416626519</v>
      </c>
      <c r="I51" s="174">
        <f t="shared" si="14"/>
        <v>53.386519121727922</v>
      </c>
      <c r="J51" s="140">
        <v>7.5857052238801126</v>
      </c>
      <c r="K51" s="185">
        <v>0.92</v>
      </c>
      <c r="L51" s="184">
        <v>26.57923865093316</v>
      </c>
      <c r="M51" s="185">
        <f t="shared" si="4"/>
        <v>24.452899558858508</v>
      </c>
      <c r="N51" s="185">
        <f t="shared" si="5"/>
        <v>49.11559759198969</v>
      </c>
      <c r="O51" s="185">
        <f t="shared" si="6"/>
        <v>6.9788488059697036</v>
      </c>
      <c r="P51" s="819">
        <f>M51*'Table ES-1 Refresh ''13'!$D$8/Commercial!$M$3</f>
        <v>23.036303572285263</v>
      </c>
      <c r="Q51" s="819">
        <f>N51*'Table ES-1 Refresh ''13'!$G$8/Commercial!$N$3</f>
        <v>44.311577119033537</v>
      </c>
      <c r="R51" s="819">
        <f>O51*'Table ES-1 Refresh ''13'!$J$8/Commercial!$O$3</f>
        <v>6.0184157885885199</v>
      </c>
    </row>
    <row r="52" spans="1:18">
      <c r="A52" s="177">
        <v>336</v>
      </c>
      <c r="B52" s="176" t="s">
        <v>140</v>
      </c>
      <c r="C52" s="170">
        <v>148.58809416626519</v>
      </c>
      <c r="D52" s="170">
        <v>53.386519121727922</v>
      </c>
      <c r="E52" s="172">
        <v>15</v>
      </c>
      <c r="F52" s="172">
        <v>1</v>
      </c>
      <c r="G52" s="180"/>
      <c r="H52" s="174">
        <f t="shared" si="13"/>
        <v>6.0422088806867666</v>
      </c>
      <c r="I52" s="174">
        <f t="shared" si="14"/>
        <v>1.851458796821654</v>
      </c>
      <c r="J52" s="140">
        <v>0</v>
      </c>
      <c r="K52" s="185">
        <v>0.92</v>
      </c>
      <c r="L52" s="184">
        <v>148.58809416626519</v>
      </c>
      <c r="M52" s="185">
        <f t="shared" si="4"/>
        <v>136.70104663296399</v>
      </c>
      <c r="N52" s="185">
        <f t="shared" si="5"/>
        <v>1.7033420930759218</v>
      </c>
      <c r="O52" s="185">
        <f t="shared" si="6"/>
        <v>0</v>
      </c>
      <c r="P52" s="819">
        <f>M52*'Table ES-1 Refresh ''13'!$D$8/Commercial!$M$3</f>
        <v>128.78173409685758</v>
      </c>
      <c r="Q52" s="819">
        <f>N52*'Table ES-1 Refresh ''13'!$G$8/Commercial!$N$3</f>
        <v>1.5367373750480329</v>
      </c>
      <c r="R52" s="819">
        <f>O52*'Table ES-1 Refresh ''13'!$J$8/Commercial!$O$3</f>
        <v>0</v>
      </c>
    </row>
    <row r="53" spans="1:18">
      <c r="A53" s="396">
        <v>341</v>
      </c>
      <c r="B53" s="397" t="s">
        <v>147</v>
      </c>
      <c r="C53" s="170">
        <v>9.0633133210301491</v>
      </c>
      <c r="D53" s="170">
        <v>2.7771881952324811</v>
      </c>
      <c r="E53" s="172">
        <v>15</v>
      </c>
      <c r="F53" s="172">
        <v>2</v>
      </c>
      <c r="G53" s="180"/>
      <c r="H53" s="174">
        <f>IF(AND(F55=2,E55&gt;10),C55*10/E55,C55)</f>
        <v>6.1536195912529221</v>
      </c>
      <c r="I53" s="174">
        <f>IF(AND(F55=2,E55&gt;10),D55*10/E55,D55)</f>
        <v>2.3713500384282189</v>
      </c>
      <c r="J53" s="140">
        <v>0</v>
      </c>
      <c r="K53" s="185">
        <v>0</v>
      </c>
      <c r="L53" s="184">
        <v>0</v>
      </c>
      <c r="M53" s="185">
        <v>0</v>
      </c>
      <c r="N53" s="185">
        <v>0</v>
      </c>
      <c r="O53" s="185">
        <v>0</v>
      </c>
      <c r="P53" s="819">
        <f>M53*'Table ES-1 Refresh ''13'!$D$8/Commercial!$M$3</f>
        <v>0</v>
      </c>
      <c r="Q53" s="819">
        <f>N53*'Table ES-1 Refresh ''13'!$G$8/Commercial!$N$3</f>
        <v>0</v>
      </c>
      <c r="R53" s="819">
        <f>O53*'Table ES-1 Refresh ''13'!$J$8/Commercial!$O$3</f>
        <v>0</v>
      </c>
    </row>
    <row r="54" spans="1:18">
      <c r="A54" s="168" t="s">
        <v>438</v>
      </c>
      <c r="B54" s="176" t="s">
        <v>439</v>
      </c>
      <c r="C54" s="170">
        <v>9.0633133210301491</v>
      </c>
      <c r="D54" s="170">
        <v>2.7771881952324811</v>
      </c>
      <c r="E54" s="172">
        <v>15</v>
      </c>
      <c r="F54" s="172">
        <v>2</v>
      </c>
      <c r="G54" s="180"/>
      <c r="H54" s="174">
        <f>IF(AND(F56=2,E56&gt;10),C56*10/E56,C56)</f>
        <v>9.5252228048405385</v>
      </c>
      <c r="I54" s="174">
        <f>IF(AND(F56=2,E56&gt;10),D56*10/E56,D56)</f>
        <v>2.0496004567329464</v>
      </c>
      <c r="J54" s="140">
        <v>0</v>
      </c>
      <c r="K54" s="185">
        <v>1</v>
      </c>
      <c r="L54" s="184">
        <v>6.0422088806867666</v>
      </c>
      <c r="M54" s="185">
        <f t="shared" ref="M54" si="15">L54*K54</f>
        <v>6.0422088806867666</v>
      </c>
      <c r="N54" s="185">
        <f t="shared" ref="N54" si="16">I54*K54</f>
        <v>2.0496004567329464</v>
      </c>
      <c r="O54" s="185">
        <f t="shared" ref="O54" si="17">J54*K54</f>
        <v>0</v>
      </c>
      <c r="P54" s="819">
        <f>M54*'Table ES-1 Refresh ''13'!$D$8/Commercial!$M$3</f>
        <v>5.6921739562061111</v>
      </c>
      <c r="Q54" s="819">
        <f>N54*'Table ES-1 Refresh ''13'!$G$8/Commercial!$N$3</f>
        <v>1.8491280398579619</v>
      </c>
      <c r="R54" s="819">
        <f>O54*'Table ES-1 Refresh ''13'!$J$8/Commercial!$O$3</f>
        <v>0</v>
      </c>
    </row>
    <row r="55" spans="1:18">
      <c r="A55" s="168">
        <v>342</v>
      </c>
      <c r="B55" s="176" t="s">
        <v>146</v>
      </c>
      <c r="C55" s="170">
        <v>15.384048978132304</v>
      </c>
      <c r="D55" s="170">
        <v>5.9283750960705479</v>
      </c>
      <c r="E55" s="172">
        <v>25</v>
      </c>
      <c r="F55" s="172">
        <v>2</v>
      </c>
      <c r="G55" s="180"/>
      <c r="H55" s="174">
        <f t="shared" ref="H55:H102" si="18">IF(AND(F56=2,E56&gt;10),C56*10/E56,C56)</f>
        <v>9.5252228048405385</v>
      </c>
      <c r="I55" s="174">
        <f t="shared" ref="I55:I102" si="19">IF(AND(F56=2,E56&gt;10),D56*10/E56,D56)</f>
        <v>2.0496004567329464</v>
      </c>
      <c r="J55" s="140">
        <v>0</v>
      </c>
      <c r="K55" s="185">
        <v>0.94</v>
      </c>
      <c r="L55" s="184">
        <v>6.1536195912529221</v>
      </c>
      <c r="M55" s="185">
        <f t="shared" si="4"/>
        <v>5.7844024157777465</v>
      </c>
      <c r="N55" s="185">
        <f t="shared" si="5"/>
        <v>1.9266244293289696</v>
      </c>
      <c r="O55" s="185">
        <f t="shared" si="6"/>
        <v>0</v>
      </c>
      <c r="P55" s="819">
        <f>M55*'Table ES-1 Refresh ''13'!$D$8/Commercial!$M$3</f>
        <v>5.4493026364165358</v>
      </c>
      <c r="Q55" s="819">
        <f>N55*'Table ES-1 Refresh ''13'!$G$8/Commercial!$N$3</f>
        <v>1.7381803574664842</v>
      </c>
      <c r="R55" s="819">
        <f>O55*'Table ES-1 Refresh ''13'!$J$8/Commercial!$O$3</f>
        <v>0</v>
      </c>
    </row>
    <row r="56" spans="1:18">
      <c r="A56" s="168">
        <v>344</v>
      </c>
      <c r="B56" s="169" t="s">
        <v>145</v>
      </c>
      <c r="C56" s="170">
        <v>9.5252228048405385</v>
      </c>
      <c r="D56" s="170">
        <v>2.0496004567329464</v>
      </c>
      <c r="E56" s="172">
        <v>15</v>
      </c>
      <c r="F56" s="172">
        <v>1</v>
      </c>
      <c r="G56" s="180"/>
      <c r="H56" s="174">
        <f t="shared" si="18"/>
        <v>1.1960831190995662</v>
      </c>
      <c r="I56" s="174">
        <f t="shared" si="19"/>
        <v>0.25770338209562232</v>
      </c>
      <c r="J56" s="140">
        <v>6.7636815072187231E-2</v>
      </c>
      <c r="K56" s="185">
        <v>0.94</v>
      </c>
      <c r="L56" s="184">
        <v>9.5252228048405385</v>
      </c>
      <c r="M56" s="185">
        <f t="shared" si="4"/>
        <v>8.9537094365501062</v>
      </c>
      <c r="N56" s="185">
        <f t="shared" si="5"/>
        <v>0.24224117916988497</v>
      </c>
      <c r="O56" s="185">
        <f t="shared" si="6"/>
        <v>6.3578606167855989E-2</v>
      </c>
      <c r="P56" s="819">
        <f>M56*'Table ES-1 Refresh ''13'!$D$8/Commercial!$M$3</f>
        <v>8.4350065799735354</v>
      </c>
      <c r="Q56" s="819">
        <f>N56*'Table ES-1 Refresh ''13'!$G$8/Commercial!$N$3</f>
        <v>0.21854745169470588</v>
      </c>
      <c r="R56" s="819">
        <f>O56*'Table ES-1 Refresh ''13'!$J$8/Commercial!$O$3</f>
        <v>5.482888336107293E-2</v>
      </c>
    </row>
    <row r="57" spans="1:18">
      <c r="A57" s="168">
        <v>345</v>
      </c>
      <c r="B57" s="169" t="s">
        <v>144</v>
      </c>
      <c r="C57" s="170">
        <v>1.1960831190995662</v>
      </c>
      <c r="D57" s="170">
        <v>0.25770338209562232</v>
      </c>
      <c r="E57" s="172">
        <v>10</v>
      </c>
      <c r="F57" s="172">
        <v>1</v>
      </c>
      <c r="G57" s="180"/>
      <c r="H57" s="174">
        <f t="shared" si="18"/>
        <v>2.7941112465922555</v>
      </c>
      <c r="I57" s="174">
        <f t="shared" si="19"/>
        <v>0.59961507572382966</v>
      </c>
      <c r="J57" s="140">
        <v>6.4425845523905581E-3</v>
      </c>
      <c r="K57" s="185">
        <v>0.94</v>
      </c>
      <c r="L57" s="184">
        <v>1.1960831190995662</v>
      </c>
      <c r="M57" s="185">
        <f t="shared" si="4"/>
        <v>1.1243181319535922</v>
      </c>
      <c r="N57" s="185">
        <f t="shared" si="5"/>
        <v>0.56363817118039983</v>
      </c>
      <c r="O57" s="185">
        <f t="shared" si="6"/>
        <v>6.0560294792471239E-3</v>
      </c>
      <c r="P57" s="819">
        <f>M57*'Table ES-1 Refresh ''13'!$D$8/Commercial!$M$3</f>
        <v>1.0591845657062307</v>
      </c>
      <c r="Q57" s="819">
        <f>N57*'Table ES-1 Refresh ''13'!$G$8/Commercial!$N$3</f>
        <v>0.50850844770266268</v>
      </c>
      <c r="R57" s="819">
        <f>O57*'Table ES-1 Refresh ''13'!$J$8/Commercial!$O$3</f>
        <v>5.2225953659980505E-3</v>
      </c>
    </row>
    <row r="58" spans="1:18">
      <c r="A58" s="168">
        <v>347</v>
      </c>
      <c r="B58" s="176" t="s">
        <v>143</v>
      </c>
      <c r="C58" s="170">
        <v>2.7941112465922555</v>
      </c>
      <c r="D58" s="170">
        <v>0.59961507572382966</v>
      </c>
      <c r="E58" s="172">
        <v>10</v>
      </c>
      <c r="F58" s="172">
        <v>1</v>
      </c>
      <c r="G58" s="180"/>
      <c r="H58" s="174">
        <f t="shared" si="18"/>
        <v>6.5970398735143609</v>
      </c>
      <c r="I58" s="174">
        <f t="shared" si="19"/>
        <v>4.1361684012246167</v>
      </c>
      <c r="J58" s="140">
        <v>-2.4584218104677018E-2</v>
      </c>
      <c r="K58" s="185">
        <v>0.94</v>
      </c>
      <c r="L58" s="184">
        <v>2.7941112465922555</v>
      </c>
      <c r="M58" s="185">
        <f t="shared" si="4"/>
        <v>2.6264645717967201</v>
      </c>
      <c r="N58" s="185">
        <f t="shared" si="5"/>
        <v>3.8879982971511393</v>
      </c>
      <c r="O58" s="185">
        <f t="shared" si="6"/>
        <v>-2.3109165018396396E-2</v>
      </c>
      <c r="P58" s="819">
        <f>M58*'Table ES-1 Refresh ''13'!$D$8/Commercial!$M$3</f>
        <v>2.4743092348671092</v>
      </c>
      <c r="Q58" s="819">
        <f>N58*'Table ES-1 Refresh ''13'!$G$8/Commercial!$N$3</f>
        <v>3.5077112939572919</v>
      </c>
      <c r="R58" s="819">
        <f>O58*'Table ES-1 Refresh ''13'!$J$8/Commercial!$O$3</f>
        <v>-1.992886899754082E-2</v>
      </c>
    </row>
    <row r="59" spans="1:18">
      <c r="A59" s="168">
        <v>349</v>
      </c>
      <c r="B59" s="169" t="s">
        <v>142</v>
      </c>
      <c r="C59" s="170">
        <v>6.5970398735143609</v>
      </c>
      <c r="D59" s="170">
        <v>4.1361684012246167</v>
      </c>
      <c r="E59" s="172">
        <v>20</v>
      </c>
      <c r="F59" s="172">
        <v>1</v>
      </c>
      <c r="G59" s="180"/>
      <c r="H59" s="174">
        <f t="shared" si="18"/>
        <v>2.3190830662250681</v>
      </c>
      <c r="I59" s="174">
        <f t="shared" si="19"/>
        <v>1.3423529883458283</v>
      </c>
      <c r="J59" s="140">
        <v>0.13235738883918774</v>
      </c>
      <c r="K59" s="185">
        <v>0.94</v>
      </c>
      <c r="L59" s="184">
        <v>6.5970398735143609</v>
      </c>
      <c r="M59" s="185">
        <f t="shared" si="4"/>
        <v>6.201217481103499</v>
      </c>
      <c r="N59" s="185">
        <f t="shared" si="5"/>
        <v>1.2618118090450785</v>
      </c>
      <c r="O59" s="185">
        <f t="shared" si="6"/>
        <v>0.12441594550883647</v>
      </c>
      <c r="P59" s="819">
        <f>M59*'Table ES-1 Refresh ''13'!$D$8/Commercial!$M$3</f>
        <v>5.8419709314477268</v>
      </c>
      <c r="Q59" s="819">
        <f>N59*'Table ES-1 Refresh ''13'!$G$8/Commercial!$N$3</f>
        <v>1.1383933827026693</v>
      </c>
      <c r="R59" s="819">
        <f>O59*'Table ES-1 Refresh ''13'!$J$8/Commercial!$O$3</f>
        <v>0.10729375454617078</v>
      </c>
    </row>
    <row r="60" spans="1:18">
      <c r="A60" s="168">
        <v>350</v>
      </c>
      <c r="B60" s="169" t="s">
        <v>141</v>
      </c>
      <c r="C60" s="170">
        <v>2.3190830662250681</v>
      </c>
      <c r="D60" s="170">
        <v>1.3423529883458283</v>
      </c>
      <c r="E60" s="172">
        <v>20</v>
      </c>
      <c r="F60" s="172">
        <v>1</v>
      </c>
      <c r="G60" s="180"/>
      <c r="H60" s="174">
        <f t="shared" si="18"/>
        <v>11.906452396314004</v>
      </c>
      <c r="I60" s="174">
        <f t="shared" si="19"/>
        <v>4.55575374046989</v>
      </c>
      <c r="J60" s="140">
        <v>4.8324707580449815E-2</v>
      </c>
      <c r="K60" s="185">
        <v>0.94</v>
      </c>
      <c r="L60" s="184">
        <v>2.3190830662250681</v>
      </c>
      <c r="M60" s="185">
        <f t="shared" si="4"/>
        <v>2.1799380822515637</v>
      </c>
      <c r="N60" s="185">
        <f t="shared" si="5"/>
        <v>4.2824085160416967</v>
      </c>
      <c r="O60" s="185">
        <f t="shared" si="6"/>
        <v>4.5425225125622824E-2</v>
      </c>
      <c r="P60" s="819">
        <f>M60*'Table ES-1 Refresh ''13'!$D$8/Commercial!$M$3</f>
        <v>2.0536507464342852</v>
      </c>
      <c r="Q60" s="819">
        <f>N60*'Table ES-1 Refresh ''13'!$G$8/Commercial!$N$3</f>
        <v>3.863544057636302</v>
      </c>
      <c r="R60" s="819">
        <f>O60*'Table ES-1 Refresh ''13'!$J$8/Commercial!$O$3</f>
        <v>3.9173780618714724E-2</v>
      </c>
    </row>
    <row r="61" spans="1:18">
      <c r="A61" s="168">
        <v>351</v>
      </c>
      <c r="B61" s="176" t="s">
        <v>140</v>
      </c>
      <c r="C61" s="170">
        <v>11.906452396314004</v>
      </c>
      <c r="D61" s="170">
        <v>4.55575374046989</v>
      </c>
      <c r="E61" s="172">
        <v>15</v>
      </c>
      <c r="F61" s="172">
        <v>1</v>
      </c>
      <c r="G61" s="180"/>
      <c r="H61" s="174">
        <f t="shared" si="18"/>
        <v>39.474470207159499</v>
      </c>
      <c r="I61" s="174">
        <f t="shared" si="19"/>
        <v>6.0202063330162368</v>
      </c>
      <c r="J61" s="140">
        <v>0</v>
      </c>
      <c r="K61" s="185">
        <v>0.94</v>
      </c>
      <c r="L61" s="184">
        <v>11.906452396314004</v>
      </c>
      <c r="M61" s="185">
        <f t="shared" si="4"/>
        <v>11.192065252535162</v>
      </c>
      <c r="N61" s="185">
        <f t="shared" si="5"/>
        <v>5.658993953035262</v>
      </c>
      <c r="O61" s="185">
        <f t="shared" si="6"/>
        <v>0</v>
      </c>
      <c r="P61" s="819">
        <f>M61*'Table ES-1 Refresh ''13'!$D$8/Commercial!$M$3</f>
        <v>10.543690826424882</v>
      </c>
      <c r="Q61" s="819">
        <f>N61*'Table ES-1 Refresh ''13'!$G$8/Commercial!$N$3</f>
        <v>5.1054850039524515</v>
      </c>
      <c r="R61" s="819">
        <f>O61*'Table ES-1 Refresh ''13'!$J$8/Commercial!$O$3</f>
        <v>0</v>
      </c>
    </row>
    <row r="62" spans="1:18">
      <c r="A62" s="168">
        <v>361</v>
      </c>
      <c r="B62" s="169" t="s">
        <v>138</v>
      </c>
      <c r="C62" s="170">
        <v>59.211705310739255</v>
      </c>
      <c r="D62" s="170">
        <v>9.0303094995243551</v>
      </c>
      <c r="E62" s="172">
        <v>15</v>
      </c>
      <c r="F62" s="172">
        <v>2</v>
      </c>
      <c r="G62" s="180"/>
      <c r="H62" s="174">
        <f t="shared" si="18"/>
        <v>51.808577902384954</v>
      </c>
      <c r="I62" s="174">
        <f t="shared" si="19"/>
        <v>2.708887193125983</v>
      </c>
      <c r="J62" s="140">
        <v>0</v>
      </c>
      <c r="K62" s="185">
        <v>1</v>
      </c>
      <c r="L62" s="184">
        <v>39.474470207159499</v>
      </c>
      <c r="M62" s="185">
        <f t="shared" si="4"/>
        <v>39.474470207159499</v>
      </c>
      <c r="N62" s="185">
        <f t="shared" si="5"/>
        <v>2.708887193125983</v>
      </c>
      <c r="O62" s="185">
        <f t="shared" si="6"/>
        <v>0</v>
      </c>
      <c r="P62" s="819">
        <f>M62*'Table ES-1 Refresh ''13'!$D$8/Commercial!$M$3</f>
        <v>37.187650358537113</v>
      </c>
      <c r="Q62" s="819">
        <f>N62*'Table ES-1 Refresh ''13'!$G$8/Commercial!$N$3</f>
        <v>2.4439296201201257</v>
      </c>
      <c r="R62" s="819">
        <f>O62*'Table ES-1 Refresh ''13'!$J$8/Commercial!$O$3</f>
        <v>0</v>
      </c>
    </row>
    <row r="63" spans="1:18">
      <c r="A63" s="177">
        <v>362</v>
      </c>
      <c r="B63" s="169" t="s">
        <v>137</v>
      </c>
      <c r="C63" s="170">
        <v>51.808577902384954</v>
      </c>
      <c r="D63" s="170">
        <v>2.708887193125983</v>
      </c>
      <c r="E63" s="172">
        <v>15</v>
      </c>
      <c r="F63" s="172">
        <v>1</v>
      </c>
      <c r="G63" s="180"/>
      <c r="H63" s="174">
        <f t="shared" si="18"/>
        <v>7.6190969525864496</v>
      </c>
      <c r="I63" s="174">
        <f t="shared" si="19"/>
        <v>1.0154988731014429</v>
      </c>
      <c r="J63" s="140">
        <v>0.35215533510637781</v>
      </c>
      <c r="K63" s="185">
        <v>1</v>
      </c>
      <c r="L63" s="184">
        <v>51.808577902384954</v>
      </c>
      <c r="M63" s="185">
        <f t="shared" si="4"/>
        <v>51.808577902384954</v>
      </c>
      <c r="N63" s="185">
        <f t="shared" si="5"/>
        <v>1.0154988731014429</v>
      </c>
      <c r="O63" s="185">
        <f t="shared" si="6"/>
        <v>0.35215533510637781</v>
      </c>
      <c r="P63" s="819">
        <f>M63*'Table ES-1 Refresh ''13'!$D$8/Commercial!$M$3</f>
        <v>48.807223263442005</v>
      </c>
      <c r="Q63" s="819">
        <f>N63*'Table ES-1 Refresh ''13'!$G$8/Commercial!$N$3</f>
        <v>0.91617243474331811</v>
      </c>
      <c r="R63" s="819">
        <f>O63*'Table ES-1 Refresh ''13'!$J$8/Commercial!$O$3</f>
        <v>0.30369152388384701</v>
      </c>
    </row>
    <row r="64" spans="1:18">
      <c r="A64" s="168">
        <v>401</v>
      </c>
      <c r="B64" s="176" t="s">
        <v>403</v>
      </c>
      <c r="C64" s="170">
        <v>11.428645428879674</v>
      </c>
      <c r="D64" s="170">
        <v>1.5232483096521645</v>
      </c>
      <c r="E64" s="172">
        <v>15</v>
      </c>
      <c r="F64" s="172">
        <v>2</v>
      </c>
      <c r="G64" s="180"/>
      <c r="H64" s="174">
        <f t="shared" si="18"/>
        <v>76.202897310091927</v>
      </c>
      <c r="I64" s="174">
        <f t="shared" si="19"/>
        <v>2.8044568078452361</v>
      </c>
      <c r="J64" s="140">
        <v>1.5537132758452079</v>
      </c>
      <c r="K64" s="185">
        <v>1</v>
      </c>
      <c r="L64" s="184">
        <v>7.6190969525864496</v>
      </c>
      <c r="M64" s="185">
        <f t="shared" si="4"/>
        <v>7.6190969525864496</v>
      </c>
      <c r="N64" s="185">
        <f t="shared" si="5"/>
        <v>2.8044568078452361</v>
      </c>
      <c r="O64" s="185">
        <f t="shared" si="6"/>
        <v>1.5537132758452079</v>
      </c>
      <c r="P64" s="819">
        <f>M64*'Table ES-1 Refresh ''13'!$D$8/Commercial!$M$3</f>
        <v>7.1777103538983456</v>
      </c>
      <c r="Q64" s="819">
        <f>N64*'Table ES-1 Refresh ''13'!$G$8/Commercial!$N$3</f>
        <v>2.530151524372374</v>
      </c>
      <c r="R64" s="819">
        <f>O64*'Table ES-1 Refresh ''13'!$J$8/Commercial!$O$3</f>
        <v>1.3398903988703181</v>
      </c>
    </row>
    <row r="65" spans="1:18">
      <c r="A65" s="168">
        <v>402</v>
      </c>
      <c r="B65" s="176" t="s">
        <v>135</v>
      </c>
      <c r="C65" s="170">
        <v>76.202897310091927</v>
      </c>
      <c r="D65" s="170">
        <v>2.8044568078452361</v>
      </c>
      <c r="E65" s="172">
        <v>15</v>
      </c>
      <c r="F65" s="172">
        <v>1</v>
      </c>
      <c r="G65" s="180"/>
      <c r="H65" s="174">
        <f t="shared" si="18"/>
        <v>55.237168823033365</v>
      </c>
      <c r="I65" s="174">
        <f t="shared" si="19"/>
        <v>1.8780802293583962</v>
      </c>
      <c r="J65" s="140">
        <v>4.2683832615404498</v>
      </c>
      <c r="K65" s="185">
        <v>1</v>
      </c>
      <c r="L65" s="184">
        <v>76.202897310091927</v>
      </c>
      <c r="M65" s="185">
        <f t="shared" si="4"/>
        <v>76.202897310091927</v>
      </c>
      <c r="N65" s="185">
        <f t="shared" si="5"/>
        <v>1.8780802293583962</v>
      </c>
      <c r="O65" s="185">
        <f t="shared" si="6"/>
        <v>4.2683832615404498</v>
      </c>
      <c r="P65" s="819">
        <f>M65*'Table ES-1 Refresh ''13'!$D$8/Commercial!$M$3</f>
        <v>71.788340327395645</v>
      </c>
      <c r="Q65" s="819">
        <f>N65*'Table ES-1 Refresh ''13'!$G$8/Commercial!$N$3</f>
        <v>1.6943842892897902</v>
      </c>
      <c r="R65" s="819">
        <f>O65*'Table ES-1 Refresh ''13'!$J$8/Commercial!$O$3</f>
        <v>3.6809660056007703</v>
      </c>
    </row>
    <row r="66" spans="1:18">
      <c r="A66" s="168">
        <v>403</v>
      </c>
      <c r="B66" s="176" t="s">
        <v>134</v>
      </c>
      <c r="C66" s="170">
        <v>55.237168823033365</v>
      </c>
      <c r="D66" s="170">
        <v>1.8780802293583962</v>
      </c>
      <c r="E66" s="172">
        <v>8</v>
      </c>
      <c r="F66" s="172">
        <v>1</v>
      </c>
      <c r="G66" s="180"/>
      <c r="H66" s="174">
        <f t="shared" si="18"/>
        <v>94.604304553634151</v>
      </c>
      <c r="I66" s="174">
        <f t="shared" si="19"/>
        <v>12.344600548068533</v>
      </c>
      <c r="J66" s="140">
        <v>2.0846690545878199</v>
      </c>
      <c r="K66" s="185">
        <v>1</v>
      </c>
      <c r="L66" s="184">
        <v>55.237168823033365</v>
      </c>
      <c r="M66" s="185">
        <f t="shared" si="4"/>
        <v>55.237168823033365</v>
      </c>
      <c r="N66" s="185">
        <f t="shared" si="5"/>
        <v>12.344600548068533</v>
      </c>
      <c r="O66" s="185">
        <f t="shared" si="6"/>
        <v>2.0846690545878199</v>
      </c>
      <c r="P66" s="819">
        <f>M66*'Table ES-1 Refresh ''13'!$D$8/Commercial!$M$3</f>
        <v>52.037190371560492</v>
      </c>
      <c r="Q66" s="819">
        <f>N66*'Table ES-1 Refresh ''13'!$G$8/Commercial!$N$3</f>
        <v>11.137169168407201</v>
      </c>
      <c r="R66" s="819">
        <f>O66*'Table ES-1 Refresh ''13'!$J$8/Commercial!$O$3</f>
        <v>1.7977757508345862</v>
      </c>
    </row>
    <row r="67" spans="1:18">
      <c r="A67" s="168">
        <v>404</v>
      </c>
      <c r="B67" s="169" t="s">
        <v>14</v>
      </c>
      <c r="C67" s="170">
        <v>141.90645683045122</v>
      </c>
      <c r="D67" s="170">
        <v>18.516900822102798</v>
      </c>
      <c r="E67" s="172">
        <v>15</v>
      </c>
      <c r="F67" s="172">
        <v>2</v>
      </c>
      <c r="G67" s="180"/>
      <c r="H67" s="174">
        <f t="shared" si="18"/>
        <v>61.8371915924509</v>
      </c>
      <c r="I67" s="174">
        <f t="shared" si="19"/>
        <v>32.791134381879694</v>
      </c>
      <c r="J67" s="140">
        <v>0</v>
      </c>
      <c r="K67" s="185">
        <v>1</v>
      </c>
      <c r="L67" s="184">
        <v>94.604304553634151</v>
      </c>
      <c r="M67" s="185">
        <f t="shared" si="4"/>
        <v>94.604304553634151</v>
      </c>
      <c r="N67" s="185">
        <f t="shared" si="5"/>
        <v>32.791134381879694</v>
      </c>
      <c r="O67" s="185">
        <f t="shared" si="6"/>
        <v>0</v>
      </c>
      <c r="P67" s="819">
        <f>M67*'Table ES-1 Refresh ''13'!$D$8/Commercial!$M$3</f>
        <v>89.123724313215121</v>
      </c>
      <c r="Q67" s="819">
        <f>N67*'Table ES-1 Refresh ''13'!$G$8/Commercial!$N$3</f>
        <v>29.58381758995904</v>
      </c>
      <c r="R67" s="819">
        <f>O67*'Table ES-1 Refresh ''13'!$J$8/Commercial!$O$3</f>
        <v>0</v>
      </c>
    </row>
    <row r="68" spans="1:18">
      <c r="A68" s="168">
        <v>405</v>
      </c>
      <c r="B68" s="169" t="s">
        <v>133</v>
      </c>
      <c r="C68" s="170">
        <v>61.8371915924509</v>
      </c>
      <c r="D68" s="170">
        <v>32.791134381879694</v>
      </c>
      <c r="E68" s="172">
        <v>15</v>
      </c>
      <c r="F68" s="172">
        <v>1</v>
      </c>
      <c r="G68" s="180"/>
      <c r="H68" s="174">
        <f t="shared" si="18"/>
        <v>29.444865607543228</v>
      </c>
      <c r="I68" s="174">
        <f t="shared" si="19"/>
        <v>21.250286751211718</v>
      </c>
      <c r="J68" s="140">
        <v>85.912772080524803</v>
      </c>
      <c r="K68" s="185">
        <v>1</v>
      </c>
      <c r="L68" s="184">
        <v>61.8371915924509</v>
      </c>
      <c r="M68" s="185">
        <f t="shared" si="4"/>
        <v>61.8371915924509</v>
      </c>
      <c r="N68" s="185">
        <f t="shared" si="5"/>
        <v>21.250286751211718</v>
      </c>
      <c r="O68" s="185">
        <f t="shared" si="6"/>
        <v>85.912772080524803</v>
      </c>
      <c r="P68" s="819">
        <f>M68*'Table ES-1 Refresh ''13'!$D$8/Commercial!$M$3</f>
        <v>58.254863156513217</v>
      </c>
      <c r="Q68" s="819">
        <f>N68*'Table ES-1 Refresh ''13'!$G$8/Commercial!$N$3</f>
        <v>19.171785875439838</v>
      </c>
      <c r="R68" s="819">
        <f>O68*'Table ES-1 Refresh ''13'!$J$8/Commercial!$O$3</f>
        <v>74.089409056769597</v>
      </c>
    </row>
    <row r="69" spans="1:18">
      <c r="A69" s="168">
        <v>406</v>
      </c>
      <c r="B69" s="169" t="s">
        <v>132</v>
      </c>
      <c r="C69" s="170">
        <v>29.444865607543228</v>
      </c>
      <c r="D69" s="170">
        <v>21.250286751211718</v>
      </c>
      <c r="E69" s="172">
        <v>20</v>
      </c>
      <c r="F69" s="172">
        <v>1</v>
      </c>
      <c r="G69" s="180"/>
      <c r="H69" s="174">
        <f t="shared" si="18"/>
        <v>36.903522397129905</v>
      </c>
      <c r="I69" s="174">
        <f t="shared" si="19"/>
        <v>4.8436995063175114</v>
      </c>
      <c r="J69" s="140">
        <v>39.950539092278028</v>
      </c>
      <c r="K69" s="185">
        <v>1</v>
      </c>
      <c r="L69" s="184">
        <v>29.444865607543228</v>
      </c>
      <c r="M69" s="185">
        <f t="shared" si="4"/>
        <v>29.444865607543228</v>
      </c>
      <c r="N69" s="185">
        <f t="shared" si="5"/>
        <v>4.8436995063175114</v>
      </c>
      <c r="O69" s="185">
        <f t="shared" si="6"/>
        <v>39.950539092278028</v>
      </c>
      <c r="P69" s="819">
        <f>M69*'Table ES-1 Refresh ''13'!$D$8/Commercial!$M$3</f>
        <v>27.739076960907106</v>
      </c>
      <c r="Q69" s="819">
        <f>N69*'Table ES-1 Refresh ''13'!$G$8/Commercial!$N$3</f>
        <v>4.3699349033394972</v>
      </c>
      <c r="R69" s="819">
        <f>O69*'Table ES-1 Refresh ''13'!$J$8/Commercial!$O$3</f>
        <v>34.452523893327161</v>
      </c>
    </row>
    <row r="70" spans="1:18">
      <c r="A70" s="168">
        <v>407</v>
      </c>
      <c r="B70" s="169" t="s">
        <v>131</v>
      </c>
      <c r="C70" s="170">
        <v>36.903522397129905</v>
      </c>
      <c r="D70" s="170">
        <v>4.8436995063175114</v>
      </c>
      <c r="E70" s="172">
        <v>15</v>
      </c>
      <c r="F70" s="172">
        <v>1</v>
      </c>
      <c r="G70" s="180"/>
      <c r="H70" s="174">
        <f t="shared" si="18"/>
        <v>44.931350617307913</v>
      </c>
      <c r="I70" s="174">
        <f t="shared" si="19"/>
        <v>5.5700664633884918</v>
      </c>
      <c r="J70" s="140">
        <v>1.8406058124006544</v>
      </c>
      <c r="K70" s="185">
        <v>1</v>
      </c>
      <c r="L70" s="184">
        <v>36.903522397129905</v>
      </c>
      <c r="M70" s="185">
        <f t="shared" si="4"/>
        <v>36.903522397129905</v>
      </c>
      <c r="N70" s="185">
        <f t="shared" si="5"/>
        <v>5.5700664633884918</v>
      </c>
      <c r="O70" s="185">
        <f t="shared" si="6"/>
        <v>1.8406058124006544</v>
      </c>
      <c r="P70" s="819">
        <f>M70*'Table ES-1 Refresh ''13'!$D$8/Commercial!$M$3</f>
        <v>34.765641709714586</v>
      </c>
      <c r="Q70" s="819">
        <f>N70*'Table ES-1 Refresh ''13'!$G$8/Commercial!$N$3</f>
        <v>5.0252555552909621</v>
      </c>
      <c r="R70" s="819">
        <f>O70*'Table ES-1 Refresh ''13'!$J$8/Commercial!$O$3</f>
        <v>1.5873006264936105</v>
      </c>
    </row>
    <row r="71" spans="1:18">
      <c r="A71" s="168">
        <v>501</v>
      </c>
      <c r="B71" s="176" t="s">
        <v>129</v>
      </c>
      <c r="C71" s="170">
        <v>44.931350617307913</v>
      </c>
      <c r="D71" s="170">
        <v>5.5700664633884918</v>
      </c>
      <c r="E71" s="172">
        <v>16</v>
      </c>
      <c r="F71" s="172">
        <v>1</v>
      </c>
      <c r="G71" s="180"/>
      <c r="H71" s="174">
        <f t="shared" si="18"/>
        <v>13.182247335732022</v>
      </c>
      <c r="I71" s="174">
        <f t="shared" si="19"/>
        <v>1.63418176369194</v>
      </c>
      <c r="J71" s="140">
        <v>4.5674544999785631</v>
      </c>
      <c r="K71" s="185">
        <v>1</v>
      </c>
      <c r="L71" s="184">
        <v>44.931350617307913</v>
      </c>
      <c r="M71" s="185">
        <f t="shared" si="4"/>
        <v>44.931350617307913</v>
      </c>
      <c r="N71" s="185">
        <f t="shared" si="5"/>
        <v>1.63418176369194</v>
      </c>
      <c r="O71" s="185">
        <f t="shared" si="6"/>
        <v>4.5674544999785631</v>
      </c>
      <c r="P71" s="819">
        <f>M71*'Table ES-1 Refresh ''13'!$D$8/Commercial!$M$3</f>
        <v>42.328404868375841</v>
      </c>
      <c r="Q71" s="819">
        <f>N71*'Table ES-1 Refresh ''13'!$G$8/Commercial!$N$3</f>
        <v>1.4743416510962617</v>
      </c>
      <c r="R71" s="819">
        <f>O71*'Table ES-1 Refresh ''13'!$J$8/Commercial!$O$3</f>
        <v>3.9388788954442933</v>
      </c>
    </row>
    <row r="72" spans="1:18">
      <c r="A72" s="168">
        <v>502</v>
      </c>
      <c r="B72" s="176" t="s">
        <v>128</v>
      </c>
      <c r="C72" s="170">
        <v>13.182247335732022</v>
      </c>
      <c r="D72" s="170">
        <v>1.63418176369194</v>
      </c>
      <c r="E72" s="172">
        <v>4</v>
      </c>
      <c r="F72" s="172">
        <v>1</v>
      </c>
      <c r="G72" s="180"/>
      <c r="H72" s="174">
        <f t="shared" si="18"/>
        <v>11.936668215011046</v>
      </c>
      <c r="I72" s="174">
        <f t="shared" si="19"/>
        <v>0</v>
      </c>
      <c r="J72" s="140">
        <v>1.3400290462273907</v>
      </c>
      <c r="K72" s="185">
        <v>1</v>
      </c>
      <c r="L72" s="184">
        <v>13.182247335732022</v>
      </c>
      <c r="M72" s="185">
        <f t="shared" si="4"/>
        <v>13.182247335732022</v>
      </c>
      <c r="N72" s="185">
        <f t="shared" si="5"/>
        <v>0</v>
      </c>
      <c r="O72" s="185">
        <f t="shared" si="6"/>
        <v>1.3400290462273907</v>
      </c>
      <c r="P72" s="819">
        <f>M72*'Table ES-1 Refresh ''13'!$D$8/Commercial!$M$3</f>
        <v>12.418578445469523</v>
      </c>
      <c r="Q72" s="819">
        <f>N72*'Table ES-1 Refresh ''13'!$G$8/Commercial!$N$3</f>
        <v>0</v>
      </c>
      <c r="R72" s="819">
        <f>O72*'Table ES-1 Refresh ''13'!$J$8/Commercial!$O$3</f>
        <v>1.1556135106528562</v>
      </c>
    </row>
    <row r="73" spans="1:18">
      <c r="A73" s="168">
        <v>503</v>
      </c>
      <c r="B73" s="176" t="s">
        <v>127</v>
      </c>
      <c r="C73" s="170">
        <v>11.936668215011046</v>
      </c>
      <c r="D73" s="170">
        <v>0</v>
      </c>
      <c r="E73" s="172">
        <v>5</v>
      </c>
      <c r="F73" s="172">
        <v>1</v>
      </c>
      <c r="G73" s="180"/>
      <c r="H73" s="174">
        <f t="shared" si="18"/>
        <v>1.470139761373922</v>
      </c>
      <c r="I73" s="174">
        <f t="shared" si="19"/>
        <v>0.18225083530359068</v>
      </c>
      <c r="J73" s="140">
        <v>14.4</v>
      </c>
      <c r="K73" s="185">
        <v>1</v>
      </c>
      <c r="L73" s="184">
        <v>11.936668215011046</v>
      </c>
      <c r="M73" s="185">
        <f t="shared" si="4"/>
        <v>11.936668215011046</v>
      </c>
      <c r="N73" s="185">
        <f t="shared" si="5"/>
        <v>0.18225083530359068</v>
      </c>
      <c r="O73" s="185">
        <f t="shared" si="6"/>
        <v>14.4</v>
      </c>
      <c r="P73" s="819">
        <f>M73*'Table ES-1 Refresh ''13'!$D$8/Commercial!$M$3</f>
        <v>11.245157736029206</v>
      </c>
      <c r="Q73" s="819">
        <f>N73*'Table ES-1 Refresh ''13'!$G$8/Commercial!$N$3</f>
        <v>0.16442479252009412</v>
      </c>
      <c r="R73" s="819">
        <f>O73*'Table ES-1 Refresh ''13'!$J$8/Commercial!$O$3</f>
        <v>12.418264066924809</v>
      </c>
    </row>
    <row r="74" spans="1:18">
      <c r="A74" s="168">
        <v>504</v>
      </c>
      <c r="B74" s="176" t="s">
        <v>126</v>
      </c>
      <c r="C74" s="170">
        <v>1.470139761373922</v>
      </c>
      <c r="D74" s="170">
        <v>0.18225083530359068</v>
      </c>
      <c r="E74" s="172">
        <v>5</v>
      </c>
      <c r="F74" s="172">
        <v>1</v>
      </c>
      <c r="G74" s="180"/>
      <c r="H74" s="174">
        <f t="shared" si="18"/>
        <v>24.344413810578807</v>
      </c>
      <c r="I74" s="174">
        <f t="shared" si="19"/>
        <v>3.0179373883526748</v>
      </c>
      <c r="J74" s="140">
        <v>0.14944568494894434</v>
      </c>
      <c r="K74" s="185">
        <v>1</v>
      </c>
      <c r="L74" s="184">
        <v>1.470139761373922</v>
      </c>
      <c r="M74" s="185">
        <f t="shared" si="4"/>
        <v>1.470139761373922</v>
      </c>
      <c r="N74" s="185">
        <f t="shared" si="5"/>
        <v>3.0179373883526748</v>
      </c>
      <c r="O74" s="185">
        <f t="shared" si="6"/>
        <v>0.14944568494894434</v>
      </c>
      <c r="P74" s="819">
        <f>M74*'Table ES-1 Refresh ''13'!$D$8/Commercial!$M$3</f>
        <v>1.3849721892971951</v>
      </c>
      <c r="Q74" s="819">
        <f>N74*'Table ES-1 Refresh ''13'!$G$8/Commercial!$N$3</f>
        <v>2.7227514655388072</v>
      </c>
      <c r="R74" s="819">
        <f>O74*'Table ES-1 Refresh ''13'!$J$8/Commercial!$O$3</f>
        <v>0.12887888745544732</v>
      </c>
    </row>
    <row r="75" spans="1:18">
      <c r="A75" s="168">
        <v>505</v>
      </c>
      <c r="B75" s="176" t="s">
        <v>404</v>
      </c>
      <c r="C75" s="170">
        <v>24.344413810578807</v>
      </c>
      <c r="D75" s="170">
        <v>3.0179373883526748</v>
      </c>
      <c r="E75" s="172">
        <v>10</v>
      </c>
      <c r="F75" s="172">
        <v>2</v>
      </c>
      <c r="G75" s="180"/>
      <c r="H75" s="174">
        <f t="shared" si="18"/>
        <v>10.111255016260369</v>
      </c>
      <c r="I75" s="174">
        <f t="shared" si="19"/>
        <v>0.62680867104111215</v>
      </c>
      <c r="J75" s="140">
        <v>2.4747086584491931</v>
      </c>
      <c r="K75" s="185">
        <v>1</v>
      </c>
      <c r="L75" s="184">
        <v>24.344413810578807</v>
      </c>
      <c r="M75" s="185">
        <f t="shared" si="4"/>
        <v>24.344413810578807</v>
      </c>
      <c r="N75" s="185">
        <f t="shared" si="5"/>
        <v>0.62680867104111215</v>
      </c>
      <c r="O75" s="185">
        <f t="shared" si="6"/>
        <v>2.4747086584491931</v>
      </c>
      <c r="P75" s="819">
        <f>M75*'Table ES-1 Refresh ''13'!$D$8/Commercial!$M$3</f>
        <v>22.934102578713013</v>
      </c>
      <c r="Q75" s="819">
        <f>N75*'Table ES-1 Refresh ''13'!$G$8/Commercial!$N$3</f>
        <v>0.56550021026817354</v>
      </c>
      <c r="R75" s="819">
        <f>O75*'Table ES-1 Refresh ''13'!$J$8/Commercial!$O$3</f>
        <v>2.1341378895366194</v>
      </c>
    </row>
    <row r="76" spans="1:18">
      <c r="A76" s="168">
        <v>506</v>
      </c>
      <c r="B76" s="176" t="s">
        <v>124</v>
      </c>
      <c r="C76" s="170">
        <v>10.111255016260369</v>
      </c>
      <c r="D76" s="170">
        <v>0.62680867104111215</v>
      </c>
      <c r="E76" s="172">
        <v>10</v>
      </c>
      <c r="F76" s="172">
        <v>1</v>
      </c>
      <c r="G76" s="180"/>
      <c r="H76" s="174">
        <f t="shared" si="18"/>
        <v>8.4726639542251334</v>
      </c>
      <c r="I76" s="174">
        <f t="shared" si="19"/>
        <v>1.0503423711641267</v>
      </c>
      <c r="J76" s="140">
        <v>0.51398311025371191</v>
      </c>
      <c r="K76" s="185">
        <v>1</v>
      </c>
      <c r="L76" s="184">
        <v>10.111255016260369</v>
      </c>
      <c r="M76" s="185">
        <f t="shared" ref="M76:M105" si="20">L76*K76</f>
        <v>10.111255016260369</v>
      </c>
      <c r="N76" s="185">
        <f t="shared" ref="N76:N105" si="21">I76*K76</f>
        <v>1.0503423711641267</v>
      </c>
      <c r="O76" s="185">
        <f t="shared" ref="O76:O105" si="22">J76*K76</f>
        <v>0.51398311025371191</v>
      </c>
      <c r="P76" s="819">
        <f>M76*'Table ES-1 Refresh ''13'!$D$8/Commercial!$M$3</f>
        <v>9.5254936736933651</v>
      </c>
      <c r="Q76" s="819">
        <f>N76*'Table ES-1 Refresh ''13'!$G$8/Commercial!$N$3</f>
        <v>0.94760787332491669</v>
      </c>
      <c r="R76" s="819">
        <f>O76*'Table ES-1 Refresh ''13'!$J$8/Commercial!$O$3</f>
        <v>0.44324847146318913</v>
      </c>
    </row>
    <row r="77" spans="1:18">
      <c r="A77" s="168">
        <v>507</v>
      </c>
      <c r="B77" s="176" t="s">
        <v>123</v>
      </c>
      <c r="C77" s="170">
        <v>8.4726639542251334</v>
      </c>
      <c r="D77" s="170">
        <v>1.0503423711641267</v>
      </c>
      <c r="E77" s="172">
        <v>16</v>
      </c>
      <c r="F77" s="172">
        <v>1</v>
      </c>
      <c r="G77" s="180"/>
      <c r="H77" s="174">
        <f t="shared" si="18"/>
        <v>8.9114626297459498</v>
      </c>
      <c r="I77" s="174">
        <f t="shared" si="19"/>
        <v>1.1047395293425049</v>
      </c>
      <c r="J77" s="140">
        <v>0.86128074435458379</v>
      </c>
      <c r="K77" s="185">
        <v>1</v>
      </c>
      <c r="L77" s="184">
        <v>8.4726639542251334</v>
      </c>
      <c r="M77" s="185">
        <f t="shared" si="20"/>
        <v>8.4726639542251334</v>
      </c>
      <c r="N77" s="185">
        <f t="shared" si="21"/>
        <v>1.1047395293425049</v>
      </c>
      <c r="O77" s="185">
        <f t="shared" si="22"/>
        <v>0.86128074435458379</v>
      </c>
      <c r="P77" s="819">
        <f>M77*'Table ES-1 Refresh ''13'!$D$8/Commercial!$M$3</f>
        <v>7.9818288397942538</v>
      </c>
      <c r="Q77" s="819">
        <f>N77*'Table ES-1 Refresh ''13'!$G$8/Commercial!$N$3</f>
        <v>0.99668441902229798</v>
      </c>
      <c r="R77" s="819">
        <f>O77*'Table ES-1 Refresh ''13'!$J$8/Commercial!$O$3</f>
        <v>0.74275081383005426</v>
      </c>
    </row>
    <row r="78" spans="1:18">
      <c r="A78" s="168">
        <v>508</v>
      </c>
      <c r="B78" s="176" t="s">
        <v>122</v>
      </c>
      <c r="C78" s="170">
        <v>8.9114626297459498</v>
      </c>
      <c r="D78" s="170">
        <v>1.1047395293425049</v>
      </c>
      <c r="E78" s="172">
        <v>3</v>
      </c>
      <c r="F78" s="172">
        <v>1</v>
      </c>
      <c r="G78" s="180"/>
      <c r="H78" s="174">
        <f t="shared" si="18"/>
        <v>3.6317458110885603</v>
      </c>
      <c r="I78" s="174">
        <f t="shared" si="19"/>
        <v>0.4502216218290942</v>
      </c>
      <c r="J78" s="140">
        <v>0.90588641406085391</v>
      </c>
      <c r="K78" s="185">
        <v>1</v>
      </c>
      <c r="L78" s="184">
        <v>8.9114626297459498</v>
      </c>
      <c r="M78" s="185">
        <f t="shared" si="20"/>
        <v>8.9114626297459498</v>
      </c>
      <c r="N78" s="185">
        <f t="shared" si="21"/>
        <v>0.4502216218290942</v>
      </c>
      <c r="O78" s="185">
        <f t="shared" si="22"/>
        <v>0.90588641406085391</v>
      </c>
      <c r="P78" s="819">
        <f>M78*'Table ES-1 Refresh ''13'!$D$8/Commercial!$M$3</f>
        <v>8.3952071989570758</v>
      </c>
      <c r="Q78" s="819">
        <f>N78*'Table ES-1 Refresh ''13'!$G$8/Commercial!$N$3</f>
        <v>0.4061852261691698</v>
      </c>
      <c r="R78" s="819">
        <f>O78*'Table ES-1 Refresh ''13'!$J$8/Commercial!$O$3</f>
        <v>0.78121782669772721</v>
      </c>
    </row>
    <row r="79" spans="1:18">
      <c r="A79" s="168">
        <v>509</v>
      </c>
      <c r="B79" s="176" t="s">
        <v>121</v>
      </c>
      <c r="C79" s="170">
        <v>3.6317458110885603</v>
      </c>
      <c r="D79" s="170">
        <v>0.4502216218290942</v>
      </c>
      <c r="E79" s="172">
        <v>10</v>
      </c>
      <c r="F79" s="172">
        <v>1</v>
      </c>
      <c r="G79" s="180"/>
      <c r="H79" s="174">
        <f t="shared" si="18"/>
        <v>41.296498580151145</v>
      </c>
      <c r="I79" s="174">
        <f t="shared" si="19"/>
        <v>5.1194597677654361</v>
      </c>
      <c r="J79" s="140">
        <v>0.3691817298998572</v>
      </c>
      <c r="K79" s="185">
        <v>1</v>
      </c>
      <c r="L79" s="184">
        <v>3.6317458110885603</v>
      </c>
      <c r="M79" s="185">
        <f t="shared" si="20"/>
        <v>3.6317458110885603</v>
      </c>
      <c r="N79" s="185">
        <f t="shared" si="21"/>
        <v>5.1194597677654361</v>
      </c>
      <c r="O79" s="185">
        <f t="shared" si="22"/>
        <v>0.3691817298998572</v>
      </c>
      <c r="P79" s="819">
        <f>M79*'Table ES-1 Refresh ''13'!$D$8/Commercial!$M$3</f>
        <v>3.4213529074634161</v>
      </c>
      <c r="Q79" s="819">
        <f>N79*'Table ES-1 Refresh ''13'!$G$8/Commercial!$N$3</f>
        <v>4.6187229195827824</v>
      </c>
      <c r="R79" s="819">
        <f>O79*'Table ES-1 Refresh ''13'!$J$8/Commercial!$O$3</f>
        <v>0.31837473684587064</v>
      </c>
    </row>
    <row r="80" spans="1:18">
      <c r="A80" s="168">
        <v>510</v>
      </c>
      <c r="B80" s="176" t="s">
        <v>120</v>
      </c>
      <c r="C80" s="170">
        <v>41.296498580151145</v>
      </c>
      <c r="D80" s="170">
        <v>5.1194597677654361</v>
      </c>
      <c r="E80" s="172">
        <v>10</v>
      </c>
      <c r="F80" s="172">
        <v>1</v>
      </c>
      <c r="G80" s="180"/>
      <c r="H80" s="174">
        <f t="shared" si="18"/>
        <v>17.033173195153502</v>
      </c>
      <c r="I80" s="174">
        <f t="shared" si="19"/>
        <v>1.0558528360077313</v>
      </c>
      <c r="J80" s="140">
        <v>4.1979570095676575</v>
      </c>
      <c r="K80" s="185">
        <v>1</v>
      </c>
      <c r="L80" s="184">
        <v>41.296498580151145</v>
      </c>
      <c r="M80" s="185">
        <f t="shared" si="20"/>
        <v>41.296498580151145</v>
      </c>
      <c r="N80" s="185">
        <f t="shared" si="21"/>
        <v>1.0558528360077313</v>
      </c>
      <c r="O80" s="185">
        <f t="shared" si="22"/>
        <v>4.1979570095676575</v>
      </c>
      <c r="P80" s="819">
        <f>M80*'Table ES-1 Refresh ''13'!$D$8/Commercial!$M$3</f>
        <v>38.904125683539917</v>
      </c>
      <c r="Q80" s="819">
        <f>N80*'Table ES-1 Refresh ''13'!$G$8/Commercial!$N$3</f>
        <v>0.95257935692382412</v>
      </c>
      <c r="R80" s="819">
        <f>O80*'Table ES-1 Refresh ''13'!$J$8/Commercial!$O$3</f>
        <v>3.620231853222859</v>
      </c>
    </row>
    <row r="81" spans="1:18">
      <c r="A81" s="168">
        <v>511</v>
      </c>
      <c r="B81" s="176" t="s">
        <v>119</v>
      </c>
      <c r="C81" s="170">
        <v>17.033173195153502</v>
      </c>
      <c r="D81" s="170">
        <v>1.0558528360077313</v>
      </c>
      <c r="E81" s="172">
        <v>12</v>
      </c>
      <c r="F81" s="172">
        <v>1</v>
      </c>
      <c r="G81" s="180"/>
      <c r="H81" s="174">
        <f t="shared" si="18"/>
        <v>5.2489543049908969</v>
      </c>
      <c r="I81" s="174">
        <f t="shared" si="19"/>
        <v>0.65070432872379114</v>
      </c>
      <c r="J81" s="140">
        <v>1.7315986510526793</v>
      </c>
      <c r="K81" s="185">
        <v>1</v>
      </c>
      <c r="L81" s="184">
        <v>17.033173195153502</v>
      </c>
      <c r="M81" s="185">
        <f t="shared" si="20"/>
        <v>17.033173195153502</v>
      </c>
      <c r="N81" s="185">
        <f t="shared" si="21"/>
        <v>0.65070432872379114</v>
      </c>
      <c r="O81" s="185">
        <f t="shared" si="22"/>
        <v>1.7315986510526793</v>
      </c>
      <c r="P81" s="819">
        <f>M81*'Table ES-1 Refresh ''13'!$D$8/Commercial!$M$3</f>
        <v>16.04641394687776</v>
      </c>
      <c r="Q81" s="819">
        <f>N81*'Table ES-1 Refresh ''13'!$G$8/Commercial!$N$3</f>
        <v>0.58705862205849946</v>
      </c>
      <c r="R81" s="819">
        <f>O81*'Table ES-1 Refresh ''13'!$J$8/Commercial!$O$3</f>
        <v>1.4932950907432609</v>
      </c>
    </row>
    <row r="82" spans="1:18">
      <c r="A82" s="168">
        <v>513</v>
      </c>
      <c r="B82" s="169" t="s">
        <v>118</v>
      </c>
      <c r="C82" s="170">
        <v>5.2489543049908969</v>
      </c>
      <c r="D82" s="170">
        <v>0.65070432872379114</v>
      </c>
      <c r="E82" s="172">
        <v>10</v>
      </c>
      <c r="F82" s="172">
        <v>1</v>
      </c>
      <c r="G82" s="180"/>
      <c r="H82" s="174">
        <f t="shared" si="18"/>
        <v>25.483748747746031</v>
      </c>
      <c r="I82" s="174">
        <f t="shared" si="19"/>
        <v>3.1591788875930189</v>
      </c>
      <c r="J82" s="140">
        <v>0.53357754955350867</v>
      </c>
      <c r="K82" s="185">
        <v>1</v>
      </c>
      <c r="L82" s="184">
        <v>5.2489543049908969</v>
      </c>
      <c r="M82" s="185">
        <f t="shared" si="20"/>
        <v>5.2489543049908969</v>
      </c>
      <c r="N82" s="185">
        <f t="shared" si="21"/>
        <v>3.1591788875930189</v>
      </c>
      <c r="O82" s="185">
        <f t="shared" si="22"/>
        <v>0.53357754955350867</v>
      </c>
      <c r="P82" s="819">
        <f>M82*'Table ES-1 Refresh ''13'!$D$8/Commercial!$M$3</f>
        <v>4.9448738999551356</v>
      </c>
      <c r="Q82" s="819">
        <f>N82*'Table ES-1 Refresh ''13'!$G$8/Commercial!$N$3</f>
        <v>2.8501780650884614</v>
      </c>
      <c r="R82" s="819">
        <f>O82*'Table ES-1 Refresh ''13'!$J$8/Commercial!$O$3</f>
        <v>0.46014631323181454</v>
      </c>
    </row>
    <row r="83" spans="1:18">
      <c r="A83" s="168">
        <v>514</v>
      </c>
      <c r="B83" s="169" t="s">
        <v>117</v>
      </c>
      <c r="C83" s="170">
        <v>25.483748747746031</v>
      </c>
      <c r="D83" s="170">
        <v>3.1591788875930189</v>
      </c>
      <c r="E83" s="172">
        <v>14</v>
      </c>
      <c r="F83" s="172">
        <v>1</v>
      </c>
      <c r="G83" s="180"/>
      <c r="H83" s="174">
        <f t="shared" si="18"/>
        <v>17.704988264489934</v>
      </c>
      <c r="I83" s="174">
        <f t="shared" si="19"/>
        <v>2.1948586012176099</v>
      </c>
      <c r="J83" s="140">
        <v>2.5905266878262752</v>
      </c>
      <c r="K83" s="185">
        <v>1</v>
      </c>
      <c r="L83" s="184">
        <v>25.483748747746031</v>
      </c>
      <c r="M83" s="185">
        <f t="shared" si="20"/>
        <v>25.483748747746031</v>
      </c>
      <c r="N83" s="185">
        <f t="shared" si="21"/>
        <v>2.1948586012176099</v>
      </c>
      <c r="O83" s="185">
        <f t="shared" si="22"/>
        <v>2.5905266878262752</v>
      </c>
      <c r="P83" s="819">
        <f>M83*'Table ES-1 Refresh ''13'!$D$8/Commercial!$M$3</f>
        <v>24.007434001840156</v>
      </c>
      <c r="Q83" s="819">
        <f>N83*'Table ES-1 Refresh ''13'!$G$8/Commercial!$N$3</f>
        <v>1.9801784146283103</v>
      </c>
      <c r="R83" s="819">
        <f>O83*'Table ES-1 Refresh ''13'!$J$8/Commercial!$O$3</f>
        <v>2.2340169779057484</v>
      </c>
    </row>
    <row r="84" spans="1:18">
      <c r="A84" s="168">
        <v>515</v>
      </c>
      <c r="B84" s="169" t="s">
        <v>116</v>
      </c>
      <c r="C84" s="170">
        <v>17.704988264489934</v>
      </c>
      <c r="D84" s="170">
        <v>2.1948586012176099</v>
      </c>
      <c r="E84" s="172">
        <v>16</v>
      </c>
      <c r="F84" s="172">
        <v>1</v>
      </c>
      <c r="G84" s="180"/>
      <c r="H84" s="174">
        <f t="shared" si="18"/>
        <v>17.63442747787705</v>
      </c>
      <c r="I84" s="174">
        <f t="shared" si="19"/>
        <v>2.1861112952554413</v>
      </c>
      <c r="J84" s="140">
        <v>1.7997840529984399</v>
      </c>
      <c r="K84" s="185">
        <v>1</v>
      </c>
      <c r="L84" s="184">
        <v>17.704988264489934</v>
      </c>
      <c r="M84" s="185">
        <f t="shared" si="20"/>
        <v>17.704988264489934</v>
      </c>
      <c r="N84" s="185">
        <f t="shared" si="21"/>
        <v>2.1861112952554413</v>
      </c>
      <c r="O84" s="185">
        <f t="shared" si="22"/>
        <v>1.7997840529984399</v>
      </c>
      <c r="P84" s="819">
        <f>M84*'Table ES-1 Refresh ''13'!$D$8/Commercial!$M$3</f>
        <v>16.67930968361518</v>
      </c>
      <c r="Q84" s="819">
        <f>N84*'Table ES-1 Refresh ''13'!$G$8/Commercial!$N$3</f>
        <v>1.9722866869139026</v>
      </c>
      <c r="R84" s="819">
        <f>O84*'Table ES-1 Refresh ''13'!$J$8/Commercial!$O$3</f>
        <v>1.5520967801093628</v>
      </c>
    </row>
    <row r="85" spans="1:18">
      <c r="A85" s="168">
        <v>516</v>
      </c>
      <c r="B85" s="169" t="s">
        <v>115</v>
      </c>
      <c r="C85" s="170">
        <v>17.63442747787705</v>
      </c>
      <c r="D85" s="170">
        <v>2.1861112952554413</v>
      </c>
      <c r="E85" s="172">
        <v>4</v>
      </c>
      <c r="F85" s="172">
        <v>1</v>
      </c>
      <c r="G85" s="180"/>
      <c r="H85" s="174">
        <f t="shared" si="18"/>
        <v>2.4224776867224644</v>
      </c>
      <c r="I85" s="174">
        <f t="shared" si="19"/>
        <v>0.30031061910527218</v>
      </c>
      <c r="J85" s="140">
        <v>1.7926112621094619</v>
      </c>
      <c r="K85" s="185">
        <v>1</v>
      </c>
      <c r="L85" s="184">
        <v>17.63442747787705</v>
      </c>
      <c r="M85" s="185">
        <f t="shared" si="20"/>
        <v>17.63442747787705</v>
      </c>
      <c r="N85" s="185">
        <f t="shared" si="21"/>
        <v>0.30031061910527218</v>
      </c>
      <c r="O85" s="185">
        <f t="shared" si="22"/>
        <v>1.7926112621094619</v>
      </c>
      <c r="P85" s="819">
        <f>M85*'Table ES-1 Refresh ''13'!$D$8/Commercial!$M$3</f>
        <v>16.612836597394828</v>
      </c>
      <c r="Q85" s="819">
        <f>N85*'Table ES-1 Refresh ''13'!$G$8/Commercial!$N$3</f>
        <v>0.27093709148554196</v>
      </c>
      <c r="R85" s="819">
        <f>O85*'Table ES-1 Refresh ''13'!$J$8/Commercial!$O$3</f>
        <v>1.5459111126540739</v>
      </c>
    </row>
    <row r="86" spans="1:18">
      <c r="A86" s="168">
        <v>517</v>
      </c>
      <c r="B86" s="169" t="s">
        <v>114</v>
      </c>
      <c r="C86" s="170">
        <v>2.4224776867224644</v>
      </c>
      <c r="D86" s="170">
        <v>0.30031061910527218</v>
      </c>
      <c r="E86" s="172">
        <v>10</v>
      </c>
      <c r="F86" s="172">
        <v>1</v>
      </c>
      <c r="G86" s="180"/>
      <c r="H86" s="174">
        <f t="shared" si="18"/>
        <v>1.4701024057007008</v>
      </c>
      <c r="I86" s="174">
        <f t="shared" si="19"/>
        <v>0.19409891639872998</v>
      </c>
      <c r="J86" s="140">
        <v>0.24625470766632318</v>
      </c>
      <c r="K86" s="185">
        <v>1</v>
      </c>
      <c r="L86" s="184">
        <v>2.4224776867224644</v>
      </c>
      <c r="M86" s="185">
        <f t="shared" si="20"/>
        <v>2.4224776867224644</v>
      </c>
      <c r="N86" s="185">
        <f t="shared" si="21"/>
        <v>0.19409891639872998</v>
      </c>
      <c r="O86" s="185">
        <f t="shared" si="22"/>
        <v>0.24625470766632318</v>
      </c>
      <c r="P86" s="819">
        <f>M86*'Table ES-1 Refresh ''13'!$D$8/Commercial!$M$3</f>
        <v>2.2821396396816955</v>
      </c>
      <c r="Q86" s="819">
        <f>N86*'Table ES-1 Refresh ''13'!$G$8/Commercial!$N$3</f>
        <v>0.17511400704459484</v>
      </c>
      <c r="R86" s="819">
        <f>O86*'Table ES-1 Refresh ''13'!$J$8/Commercial!$O$3</f>
        <v>0.21236499913359547</v>
      </c>
    </row>
    <row r="87" spans="1:18" s="153" customFormat="1">
      <c r="A87" s="396">
        <v>601</v>
      </c>
      <c r="B87" s="397" t="s">
        <v>112</v>
      </c>
      <c r="C87" s="181">
        <v>2.2051536085510515</v>
      </c>
      <c r="D87" s="181">
        <v>0.29114837459809495</v>
      </c>
      <c r="E87" s="182">
        <v>15</v>
      </c>
      <c r="F87" s="182">
        <v>2</v>
      </c>
      <c r="G87" s="183"/>
      <c r="H87" s="184">
        <f t="shared" si="18"/>
        <v>50.421102544572662</v>
      </c>
      <c r="I87" s="184">
        <f t="shared" si="19"/>
        <v>6.6571426109498608</v>
      </c>
      <c r="J87" s="185">
        <v>0.14945616562702208</v>
      </c>
      <c r="K87" s="185">
        <v>0</v>
      </c>
      <c r="L87" s="184">
        <v>1.4701024057007008</v>
      </c>
      <c r="M87" s="185">
        <f t="shared" si="20"/>
        <v>0</v>
      </c>
      <c r="N87" s="185">
        <f t="shared" si="21"/>
        <v>0</v>
      </c>
      <c r="O87" s="185">
        <f t="shared" si="22"/>
        <v>0</v>
      </c>
      <c r="P87" s="819">
        <f>M87*'Table ES-1 Refresh ''13'!$D$8/Commercial!$M$3</f>
        <v>0</v>
      </c>
      <c r="Q87" s="819">
        <f>N87*'Table ES-1 Refresh ''13'!$G$8/Commercial!$N$3</f>
        <v>0</v>
      </c>
      <c r="R87" s="819">
        <f>O87*'Table ES-1 Refresh ''13'!$J$8/Commercial!$O$3</f>
        <v>0</v>
      </c>
    </row>
    <row r="88" spans="1:18">
      <c r="A88" s="177">
        <v>603</v>
      </c>
      <c r="B88" s="169" t="s">
        <v>111</v>
      </c>
      <c r="C88" s="170">
        <v>75.631653816858986</v>
      </c>
      <c r="D88" s="170">
        <v>9.9857139164247908</v>
      </c>
      <c r="E88" s="172">
        <v>15</v>
      </c>
      <c r="F88" s="172">
        <v>2</v>
      </c>
      <c r="G88" s="180"/>
      <c r="H88" s="174">
        <f t="shared" si="18"/>
        <v>0.46612439803199202</v>
      </c>
      <c r="I88" s="174">
        <f t="shared" si="19"/>
        <v>6.1961990507515982E-2</v>
      </c>
      <c r="J88" s="140">
        <v>5.1259998104313924</v>
      </c>
      <c r="K88" s="185">
        <f>Residential!M118</f>
        <v>0.98585858585858588</v>
      </c>
      <c r="L88" s="184">
        <v>50.421102544572662</v>
      </c>
      <c r="M88" s="185">
        <f t="shared" si="20"/>
        <v>49.708076852023147</v>
      </c>
      <c r="N88" s="185">
        <f t="shared" si="21"/>
        <v>6.108576033872283E-2</v>
      </c>
      <c r="O88" s="185">
        <f t="shared" si="22"/>
        <v>5.0535109242232714</v>
      </c>
      <c r="P88" s="819">
        <f>M88*'Table ES-1 Refresh ''13'!$D$8/Commercial!$M$3</f>
        <v>46.828407633272327</v>
      </c>
      <c r="Q88" s="819">
        <f>N88*'Table ES-1 Refresh ''13'!$G$8/Commercial!$N$3</f>
        <v>5.5110932429448298E-2</v>
      </c>
      <c r="R88" s="819">
        <f>O88*'Table ES-1 Refresh ''13'!$J$8/Commercial!$O$3</f>
        <v>4.3580439668120725</v>
      </c>
    </row>
    <row r="89" spans="1:18">
      <c r="A89" s="177">
        <v>604</v>
      </c>
      <c r="B89" s="169" t="s">
        <v>110</v>
      </c>
      <c r="C89" s="170">
        <v>0.93224879606398403</v>
      </c>
      <c r="D89" s="170">
        <v>0.12392398101503196</v>
      </c>
      <c r="E89" s="172">
        <v>20</v>
      </c>
      <c r="F89" s="172">
        <v>2</v>
      </c>
      <c r="G89" s="180"/>
      <c r="H89" s="174">
        <f t="shared" si="18"/>
        <v>1.8783250181435085</v>
      </c>
      <c r="I89" s="174">
        <f t="shared" si="19"/>
        <v>0.22629223384501715</v>
      </c>
      <c r="J89" s="140">
        <v>4.7710732690787308E-2</v>
      </c>
      <c r="K89" s="185">
        <f>Residential!M120</f>
        <v>0.98585858585858588</v>
      </c>
      <c r="L89" s="184">
        <v>0.93</v>
      </c>
      <c r="M89" s="185">
        <f t="shared" si="20"/>
        <v>0.91684848484848491</v>
      </c>
      <c r="N89" s="185">
        <f t="shared" si="21"/>
        <v>0.22309214164922903</v>
      </c>
      <c r="O89" s="185">
        <f t="shared" si="22"/>
        <v>4.7036035460816576E-2</v>
      </c>
      <c r="P89" s="819">
        <f>M89*'Table ES-1 Refresh ''13'!$D$8/Commercial!$M$3</f>
        <v>0.86373397052244827</v>
      </c>
      <c r="Q89" s="819">
        <f>N89*'Table ES-1 Refresh ''13'!$G$8/Commercial!$N$3</f>
        <v>0.20127139084127552</v>
      </c>
      <c r="R89" s="819">
        <f>O89*'Table ES-1 Refresh ''13'!$J$8/Commercial!$O$3</f>
        <v>4.0562910348170812E-2</v>
      </c>
    </row>
    <row r="90" spans="1:18">
      <c r="A90" s="177">
        <v>606</v>
      </c>
      <c r="B90" s="169" t="s">
        <v>109</v>
      </c>
      <c r="C90" s="170">
        <v>1.8783250181435085</v>
      </c>
      <c r="D90" s="170">
        <v>0.22629223384501715</v>
      </c>
      <c r="E90" s="172">
        <v>15</v>
      </c>
      <c r="F90" s="172">
        <v>1</v>
      </c>
      <c r="G90" s="180"/>
      <c r="H90" s="174">
        <f t="shared" si="18"/>
        <v>73.712382286906262</v>
      </c>
      <c r="I90" s="174">
        <f t="shared" si="19"/>
        <v>9.7131139618820281</v>
      </c>
      <c r="J90" s="140">
        <v>0.19687424344516491</v>
      </c>
      <c r="K90" s="185">
        <v>0.97</v>
      </c>
      <c r="L90" s="184">
        <v>1.8783250181435085</v>
      </c>
      <c r="M90" s="185">
        <f t="shared" si="20"/>
        <v>1.8219752675992031</v>
      </c>
      <c r="N90" s="185">
        <f t="shared" si="21"/>
        <v>9.4217205430255664</v>
      </c>
      <c r="O90" s="185">
        <f t="shared" si="22"/>
        <v>0.19096801614180994</v>
      </c>
      <c r="P90" s="819">
        <f>M90*'Table ES-1 Refresh ''13'!$D$8/Commercial!$M$3</f>
        <v>1.7164252960915611</v>
      </c>
      <c r="Q90" s="819">
        <f>N90*'Table ES-1 Refresh ''13'!$G$8/Commercial!$N$3</f>
        <v>8.5001774773142333</v>
      </c>
      <c r="R90" s="819">
        <f>O90*'Table ES-1 Refresh ''13'!$J$8/Commercial!$O$3</f>
        <v>0.16468689255456634</v>
      </c>
    </row>
    <row r="91" spans="1:18">
      <c r="A91" s="177">
        <v>608</v>
      </c>
      <c r="B91" s="169" t="s">
        <v>108</v>
      </c>
      <c r="C91" s="170">
        <v>73.712382286906262</v>
      </c>
      <c r="D91" s="170">
        <v>9.7131139618820281</v>
      </c>
      <c r="E91" s="172">
        <v>10</v>
      </c>
      <c r="F91" s="172">
        <v>1</v>
      </c>
      <c r="G91" s="180"/>
      <c r="H91" s="174">
        <f t="shared" si="18"/>
        <v>10.229188159437253</v>
      </c>
      <c r="I91" s="174">
        <f t="shared" si="19"/>
        <v>1.3479441410870181</v>
      </c>
      <c r="J91" s="140">
        <v>6.410655214842139</v>
      </c>
      <c r="K91" s="185">
        <f>Residential!M121</f>
        <v>0.98585858585858588</v>
      </c>
      <c r="L91" s="184">
        <v>73.712382286906262</v>
      </c>
      <c r="M91" s="185">
        <f t="shared" si="20"/>
        <v>72.669984961636885</v>
      </c>
      <c r="N91" s="185">
        <f t="shared" si="21"/>
        <v>1.3288823047484137</v>
      </c>
      <c r="O91" s="185">
        <f t="shared" si="22"/>
        <v>6.3199994845312402</v>
      </c>
      <c r="P91" s="819">
        <f>M91*'Table ES-1 Refresh ''13'!$D$8/Commercial!$M$3</f>
        <v>68.460095300363591</v>
      </c>
      <c r="Q91" s="819">
        <f>N91*'Table ES-1 Refresh ''13'!$G$8/Commercial!$N$3</f>
        <v>1.1989036806218552</v>
      </c>
      <c r="R91" s="819">
        <f>O91*'Table ES-1 Refresh ''13'!$J$8/Commercial!$O$3</f>
        <v>5.4502376737317793</v>
      </c>
    </row>
    <row r="92" spans="1:18">
      <c r="A92" s="177">
        <v>609</v>
      </c>
      <c r="B92" s="169" t="s">
        <v>59</v>
      </c>
      <c r="C92" s="170">
        <v>10.229188159437253</v>
      </c>
      <c r="D92" s="170">
        <v>1.3479441410870181</v>
      </c>
      <c r="E92" s="172">
        <v>10</v>
      </c>
      <c r="F92" s="172">
        <v>1</v>
      </c>
      <c r="G92" s="180"/>
      <c r="H92" s="174">
        <f t="shared" si="18"/>
        <v>0.39607382159211291</v>
      </c>
      <c r="I92" s="174">
        <f t="shared" si="19"/>
        <v>5.2650156218162526E-2</v>
      </c>
      <c r="J92" s="140">
        <v>1.0379169886370039</v>
      </c>
      <c r="K92" s="185">
        <f>Residential!M128</f>
        <v>0.97046413502109719</v>
      </c>
      <c r="L92" s="184">
        <v>10.229188159437253</v>
      </c>
      <c r="M92" s="185">
        <f t="shared" si="20"/>
        <v>9.9270602391163241</v>
      </c>
      <c r="N92" s="185">
        <f t="shared" si="21"/>
        <v>5.1095088312984739E-2</v>
      </c>
      <c r="O92" s="185">
        <f t="shared" si="22"/>
        <v>1.0072612126013119</v>
      </c>
      <c r="P92" s="819">
        <f>M92*'Table ES-1 Refresh ''13'!$D$8/Commercial!$M$3</f>
        <v>9.3519695976423325</v>
      </c>
      <c r="Q92" s="819">
        <f>N92*'Table ES-1 Refresh ''13'!$G$8/Commercial!$N$3</f>
        <v>4.6097452890482747E-2</v>
      </c>
      <c r="R92" s="819">
        <f>O92*'Table ES-1 Refresh ''13'!$J$8/Commercial!$O$3</f>
        <v>0.86864136961485994</v>
      </c>
    </row>
    <row r="93" spans="1:18">
      <c r="A93" s="177">
        <v>610</v>
      </c>
      <c r="B93" s="169" t="s">
        <v>107</v>
      </c>
      <c r="C93" s="170">
        <v>0.39607382159211291</v>
      </c>
      <c r="D93" s="170">
        <v>5.2650156218162526E-2</v>
      </c>
      <c r="E93" s="172">
        <v>15</v>
      </c>
      <c r="F93" s="172">
        <v>1</v>
      </c>
      <c r="G93" s="180"/>
      <c r="H93" s="174">
        <f t="shared" si="18"/>
        <v>43.731924959761855</v>
      </c>
      <c r="I93" s="174">
        <f t="shared" si="19"/>
        <v>3.7318995702166355</v>
      </c>
      <c r="J93" s="140">
        <v>4.0540620287985149E-2</v>
      </c>
      <c r="K93" s="185">
        <f>Residential!M128</f>
        <v>0.97046413502109719</v>
      </c>
      <c r="L93" s="184">
        <v>0.39607382159211291</v>
      </c>
      <c r="M93" s="185">
        <f t="shared" si="20"/>
        <v>0.38437543867589019</v>
      </c>
      <c r="N93" s="185">
        <f t="shared" si="21"/>
        <v>3.6216746883958915</v>
      </c>
      <c r="O93" s="185">
        <f t="shared" si="22"/>
        <v>3.9343218000998249E-2</v>
      </c>
      <c r="P93" s="819">
        <f>M93*'Table ES-1 Refresh ''13'!$D$8/Commercial!$M$3</f>
        <v>0.3621079483745881</v>
      </c>
      <c r="Q93" s="819">
        <f>N93*'Table ES-1 Refresh ''13'!$G$8/Commercial!$N$3</f>
        <v>3.2674369268201575</v>
      </c>
      <c r="R93" s="819">
        <f>O93*'Table ES-1 Refresh ''13'!$J$8/Commercial!$O$3</f>
        <v>3.3928782665207359E-2</v>
      </c>
    </row>
    <row r="94" spans="1:18">
      <c r="A94" s="168">
        <v>701</v>
      </c>
      <c r="B94" s="176" t="s">
        <v>105</v>
      </c>
      <c r="C94" s="170">
        <v>43.731924959761855</v>
      </c>
      <c r="D94" s="170">
        <v>3.7318995702166355</v>
      </c>
      <c r="E94" s="172">
        <v>4</v>
      </c>
      <c r="F94" s="172">
        <v>1</v>
      </c>
      <c r="G94" s="180"/>
      <c r="H94" s="174">
        <f t="shared" si="18"/>
        <v>81.108027895121992</v>
      </c>
      <c r="I94" s="174">
        <f t="shared" si="19"/>
        <v>6.9214030193620673</v>
      </c>
      <c r="J94" s="140">
        <v>9.1058349513285908</v>
      </c>
      <c r="K94" s="185">
        <v>1</v>
      </c>
      <c r="L94" s="184">
        <v>43.731924959761855</v>
      </c>
      <c r="M94" s="185">
        <f t="shared" si="20"/>
        <v>43.731924959761855</v>
      </c>
      <c r="N94" s="185">
        <f t="shared" si="21"/>
        <v>6.9214030193620673</v>
      </c>
      <c r="O94" s="185">
        <f t="shared" si="22"/>
        <v>9.1058349513285908</v>
      </c>
      <c r="P94" s="819">
        <f>M94*'Table ES-1 Refresh ''13'!$D$8/Commercial!$M$3</f>
        <v>41.198463877406148</v>
      </c>
      <c r="Q94" s="819">
        <f>N94*'Table ES-1 Refresh ''13'!$G$8/Commercial!$N$3</f>
        <v>6.2444172259118274</v>
      </c>
      <c r="R94" s="819">
        <f>O94*'Table ES-1 Refresh ''13'!$J$8/Commercial!$O$3</f>
        <v>7.8526849288494356</v>
      </c>
    </row>
    <row r="95" spans="1:18">
      <c r="A95" s="168">
        <v>702</v>
      </c>
      <c r="B95" s="176" t="s">
        <v>104</v>
      </c>
      <c r="C95" s="170">
        <v>81.108027895121992</v>
      </c>
      <c r="D95" s="170">
        <v>6.9214030193620673</v>
      </c>
      <c r="E95" s="172">
        <v>4</v>
      </c>
      <c r="F95" s="172">
        <v>1</v>
      </c>
      <c r="G95" s="180"/>
      <c r="H95" s="174">
        <f t="shared" si="18"/>
        <v>10.363945669671168</v>
      </c>
      <c r="I95" s="174">
        <f t="shared" si="19"/>
        <v>1.3433721364794422</v>
      </c>
      <c r="J95" s="140">
        <v>16.888223367243445</v>
      </c>
      <c r="K95" s="185">
        <v>1</v>
      </c>
      <c r="L95" s="184">
        <v>81.108027895121992</v>
      </c>
      <c r="M95" s="185">
        <f t="shared" si="20"/>
        <v>81.108027895121992</v>
      </c>
      <c r="N95" s="185">
        <f t="shared" si="21"/>
        <v>1.3433721364794422</v>
      </c>
      <c r="O95" s="185">
        <f t="shared" si="22"/>
        <v>16.888223367243445</v>
      </c>
      <c r="P95" s="819">
        <f>M95*'Table ES-1 Refresh ''13'!$D$8/Commercial!$M$3</f>
        <v>76.40930877109578</v>
      </c>
      <c r="Q95" s="819">
        <f>N95*'Table ES-1 Refresh ''13'!$G$8/Commercial!$N$3</f>
        <v>1.2119762548685342</v>
      </c>
      <c r="R95" s="819">
        <f>O95*'Table ES-1 Refresh ''13'!$J$8/Commercial!$O$3</f>
        <v>14.564056763586056</v>
      </c>
    </row>
    <row r="96" spans="1:18">
      <c r="A96" s="168">
        <v>711</v>
      </c>
      <c r="B96" s="176" t="s">
        <v>101</v>
      </c>
      <c r="C96" s="170">
        <v>10.363945669671168</v>
      </c>
      <c r="D96" s="170">
        <v>1.3433721364794422</v>
      </c>
      <c r="E96" s="172">
        <v>4</v>
      </c>
      <c r="F96" s="172">
        <v>1</v>
      </c>
      <c r="G96" s="180"/>
      <c r="H96" s="174">
        <f t="shared" si="18"/>
        <v>38.149353977861757</v>
      </c>
      <c r="I96" s="174">
        <f t="shared" si="19"/>
        <v>3.2554963391610978</v>
      </c>
      <c r="J96" s="140">
        <v>2.1493954183671078</v>
      </c>
      <c r="K96" s="185">
        <v>1</v>
      </c>
      <c r="L96" s="184">
        <v>10.363945669671168</v>
      </c>
      <c r="M96" s="185">
        <f t="shared" si="20"/>
        <v>10.363945669671168</v>
      </c>
      <c r="N96" s="185">
        <f t="shared" si="21"/>
        <v>3.2554963391610978</v>
      </c>
      <c r="O96" s="185">
        <f t="shared" si="22"/>
        <v>2.1493954183671078</v>
      </c>
      <c r="P96" s="819">
        <f>M96*'Table ES-1 Refresh ''13'!$D$8/Commercial!$M$3</f>
        <v>9.7635455492118037</v>
      </c>
      <c r="Q96" s="819">
        <f>N96*'Table ES-1 Refresh ''13'!$G$8/Commercial!$N$3</f>
        <v>2.937074659903868</v>
      </c>
      <c r="R96" s="819">
        <f>O96*'Table ES-1 Refresh ''13'!$J$8/Commercial!$O$3</f>
        <v>1.853594436772297</v>
      </c>
    </row>
    <row r="97" spans="1:18">
      <c r="A97" s="168">
        <v>712</v>
      </c>
      <c r="B97" s="176" t="s">
        <v>100</v>
      </c>
      <c r="C97" s="170">
        <v>38.149353977861757</v>
      </c>
      <c r="D97" s="170">
        <v>3.2554963391610978</v>
      </c>
      <c r="E97" s="172">
        <v>4</v>
      </c>
      <c r="F97" s="172">
        <v>1</v>
      </c>
      <c r="G97" s="180"/>
      <c r="H97" s="174">
        <f t="shared" si="18"/>
        <v>7.8994047002328314E-4</v>
      </c>
      <c r="I97" s="174">
        <f t="shared" si="19"/>
        <v>1.0239189314068313E-4</v>
      </c>
      <c r="J97" s="140">
        <v>7.9434110675530789</v>
      </c>
      <c r="K97" s="185">
        <v>1</v>
      </c>
      <c r="L97" s="184">
        <v>38.149353977861757</v>
      </c>
      <c r="M97" s="185">
        <f t="shared" si="20"/>
        <v>38.149353977861757</v>
      </c>
      <c r="N97" s="185">
        <f t="shared" si="21"/>
        <v>1.0239189314068313E-4</v>
      </c>
      <c r="O97" s="185">
        <f t="shared" si="22"/>
        <v>7.9434110675530789</v>
      </c>
      <c r="P97" s="819">
        <f>M97*'Table ES-1 Refresh ''13'!$D$8/Commercial!$M$3</f>
        <v>35.93930025374938</v>
      </c>
      <c r="Q97" s="819">
        <f>N97*'Table ES-1 Refresh ''13'!$G$8/Commercial!$N$3</f>
        <v>9.2376892305331333E-5</v>
      </c>
      <c r="R97" s="819">
        <f>O97*'Table ES-1 Refresh ''13'!$J$8/Commercial!$O$3</f>
        <v>6.8502344603477248</v>
      </c>
    </row>
    <row r="98" spans="1:18">
      <c r="A98" s="168">
        <v>721</v>
      </c>
      <c r="B98" s="176" t="s">
        <v>101</v>
      </c>
      <c r="C98" s="170">
        <v>7.8994047002328314E-4</v>
      </c>
      <c r="D98" s="170">
        <v>1.0239189314068313E-4</v>
      </c>
      <c r="E98" s="172">
        <v>4</v>
      </c>
      <c r="F98" s="172">
        <v>1</v>
      </c>
      <c r="H98" s="174">
        <f t="shared" si="18"/>
        <v>6.7141144194288405E-2</v>
      </c>
      <c r="I98" s="174">
        <f t="shared" si="19"/>
        <v>5.7295305438716908E-3</v>
      </c>
      <c r="J98" s="140">
        <v>1.6382702902509303E-4</v>
      </c>
      <c r="K98" s="185">
        <v>1</v>
      </c>
      <c r="L98" s="184">
        <v>7.8994047002328314E-4</v>
      </c>
      <c r="M98" s="185">
        <f t="shared" si="20"/>
        <v>7.8994047002328314E-4</v>
      </c>
      <c r="N98" s="185">
        <f t="shared" si="21"/>
        <v>5.7295305438716908E-3</v>
      </c>
      <c r="O98" s="185">
        <f t="shared" si="22"/>
        <v>1.6382702902509303E-4</v>
      </c>
      <c r="P98" s="819">
        <f>M98*'Table ES-1 Refresh ''13'!$D$8/Commercial!$M$3</f>
        <v>7.4417794207549308E-4</v>
      </c>
      <c r="Q98" s="819">
        <f>N98*'Table ES-1 Refresh ''13'!$G$8/Commercial!$N$3</f>
        <v>5.1691223765550779E-3</v>
      </c>
      <c r="R98" s="819">
        <f>O98*'Table ES-1 Refresh ''13'!$J$8/Commercial!$O$3</f>
        <v>1.4128106303703893E-4</v>
      </c>
    </row>
    <row r="99" spans="1:18">
      <c r="A99" s="168">
        <v>722</v>
      </c>
      <c r="B99" s="176" t="s">
        <v>100</v>
      </c>
      <c r="C99" s="170">
        <v>6.7141144194288405E-2</v>
      </c>
      <c r="D99" s="170">
        <v>5.7295305438716908E-3</v>
      </c>
      <c r="E99" s="172">
        <v>4</v>
      </c>
      <c r="F99" s="172">
        <v>1</v>
      </c>
      <c r="H99" s="174">
        <f t="shared" si="18"/>
        <v>1.9394429923470395</v>
      </c>
      <c r="I99" s="174">
        <f t="shared" si="19"/>
        <v>0.25671239409417879</v>
      </c>
      <c r="J99" s="140">
        <v>1.3980054527046926E-2</v>
      </c>
      <c r="K99" s="185">
        <v>1</v>
      </c>
      <c r="L99" s="184">
        <v>6.7141144194288405E-2</v>
      </c>
      <c r="M99" s="185">
        <f t="shared" si="20"/>
        <v>6.7141144194288405E-2</v>
      </c>
      <c r="N99" s="185">
        <f t="shared" si="21"/>
        <v>0.25671239409417879</v>
      </c>
      <c r="O99" s="185">
        <f t="shared" si="22"/>
        <v>1.3980054527046926E-2</v>
      </c>
      <c r="P99" s="819">
        <f>M99*'Table ES-1 Refresh ''13'!$D$8/Commercial!$M$3</f>
        <v>6.3251549213103095E-2</v>
      </c>
      <c r="Q99" s="819">
        <f>N99*'Table ES-1 Refresh ''13'!$G$8/Commercial!$N$3</f>
        <v>0.23160323005356545</v>
      </c>
      <c r="R99" s="819">
        <f>O99*'Table ES-1 Refresh ''13'!$J$8/Commercial!$O$3</f>
        <v>1.2056111721310858E-2</v>
      </c>
    </row>
    <row r="100" spans="1:18">
      <c r="A100" s="177">
        <v>731</v>
      </c>
      <c r="B100" s="169" t="s">
        <v>98</v>
      </c>
      <c r="C100" s="170">
        <v>1.9394429923470395</v>
      </c>
      <c r="D100" s="170">
        <v>0.25671239409417879</v>
      </c>
      <c r="E100" s="172">
        <v>6</v>
      </c>
      <c r="F100" s="172">
        <v>1</v>
      </c>
      <c r="H100" s="174">
        <f t="shared" si="18"/>
        <v>7.7329891196926832</v>
      </c>
      <c r="I100" s="174">
        <f t="shared" si="19"/>
        <v>0.67387104738032844</v>
      </c>
      <c r="J100" s="140">
        <v>0.41073983055068608</v>
      </c>
      <c r="K100" s="185">
        <v>1</v>
      </c>
      <c r="L100" s="184">
        <v>1.9394429923470395</v>
      </c>
      <c r="M100" s="185">
        <f t="shared" si="20"/>
        <v>1.9394429923470395</v>
      </c>
      <c r="N100" s="185">
        <f t="shared" si="21"/>
        <v>0.67387104738032844</v>
      </c>
      <c r="O100" s="185">
        <f t="shared" si="22"/>
        <v>0.41073983055068608</v>
      </c>
      <c r="P100" s="819">
        <f>M100*'Table ES-1 Refresh ''13'!$D$8/Commercial!$M$3</f>
        <v>1.8270879257205492</v>
      </c>
      <c r="Q100" s="819">
        <f>N100*'Table ES-1 Refresh ''13'!$G$8/Commercial!$N$3</f>
        <v>0.60795939270312926</v>
      </c>
      <c r="R100" s="819">
        <f>O100*'Table ES-1 Refresh ''13'!$J$8/Commercial!$O$3</f>
        <v>0.3542135887904424</v>
      </c>
    </row>
    <row r="101" spans="1:18">
      <c r="A101" s="168">
        <v>732</v>
      </c>
      <c r="B101" s="176" t="s">
        <v>97</v>
      </c>
      <c r="C101" s="170">
        <v>7.7329891196926832</v>
      </c>
      <c r="D101" s="170">
        <v>0.67387104738032844</v>
      </c>
      <c r="E101" s="172">
        <v>6</v>
      </c>
      <c r="F101" s="172">
        <v>1</v>
      </c>
      <c r="H101" s="174">
        <f t="shared" si="18"/>
        <v>39.134400739994717</v>
      </c>
      <c r="I101" s="174">
        <f t="shared" si="19"/>
        <v>3.3951529182511031</v>
      </c>
      <c r="J101" s="140">
        <v>1.6442453556080014</v>
      </c>
      <c r="K101" s="185">
        <v>1</v>
      </c>
      <c r="L101" s="184">
        <v>7.7329891196926832</v>
      </c>
      <c r="M101" s="185">
        <f t="shared" si="20"/>
        <v>7.7329891196926832</v>
      </c>
      <c r="N101" s="185">
        <f t="shared" si="21"/>
        <v>3.3951529182511031</v>
      </c>
      <c r="O101" s="185">
        <f t="shared" si="22"/>
        <v>1.6442453556080014</v>
      </c>
      <c r="P101" s="819">
        <f>M101*'Table ES-1 Refresh ''13'!$D$8/Commercial!$M$3</f>
        <v>7.2850045637178988</v>
      </c>
      <c r="Q101" s="819">
        <f>N101*'Table ES-1 Refresh ''13'!$G$8/Commercial!$N$3</f>
        <v>3.0630713611134333</v>
      </c>
      <c r="R101" s="819">
        <f>O101*'Table ES-1 Refresh ''13'!$J$8/Commercial!$O$3</f>
        <v>1.4179634039413092</v>
      </c>
    </row>
    <row r="102" spans="1:18">
      <c r="A102" s="168">
        <v>741</v>
      </c>
      <c r="B102" s="176" t="s">
        <v>95</v>
      </c>
      <c r="C102" s="170">
        <v>39.134400739994717</v>
      </c>
      <c r="D102" s="170">
        <v>3.3951529182511031</v>
      </c>
      <c r="E102" s="172">
        <v>5</v>
      </c>
      <c r="F102" s="172">
        <v>1</v>
      </c>
      <c r="H102" s="174">
        <f t="shared" si="18"/>
        <v>14.957551637227825</v>
      </c>
      <c r="I102" s="174">
        <f t="shared" si="19"/>
        <v>2.0771204706024702</v>
      </c>
      <c r="J102" s="140">
        <v>8.2841731205326905</v>
      </c>
      <c r="K102" s="185">
        <v>1</v>
      </c>
      <c r="L102" s="184">
        <v>39.134400739994717</v>
      </c>
      <c r="M102" s="185">
        <f t="shared" si="20"/>
        <v>39.134400739994717</v>
      </c>
      <c r="N102" s="185">
        <f t="shared" si="21"/>
        <v>2.0771204706024702</v>
      </c>
      <c r="O102" s="185">
        <f t="shared" si="22"/>
        <v>8.2841731205326905</v>
      </c>
      <c r="P102" s="819">
        <f>M102*'Table ES-1 Refresh ''13'!$D$8/Commercial!$M$3</f>
        <v>36.867281665146919</v>
      </c>
      <c r="Q102" s="819">
        <f>N102*'Table ES-1 Refresh ''13'!$G$8/Commercial!$N$3</f>
        <v>1.8739563077948902</v>
      </c>
      <c r="R102" s="819">
        <f>O102*'Table ES-1 Refresh ''13'!$J$8/Commercial!$O$3</f>
        <v>7.1441006518677419</v>
      </c>
    </row>
    <row r="103" spans="1:18">
      <c r="A103" s="177">
        <v>801</v>
      </c>
      <c r="B103" s="169" t="s">
        <v>93</v>
      </c>
      <c r="C103" s="170">
        <v>14.957551637227825</v>
      </c>
      <c r="D103" s="170">
        <v>2.0771204706024702</v>
      </c>
      <c r="E103" s="172">
        <v>10</v>
      </c>
      <c r="F103" s="172">
        <v>2</v>
      </c>
      <c r="H103" s="174">
        <f>'Duke Com-New Measures Calc'!F140</f>
        <v>14.96</v>
      </c>
      <c r="I103" s="174">
        <f>'Duke Com-New Measures Calc'!G140</f>
        <v>1.7</v>
      </c>
      <c r="J103" s="174">
        <f>'Duke Com-New Measures Calc'!H140</f>
        <v>0.4</v>
      </c>
      <c r="K103" s="185">
        <v>1</v>
      </c>
      <c r="L103" s="184">
        <v>14.957551637227825</v>
      </c>
      <c r="M103" s="185">
        <f>'Duke Com-New Measures Calc'!F140</f>
        <v>14.96</v>
      </c>
      <c r="N103" s="185">
        <f t="shared" si="21"/>
        <v>1.7</v>
      </c>
      <c r="O103" s="185">
        <f t="shared" si="22"/>
        <v>0.4</v>
      </c>
      <c r="P103" s="819">
        <f>M103*'Table ES-1 Refresh ''13'!$D$8/Commercial!$M$3</f>
        <v>14.093343025103195</v>
      </c>
      <c r="Q103" s="819">
        <f>N103*'Table ES-1 Refresh ''13'!$G$8/Commercial!$N$3</f>
        <v>1.5337221737202809</v>
      </c>
      <c r="R103" s="819">
        <f>O103*'Table ES-1 Refresh ''13'!$J$8/Commercial!$O$3</f>
        <v>0.34495177963680029</v>
      </c>
    </row>
    <row r="104" spans="1:18">
      <c r="A104" s="177">
        <v>811</v>
      </c>
      <c r="B104" s="169" t="s">
        <v>91</v>
      </c>
      <c r="C104" s="170">
        <v>16.541493296081793</v>
      </c>
      <c r="D104" s="170">
        <v>2.4244010893009942</v>
      </c>
      <c r="E104" s="172">
        <v>10</v>
      </c>
      <c r="F104" s="172">
        <v>2</v>
      </c>
      <c r="H104" s="174">
        <f>'Duke Com-New Measures Calc'!F148</f>
        <v>16.54</v>
      </c>
      <c r="I104" s="174">
        <f>'Duke Com-New Measures Calc'!G148</f>
        <v>1.8</v>
      </c>
      <c r="J104" s="174">
        <f>'Duke Com-New Measures Calc'!H148</f>
        <v>0.4</v>
      </c>
      <c r="K104" s="185">
        <v>1</v>
      </c>
      <c r="L104" s="184">
        <v>16.541493296081793</v>
      </c>
      <c r="M104" s="185">
        <f>'Duke Com-New Measures Calc'!F148</f>
        <v>16.54</v>
      </c>
      <c r="N104" s="185">
        <f>'Duke Com-New Measures Calc'!G148</f>
        <v>1.8</v>
      </c>
      <c r="O104" s="185">
        <f t="shared" si="22"/>
        <v>0.4</v>
      </c>
      <c r="P104" s="819">
        <f>M104*'Table ES-1 Refresh ''13'!$D$8/Commercial!$M$3</f>
        <v>15.581811071872114</v>
      </c>
      <c r="Q104" s="819">
        <f>N104*'Table ES-1 Refresh ''13'!$G$8/Commercial!$N$3</f>
        <v>1.6239411251155915</v>
      </c>
      <c r="R104" s="819">
        <f>O104*'Table ES-1 Refresh ''13'!$J$8/Commercial!$O$3</f>
        <v>0.34495177963680029</v>
      </c>
    </row>
    <row r="105" spans="1:18">
      <c r="A105" s="177">
        <v>901</v>
      </c>
      <c r="B105" s="169" t="s">
        <v>405</v>
      </c>
      <c r="C105" s="170">
        <v>36.525960991428413</v>
      </c>
      <c r="D105" s="170">
        <v>2.8410195940673444</v>
      </c>
      <c r="E105" s="172">
        <v>10</v>
      </c>
      <c r="F105" s="172">
        <v>1</v>
      </c>
      <c r="H105" s="174">
        <f>IF(AND(F106=2,E106&gt;10),C106*10/E106,C106)</f>
        <v>0</v>
      </c>
      <c r="I105" s="174">
        <f>IF(AND(F106=2,E106&gt;10),D106*10/E106,D106)</f>
        <v>0</v>
      </c>
      <c r="J105" s="174">
        <v>4.1194784113976493</v>
      </c>
      <c r="K105" s="185">
        <v>1</v>
      </c>
      <c r="L105" s="184">
        <v>36.525960991428413</v>
      </c>
      <c r="M105" s="185">
        <f t="shared" si="20"/>
        <v>36.525960991428413</v>
      </c>
      <c r="N105" s="185">
        <f t="shared" si="21"/>
        <v>0</v>
      </c>
      <c r="O105" s="185">
        <f t="shared" si="22"/>
        <v>4.1194784113976493</v>
      </c>
      <c r="P105" s="819">
        <f>M105*'Table ES-1 Refresh ''13'!$D$8/Commercial!$M$3</f>
        <v>34.409953046372927</v>
      </c>
      <c r="Q105" s="819">
        <f>N105*'Table ES-1 Refresh ''13'!$G$8/Commercial!$N$3</f>
        <v>0</v>
      </c>
      <c r="R105" s="819">
        <f>O105*'Table ES-1 Refresh ''13'!$J$8/Commercial!$O$3</f>
        <v>3.5525535229674952</v>
      </c>
    </row>
    <row r="106" spans="1:18">
      <c r="J106" s="174"/>
      <c r="K106" s="185"/>
      <c r="L106" s="185"/>
      <c r="M106" s="185"/>
      <c r="N106" s="185"/>
      <c r="O106" s="185"/>
      <c r="P106" s="819">
        <f>M106*'Table ES-1 Refresh ''13'!$D$8/Commercial!$M$3</f>
        <v>0</v>
      </c>
      <c r="Q106" s="819">
        <f>N106*'Table ES-1 Refresh ''13'!$G$8/Commercial!$N$3</f>
        <v>0</v>
      </c>
      <c r="R106" s="819">
        <f>O106*'Table ES-1 Refresh ''13'!$J$8/Commercial!$O$3</f>
        <v>0</v>
      </c>
    </row>
    <row r="107" spans="1:18">
      <c r="B107" s="186" t="s">
        <v>446</v>
      </c>
      <c r="K107" s="185"/>
      <c r="L107" s="185"/>
      <c r="M107" s="185"/>
      <c r="N107" s="185"/>
      <c r="O107" s="185"/>
      <c r="P107" s="819">
        <f>M107*'Table ES-1 Refresh ''13'!$D$8/Commercial!$M$3</f>
        <v>0</v>
      </c>
      <c r="Q107" s="819">
        <f>N107*'Table ES-1 Refresh ''13'!$G$8/Commercial!$N$3</f>
        <v>0</v>
      </c>
      <c r="R107" s="819">
        <f>O107*'Table ES-1 Refresh ''13'!$J$8/Commercial!$O$3</f>
        <v>0</v>
      </c>
    </row>
    <row r="108" spans="1:18">
      <c r="A108" s="177">
        <v>611</v>
      </c>
      <c r="B108" s="187" t="s">
        <v>582</v>
      </c>
      <c r="C108" s="188"/>
      <c r="D108" s="188"/>
      <c r="E108" s="189"/>
      <c r="F108" s="189"/>
      <c r="G108" s="189"/>
      <c r="H108" s="190">
        <f>'Duke Com-New Measures Calc'!G17</f>
        <v>16.169620377008005</v>
      </c>
      <c r="I108" s="190">
        <f>'Duke Com-New Measures Calc'!H17</f>
        <v>6.1806545958863248</v>
      </c>
      <c r="J108" s="190">
        <f>'Duke Com-New Measures Calc'!I17</f>
        <v>15.499079969622802</v>
      </c>
      <c r="K108" s="185">
        <v>0.875</v>
      </c>
      <c r="L108" s="184">
        <f>H108</f>
        <v>16.169620377008005</v>
      </c>
      <c r="M108" s="185">
        <f>L108*K108</f>
        <v>14.148417829882005</v>
      </c>
      <c r="N108" s="185">
        <f>K108*I108</f>
        <v>5.4080727714005343</v>
      </c>
      <c r="O108" s="185">
        <f>K108*J108</f>
        <v>13.561694973419952</v>
      </c>
      <c r="P108" s="819">
        <f>M108*'Table ES-1 Refresh ''13'!$D$8/Commercial!$M$3</f>
        <v>13.328777121591793</v>
      </c>
      <c r="Q108" s="819">
        <f>N108*'Table ES-1 Refresh ''13'!$G$8/Commercial!$N$3</f>
        <v>4.8791065450528777</v>
      </c>
      <c r="R108" s="819">
        <f>O108*'Table ES-1 Refresh ''13'!$J$8/Commercial!$O$3</f>
        <v>11.695327039931652</v>
      </c>
    </row>
    <row r="109" spans="1:18">
      <c r="A109" s="177">
        <v>612</v>
      </c>
      <c r="B109" s="187" t="s">
        <v>583</v>
      </c>
      <c r="C109" s="188"/>
      <c r="D109" s="188"/>
      <c r="E109" s="189"/>
      <c r="F109" s="189"/>
      <c r="G109" s="189"/>
      <c r="H109" s="190">
        <f>'Duke Com-New Measures Calc'!G19</f>
        <v>20.159526703802182</v>
      </c>
      <c r="I109" s="190">
        <f>'Duke Com-New Measures Calc'!H19</f>
        <v>1.4731583146803162</v>
      </c>
      <c r="J109" s="190">
        <f>'Duke Com-New Measures Calc'!I19</f>
        <v>3.6942039347000111</v>
      </c>
      <c r="K109" s="185">
        <v>0.875</v>
      </c>
      <c r="L109" s="184">
        <f t="shared" ref="L109:L111" si="23">H109</f>
        <v>20.159526703802182</v>
      </c>
      <c r="M109" s="185">
        <f t="shared" ref="M109:M111" si="24">L109*K109</f>
        <v>17.639585865826909</v>
      </c>
      <c r="N109" s="185">
        <f t="shared" ref="N109:N111" si="25">K109*I109</f>
        <v>1.2890135253452768</v>
      </c>
      <c r="O109" s="185">
        <f t="shared" ref="O109:O111" si="26">K109*J109</f>
        <v>3.2324284428625099</v>
      </c>
      <c r="P109" s="819">
        <f>M109*'Table ES-1 Refresh ''13'!$D$8/Commercial!$M$3</f>
        <v>16.617696151594956</v>
      </c>
      <c r="Q109" s="819">
        <f>N109*'Table ES-1 Refresh ''13'!$G$8/Commercial!$N$3</f>
        <v>1.1629344859102355</v>
      </c>
      <c r="R109" s="819">
        <f>O109*'Table ES-1 Refresh ''13'!$J$8/Commercial!$O$3</f>
        <v>2.7875798597850849</v>
      </c>
    </row>
    <row r="110" spans="1:18">
      <c r="A110" s="177">
        <v>613</v>
      </c>
      <c r="B110" s="911" t="s">
        <v>855</v>
      </c>
      <c r="C110" s="188"/>
      <c r="D110" s="188"/>
      <c r="E110" s="189"/>
      <c r="F110" s="189"/>
      <c r="G110" s="189"/>
      <c r="H110" s="190">
        <f>'Duke Com-New Measures Calc'!G21</f>
        <v>15.206915706223073</v>
      </c>
      <c r="I110" s="190">
        <f>'Duke Com-New Measures Calc'!H21</f>
        <v>0.45757190077191634</v>
      </c>
      <c r="J110" s="190">
        <f>'Duke Com-New Measures Calc'!I21</f>
        <v>1.1474421312325789</v>
      </c>
      <c r="K110" s="185">
        <v>0.875</v>
      </c>
      <c r="L110" s="184">
        <f t="shared" si="23"/>
        <v>15.206915706223073</v>
      </c>
      <c r="M110" s="185">
        <f t="shared" si="24"/>
        <v>13.306051242945189</v>
      </c>
      <c r="N110" s="185">
        <f t="shared" si="25"/>
        <v>0.4003754131754268</v>
      </c>
      <c r="O110" s="185">
        <f t="shared" si="26"/>
        <v>1.0040118648285066</v>
      </c>
      <c r="P110" s="819">
        <f>M110*'Table ES-1 Refresh ''13'!$D$8/Commercial!$M$3</f>
        <v>12.535210192274549</v>
      </c>
      <c r="Q110" s="819">
        <f>N110*'Table ES-1 Refresh ''13'!$G$8/Commercial!$N$3</f>
        <v>0.36121449941151251</v>
      </c>
      <c r="R110" s="819">
        <f>O110*'Table ES-1 Refresh ''13'!$J$8/Commercial!$O$3</f>
        <v>0.86583919887263983</v>
      </c>
    </row>
    <row r="111" spans="1:18">
      <c r="A111" s="177">
        <v>910</v>
      </c>
      <c r="B111" s="169" t="s">
        <v>455</v>
      </c>
      <c r="C111" s="188"/>
      <c r="D111" s="188"/>
      <c r="E111" s="189"/>
      <c r="F111" s="189"/>
      <c r="G111" s="189"/>
      <c r="H111" s="190">
        <f>'Duke Com-New Measures Calc'!G30</f>
        <v>34.351635343816362</v>
      </c>
      <c r="I111" s="190">
        <f>'Duke Com-New Measures Calc'!H30</f>
        <v>2.8661487158030829</v>
      </c>
      <c r="J111" s="190">
        <f>'Duke Com-New Measures Calc'!I30</f>
        <v>5.5637004483236305</v>
      </c>
      <c r="K111" s="185">
        <v>1</v>
      </c>
      <c r="L111" s="184">
        <f t="shared" si="23"/>
        <v>34.351635343816362</v>
      </c>
      <c r="M111" s="185">
        <f t="shared" si="24"/>
        <v>34.351635343816362</v>
      </c>
      <c r="N111" s="185">
        <f t="shared" si="25"/>
        <v>2.8661487158030829</v>
      </c>
      <c r="O111" s="185">
        <f t="shared" si="26"/>
        <v>5.5637004483236305</v>
      </c>
      <c r="P111" s="819">
        <f>M111*'Table ES-1 Refresh ''13'!$D$8/Commercial!$M$3</f>
        <v>32.361589597169967</v>
      </c>
      <c r="Q111" s="819">
        <f>N111*'Table ES-1 Refresh ''13'!$G$8/Commercial!$N$3</f>
        <v>2.5858093168277039</v>
      </c>
      <c r="R111" s="819">
        <f>O111*'Table ES-1 Refresh ''13'!$J$8/Commercial!$O$3</f>
        <v>4.7980209275382499</v>
      </c>
    </row>
    <row r="112" spans="1:18">
      <c r="A112" s="177">
        <v>203</v>
      </c>
      <c r="B112" s="169" t="s">
        <v>561</v>
      </c>
      <c r="H112" s="138">
        <f>'Duke Com-New Measures Calc'!F83</f>
        <v>64.236350000000002</v>
      </c>
      <c r="I112" s="138">
        <v>0</v>
      </c>
      <c r="J112" s="138">
        <v>0</v>
      </c>
      <c r="K112" s="185">
        <v>1</v>
      </c>
      <c r="L112" s="184">
        <f t="shared" ref="L112:L118" si="27">H112</f>
        <v>64.236350000000002</v>
      </c>
      <c r="M112" s="185">
        <f t="shared" ref="M112:M118" si="28">L112*K112</f>
        <v>64.236350000000002</v>
      </c>
      <c r="N112" s="185">
        <f t="shared" ref="N112:N118" si="29">K112*I112</f>
        <v>0</v>
      </c>
      <c r="O112" s="185">
        <f t="shared" ref="O112:O118" si="30">K112*J112</f>
        <v>0</v>
      </c>
      <c r="P112" s="819">
        <f>M112*'Table ES-1 Refresh ''13'!$D$8/Commercial!$M$3</f>
        <v>60.515034440547296</v>
      </c>
      <c r="Q112" s="819">
        <f>N112*'Table ES-1 Refresh ''13'!$G$8/Commercial!$N$3</f>
        <v>0</v>
      </c>
      <c r="R112" s="819">
        <f>O112*'Table ES-1 Refresh ''13'!$J$8/Commercial!$O$3</f>
        <v>0</v>
      </c>
    </row>
    <row r="113" spans="1:18">
      <c r="A113" s="177">
        <v>132</v>
      </c>
      <c r="B113" s="169" t="s">
        <v>555</v>
      </c>
      <c r="H113" s="138">
        <f>'Duke Com-New Measures Calc'!F74</f>
        <v>26.462800000000001</v>
      </c>
      <c r="I113" s="138">
        <f>'Duke Com-New Measures Calc'!G74</f>
        <v>2.2160000000000002</v>
      </c>
      <c r="J113" s="138">
        <f>'Duke Com-New Measures Calc'!H74</f>
        <v>3.0559999999999996</v>
      </c>
      <c r="K113" s="185">
        <v>1</v>
      </c>
      <c r="L113" s="184">
        <f>H113</f>
        <v>26.462800000000001</v>
      </c>
      <c r="M113" s="185">
        <f t="shared" si="28"/>
        <v>26.462800000000001</v>
      </c>
      <c r="N113" s="185">
        <f t="shared" si="29"/>
        <v>2.2160000000000002</v>
      </c>
      <c r="O113" s="185">
        <f t="shared" si="30"/>
        <v>3.0559999999999996</v>
      </c>
      <c r="P113" s="819">
        <f>M113*'Table ES-1 Refresh ''13'!$D$8/Commercial!$M$3</f>
        <v>24.929767232934548</v>
      </c>
      <c r="Q113" s="819">
        <f>N113*'Table ES-1 Refresh ''13'!$G$8/Commercial!$N$3</f>
        <v>1.999251962920084</v>
      </c>
      <c r="R113" s="819">
        <f>O113*'Table ES-1 Refresh ''13'!$J$8/Commercial!$O$3</f>
        <v>2.6354315964251542</v>
      </c>
    </row>
    <row r="114" spans="1:18">
      <c r="A114" s="177">
        <v>154</v>
      </c>
      <c r="B114" s="169" t="s">
        <v>553</v>
      </c>
      <c r="H114" s="138">
        <f>'Duke Com-New Measures Calc'!F65</f>
        <v>16.301461453010223</v>
      </c>
      <c r="I114" s="138">
        <f>'Duke Com-New Measures Calc'!G65</f>
        <v>2.1224091207843712</v>
      </c>
      <c r="J114" s="138">
        <f>'Duke Com-New Measures Calc'!H65</f>
        <v>4.5066397827784082</v>
      </c>
      <c r="K114" s="185">
        <v>1</v>
      </c>
      <c r="L114" s="184">
        <f t="shared" si="27"/>
        <v>16.301461453010223</v>
      </c>
      <c r="M114" s="185">
        <f t="shared" si="28"/>
        <v>16.301461453010223</v>
      </c>
      <c r="N114" s="185">
        <f t="shared" si="29"/>
        <v>2.1224091207843712</v>
      </c>
      <c r="O114" s="185">
        <f t="shared" si="30"/>
        <v>4.5066397827784082</v>
      </c>
      <c r="P114" s="819">
        <f>M114*'Table ES-1 Refresh ''13'!$D$8/Commercial!$M$3</f>
        <v>15.357091448380363</v>
      </c>
      <c r="Q114" s="819">
        <f>N114*'Table ES-1 Refresh ''13'!$G$8/Commercial!$N$3</f>
        <v>1.9148152530900919</v>
      </c>
      <c r="R114" s="819">
        <f>O114*'Table ES-1 Refresh ''13'!$J$8/Commercial!$O$3</f>
        <v>3.8864335331285376</v>
      </c>
    </row>
    <row r="115" spans="1:18">
      <c r="A115" s="177">
        <v>146</v>
      </c>
      <c r="B115" s="169" t="s">
        <v>550</v>
      </c>
      <c r="H115" s="138">
        <f>'Duke Com-New Measures Calc'!F91</f>
        <v>38.72</v>
      </c>
      <c r="I115" s="138">
        <f>'Duke Com-New Measures Calc'!G91</f>
        <v>4.6333333333333329</v>
      </c>
      <c r="J115" s="138">
        <f>'Duke Com-New Measures Calc'!H91</f>
        <v>4.3</v>
      </c>
      <c r="K115" s="185">
        <v>1</v>
      </c>
      <c r="L115" s="184">
        <f t="shared" si="27"/>
        <v>38.72</v>
      </c>
      <c r="M115" s="185">
        <f t="shared" si="28"/>
        <v>38.72</v>
      </c>
      <c r="N115" s="185">
        <f t="shared" si="29"/>
        <v>4.6333333333333329</v>
      </c>
      <c r="O115" s="185">
        <f t="shared" si="30"/>
        <v>4.3</v>
      </c>
      <c r="P115" s="819">
        <f>M115*'Table ES-1 Refresh ''13'!$D$8/Commercial!$M$3</f>
        <v>36.476887829678851</v>
      </c>
      <c r="Q115" s="819">
        <f>N115*'Table ES-1 Refresh ''13'!$G$8/Commercial!$N$3</f>
        <v>4.1801447479827258</v>
      </c>
      <c r="R115" s="819">
        <f>O115*'Table ES-1 Refresh ''13'!$J$8/Commercial!$O$3</f>
        <v>3.7082316310956025</v>
      </c>
    </row>
    <row r="116" spans="1:18">
      <c r="A116" s="177">
        <v>125</v>
      </c>
      <c r="B116" s="169" t="s">
        <v>541</v>
      </c>
      <c r="H116" s="138">
        <f>'Duke Com-New Measures Calc'!F104</f>
        <v>37.555312499999999</v>
      </c>
      <c r="I116" s="138">
        <f>'Duke Com-New Measures Calc'!G104</f>
        <v>1.9687499999999993</v>
      </c>
      <c r="J116" s="138">
        <f>'Duke Com-New Measures Calc'!H104</f>
        <v>2.4281249999999996</v>
      </c>
      <c r="K116" s="185">
        <v>1</v>
      </c>
      <c r="L116" s="184">
        <f t="shared" si="27"/>
        <v>37.555312499999999</v>
      </c>
      <c r="M116" s="185">
        <f t="shared" si="28"/>
        <v>37.555312499999999</v>
      </c>
      <c r="N116" s="185">
        <f t="shared" si="29"/>
        <v>1.9687499999999993</v>
      </c>
      <c r="O116" s="185">
        <f t="shared" si="30"/>
        <v>2.4281249999999996</v>
      </c>
      <c r="P116" s="819">
        <f>M116*'Table ES-1 Refresh ''13'!$D$8/Commercial!$M$3</f>
        <v>35.379672558652793</v>
      </c>
      <c r="Q116" s="819">
        <f>N116*'Table ES-1 Refresh ''13'!$G$8/Commercial!$N$3</f>
        <v>1.7761856055951777</v>
      </c>
      <c r="R116" s="819">
        <f>O116*'Table ES-1 Refresh ''13'!$J$8/Commercial!$O$3</f>
        <v>2.093965099826514</v>
      </c>
    </row>
    <row r="117" spans="1:18">
      <c r="A117" s="177">
        <v>337</v>
      </c>
      <c r="B117" s="169" t="s">
        <v>536</v>
      </c>
      <c r="H117" s="138">
        <f>'Duke Com-New Measures Calc'!F129</f>
        <v>106.81513000000002</v>
      </c>
      <c r="I117" s="138">
        <v>74.494830894384407</v>
      </c>
      <c r="J117" s="138">
        <v>0</v>
      </c>
      <c r="K117" s="185">
        <v>1</v>
      </c>
      <c r="L117" s="184">
        <f t="shared" si="27"/>
        <v>106.81513000000002</v>
      </c>
      <c r="M117" s="185">
        <f t="shared" si="28"/>
        <v>106.81513000000002</v>
      </c>
      <c r="N117" s="185">
        <f t="shared" si="29"/>
        <v>74.494830894384407</v>
      </c>
      <c r="O117" s="185">
        <f t="shared" si="30"/>
        <v>0</v>
      </c>
      <c r="P117" s="819">
        <f>M117*'Table ES-1 Refresh ''13'!$D$8/Commercial!$M$3</f>
        <v>100.62715690915716</v>
      </c>
      <c r="Q117" s="819">
        <f>N117*'Table ES-1 Refresh ''13'!$G$8/Commercial!$N$3</f>
        <v>67.208455276623525</v>
      </c>
      <c r="R117" s="819">
        <f>O117*'Table ES-1 Refresh ''13'!$J$8/Commercial!$O$3</f>
        <v>0</v>
      </c>
    </row>
    <row r="118" spans="1:18">
      <c r="A118" s="177">
        <v>338</v>
      </c>
      <c r="B118" s="169" t="s">
        <v>535</v>
      </c>
      <c r="H118" s="138">
        <f>'Duke Com-New Measures Calc'!F131</f>
        <v>251.47162010000008</v>
      </c>
      <c r="I118" s="138">
        <v>141.51258802122132</v>
      </c>
      <c r="J118" s="138">
        <v>11.5060225494225</v>
      </c>
      <c r="K118" s="185">
        <v>1</v>
      </c>
      <c r="L118" s="184">
        <f t="shared" si="27"/>
        <v>251.47162010000008</v>
      </c>
      <c r="M118" s="185">
        <f t="shared" si="28"/>
        <v>251.47162010000008</v>
      </c>
      <c r="N118" s="185">
        <f t="shared" si="29"/>
        <v>141.51258802122132</v>
      </c>
      <c r="O118" s="185">
        <f t="shared" si="30"/>
        <v>11.5060225494225</v>
      </c>
      <c r="P118" s="819">
        <f>M118*'Table ES-1 Refresh ''13'!$D$8/Commercial!$M$3</f>
        <v>236.90346277725513</v>
      </c>
      <c r="Q118" s="819">
        <f>N118*'Table ES-1 Refresh ''13'!$G$8/Commercial!$N$3</f>
        <v>127.67117300511185</v>
      </c>
      <c r="R118" s="819">
        <f>O118*'Table ES-1 Refresh ''13'!$J$8/Commercial!$O$3</f>
        <v>9.9225573874111141</v>
      </c>
    </row>
    <row r="119" spans="1:18">
      <c r="A119" s="180">
        <v>812</v>
      </c>
      <c r="B119" s="191" t="s">
        <v>524</v>
      </c>
      <c r="H119" s="139">
        <f>'Duke Com-New Measures Calc'!F157</f>
        <v>16.54</v>
      </c>
      <c r="I119" s="139">
        <f>'Duke Com-New Measures Calc'!G157</f>
        <v>1.8</v>
      </c>
      <c r="J119" s="139">
        <f>'Duke Com-New Measures Calc'!H157</f>
        <v>0.4</v>
      </c>
      <c r="K119" s="185">
        <v>1</v>
      </c>
      <c r="L119" s="184">
        <f t="shared" ref="L119:L122" si="31">H119</f>
        <v>16.54</v>
      </c>
      <c r="M119" s="185">
        <f t="shared" ref="M119:M122" si="32">L119*K119</f>
        <v>16.54</v>
      </c>
      <c r="N119" s="185">
        <f t="shared" ref="N119:N122" si="33">K119*I119</f>
        <v>1.8</v>
      </c>
      <c r="O119" s="185">
        <f t="shared" ref="O119:O122" si="34">K119*J119</f>
        <v>0.4</v>
      </c>
      <c r="P119" s="819">
        <f>M119*'Table ES-1 Refresh ''13'!$D$8/Commercial!$M$3</f>
        <v>15.581811071872114</v>
      </c>
      <c r="Q119" s="819">
        <f>N119*'Table ES-1 Refresh ''13'!$G$8/Commercial!$N$3</f>
        <v>1.6239411251155915</v>
      </c>
      <c r="R119" s="819">
        <f>O119*'Table ES-1 Refresh ''13'!$J$8/Commercial!$O$3</f>
        <v>0.34495177963680029</v>
      </c>
    </row>
    <row r="120" spans="1:18">
      <c r="A120" s="180">
        <v>813</v>
      </c>
      <c r="B120" s="191" t="s">
        <v>526</v>
      </c>
      <c r="H120" s="139">
        <f>'Duke Com-New Measures Calc'!F163</f>
        <v>14.96</v>
      </c>
      <c r="I120" s="139">
        <f>'Duke Com-New Measures Calc'!G163</f>
        <v>1.7</v>
      </c>
      <c r="J120" s="139">
        <f>'Duke Com-New Measures Calc'!H163</f>
        <v>0.4</v>
      </c>
      <c r="K120" s="185">
        <v>1</v>
      </c>
      <c r="L120" s="184">
        <f t="shared" si="31"/>
        <v>14.96</v>
      </c>
      <c r="M120" s="185">
        <f t="shared" si="32"/>
        <v>14.96</v>
      </c>
      <c r="N120" s="185">
        <f t="shared" si="33"/>
        <v>1.7</v>
      </c>
      <c r="O120" s="185">
        <f t="shared" si="34"/>
        <v>0.4</v>
      </c>
      <c r="P120" s="819">
        <f>M120*'Table ES-1 Refresh ''13'!$D$8/Commercial!$M$3</f>
        <v>14.093343025103195</v>
      </c>
      <c r="Q120" s="819">
        <f>N120*'Table ES-1 Refresh ''13'!$G$8/Commercial!$N$3</f>
        <v>1.5337221737202809</v>
      </c>
      <c r="R120" s="819">
        <f>O120*'Table ES-1 Refresh ''13'!$J$8/Commercial!$O$3</f>
        <v>0.34495177963680029</v>
      </c>
    </row>
    <row r="121" spans="1:18">
      <c r="A121" s="180">
        <v>814</v>
      </c>
      <c r="B121" s="191" t="s">
        <v>614</v>
      </c>
      <c r="H121" s="139">
        <f>'Duke Com-New Measures Calc'!F169</f>
        <v>14.96</v>
      </c>
      <c r="I121" s="139">
        <f>'Duke Com-New Measures Calc'!G169</f>
        <v>1.7</v>
      </c>
      <c r="J121" s="139">
        <f>'Duke Com-New Measures Calc'!H169</f>
        <v>0.4</v>
      </c>
      <c r="K121" s="185">
        <v>1</v>
      </c>
      <c r="L121" s="184">
        <f t="shared" si="31"/>
        <v>14.96</v>
      </c>
      <c r="M121" s="185">
        <f t="shared" si="32"/>
        <v>14.96</v>
      </c>
      <c r="N121" s="185">
        <f t="shared" si="33"/>
        <v>1.7</v>
      </c>
      <c r="O121" s="185">
        <f t="shared" si="34"/>
        <v>0.4</v>
      </c>
      <c r="P121" s="819">
        <f>M121*'Table ES-1 Refresh ''13'!$D$8/Commercial!$M$3</f>
        <v>14.093343025103195</v>
      </c>
      <c r="Q121" s="819">
        <f>N121*'Table ES-1 Refresh ''13'!$G$8/Commercial!$N$3</f>
        <v>1.5337221737202809</v>
      </c>
      <c r="R121" s="819">
        <f>O121*'Table ES-1 Refresh ''13'!$J$8/Commercial!$O$3</f>
        <v>0.34495177963680029</v>
      </c>
    </row>
    <row r="122" spans="1:18">
      <c r="A122" s="180">
        <v>518</v>
      </c>
      <c r="B122" s="191" t="s">
        <v>528</v>
      </c>
      <c r="H122" s="139">
        <f>'Duke Com-New Measures Calc'!F175</f>
        <v>8.9114626297459498</v>
      </c>
      <c r="I122" s="139">
        <f>'Duke Com-New Measures Calc'!G175</f>
        <v>0.4502216218290942</v>
      </c>
      <c r="J122" s="139">
        <f>'Duke Com-New Measures Calc'!H175</f>
        <v>0.90588641406085391</v>
      </c>
      <c r="K122" s="185">
        <v>1</v>
      </c>
      <c r="L122" s="184">
        <f t="shared" si="31"/>
        <v>8.9114626297459498</v>
      </c>
      <c r="M122" s="185">
        <f t="shared" si="32"/>
        <v>8.9114626297459498</v>
      </c>
      <c r="N122" s="185">
        <f t="shared" si="33"/>
        <v>0.4502216218290942</v>
      </c>
      <c r="O122" s="185">
        <f t="shared" si="34"/>
        <v>0.90588641406085391</v>
      </c>
      <c r="P122" s="819">
        <f>M122*'Table ES-1 Refresh ''13'!$D$8/Commercial!$M$3</f>
        <v>8.3952071989570758</v>
      </c>
      <c r="Q122" s="819">
        <f>N122*'Table ES-1 Refresh ''13'!$G$8/Commercial!$N$3</f>
        <v>0.4061852261691698</v>
      </c>
      <c r="R122" s="819">
        <f>O122*'Table ES-1 Refresh ''13'!$J$8/Commercial!$O$3</f>
        <v>0.78121782669772721</v>
      </c>
    </row>
  </sheetData>
  <mergeCells count="4">
    <mergeCell ref="H7:J7"/>
    <mergeCell ref="K6:O6"/>
    <mergeCell ref="M7:O7"/>
    <mergeCell ref="P4:R4"/>
  </mergeCells>
  <pageMargins left="0.75" right="0.75" top="1" bottom="1" header="0.5" footer="0.5"/>
  <pageSetup paperSize="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workbookViewId="0">
      <selection activeCell="F9" sqref="F9"/>
    </sheetView>
  </sheetViews>
  <sheetFormatPr defaultRowHeight="15"/>
  <cols>
    <col min="1" max="1" width="2.140625" style="63" customWidth="1"/>
    <col min="2" max="3" width="9.140625" style="63"/>
    <col min="4" max="4" width="13.5703125" style="63" customWidth="1"/>
    <col min="5" max="5" width="52" style="63" bestFit="1" customWidth="1"/>
    <col min="6" max="6" width="14.5703125" style="63" bestFit="1" customWidth="1"/>
    <col min="7" max="8" width="14.5703125" style="63" customWidth="1"/>
    <col min="9" max="10" width="9.140625" style="63"/>
    <col min="11" max="11" width="7.140625" style="63" bestFit="1" customWidth="1"/>
    <col min="12" max="16384" width="9.140625" style="63"/>
  </cols>
  <sheetData>
    <row r="1" spans="2:11" ht="9" customHeight="1"/>
    <row r="2" spans="2:11">
      <c r="B2" s="948" t="s">
        <v>434</v>
      </c>
      <c r="C2" s="949"/>
      <c r="D2" s="949"/>
      <c r="E2" s="949"/>
      <c r="F2" s="949"/>
      <c r="G2" s="949"/>
      <c r="H2" s="949"/>
    </row>
    <row r="4" spans="2:11">
      <c r="B4" s="63" t="s">
        <v>426</v>
      </c>
      <c r="F4" s="63" t="s">
        <v>427</v>
      </c>
    </row>
    <row r="6" spans="2:11">
      <c r="F6" s="63" t="s">
        <v>428</v>
      </c>
      <c r="G6" s="63" t="s">
        <v>429</v>
      </c>
      <c r="H6" s="64" t="s">
        <v>430</v>
      </c>
    </row>
    <row r="7" spans="2:11">
      <c r="D7" s="63" t="s">
        <v>86</v>
      </c>
      <c r="E7" s="63" t="s">
        <v>431</v>
      </c>
      <c r="H7" s="65" t="s">
        <v>396</v>
      </c>
    </row>
    <row r="8" spans="2:11">
      <c r="D8" s="63">
        <v>100</v>
      </c>
      <c r="E8" s="63" t="s">
        <v>0</v>
      </c>
      <c r="F8" s="66">
        <v>0</v>
      </c>
      <c r="G8" s="67"/>
      <c r="H8" s="67"/>
    </row>
    <row r="9" spans="2:11">
      <c r="D9" s="63">
        <v>101</v>
      </c>
      <c r="E9" s="63" t="s">
        <v>432</v>
      </c>
      <c r="F9" s="66">
        <v>6.4767105865843597E-2</v>
      </c>
      <c r="G9" s="67">
        <f>F9-$F$9</f>
        <v>0</v>
      </c>
      <c r="H9" s="67"/>
      <c r="I9" s="67">
        <f>1-F9</f>
        <v>0.93523289413415644</v>
      </c>
    </row>
    <row r="10" spans="2:11">
      <c r="D10" s="63">
        <v>102</v>
      </c>
      <c r="E10" s="63" t="s">
        <v>1</v>
      </c>
      <c r="F10" s="66">
        <v>0.11353425249550854</v>
      </c>
      <c r="G10" s="67">
        <f t="shared" ref="G10:G15" si="0">F10-$F$9</f>
        <v>4.8767146629664943E-2</v>
      </c>
      <c r="H10" s="68">
        <f>G10/F10</f>
        <v>0.42953686273306985</v>
      </c>
      <c r="I10" s="67">
        <f t="shared" ref="I10:I15" si="1">1-F10</f>
        <v>0.88646574750449147</v>
      </c>
      <c r="J10" s="129">
        <f>$I$9-I10</f>
        <v>4.876714662966497E-2</v>
      </c>
      <c r="K10" s="128"/>
    </row>
    <row r="11" spans="2:11">
      <c r="D11" s="63">
        <v>103</v>
      </c>
      <c r="E11" s="63" t="s">
        <v>2</v>
      </c>
      <c r="F11" s="66">
        <v>0.17964952355614636</v>
      </c>
      <c r="G11" s="67">
        <f t="shared" si="0"/>
        <v>0.11488241769030276</v>
      </c>
      <c r="H11" s="68">
        <f t="shared" ref="H11:H12" si="2">G11/F11</f>
        <v>0.63948078133587838</v>
      </c>
      <c r="I11" s="67">
        <f t="shared" si="1"/>
        <v>0.82035047644385362</v>
      </c>
      <c r="J11" s="129">
        <f t="shared" ref="J11:J15" si="3">$I$9-I11</f>
        <v>0.11488241769030283</v>
      </c>
      <c r="K11" s="128"/>
    </row>
    <row r="12" spans="2:11">
      <c r="D12" s="63">
        <v>104</v>
      </c>
      <c r="E12" s="63" t="s">
        <v>3</v>
      </c>
      <c r="F12" s="66">
        <v>0.22934236423856458</v>
      </c>
      <c r="G12" s="67">
        <f t="shared" si="0"/>
        <v>0.16457525837272097</v>
      </c>
      <c r="H12" s="68">
        <f t="shared" si="2"/>
        <v>0.71759641494550863</v>
      </c>
      <c r="I12" s="67">
        <f t="shared" si="1"/>
        <v>0.77065763576143542</v>
      </c>
      <c r="J12" s="129">
        <f t="shared" si="3"/>
        <v>0.16457525837272102</v>
      </c>
      <c r="K12" s="128"/>
    </row>
    <row r="13" spans="2:11">
      <c r="D13" s="65">
        <v>105</v>
      </c>
      <c r="E13" s="65" t="s">
        <v>4</v>
      </c>
      <c r="F13" s="66">
        <v>0.203448054413922</v>
      </c>
      <c r="G13" s="67">
        <f t="shared" si="0"/>
        <v>0.13868094854807839</v>
      </c>
      <c r="H13" s="69">
        <f>G13/F13</f>
        <v>0.68165286194345842</v>
      </c>
      <c r="I13" s="67">
        <f t="shared" si="1"/>
        <v>0.796551945586078</v>
      </c>
      <c r="J13" s="129">
        <f t="shared" si="3"/>
        <v>0.13868094854807844</v>
      </c>
      <c r="K13" s="128"/>
    </row>
    <row r="14" spans="2:11">
      <c r="D14" s="65">
        <v>106</v>
      </c>
      <c r="E14" s="65" t="s">
        <v>5</v>
      </c>
      <c r="F14" s="66">
        <v>0.25683918009488121</v>
      </c>
      <c r="G14" s="67">
        <f t="shared" si="0"/>
        <v>0.1920720742290376</v>
      </c>
      <c r="H14" s="69">
        <f t="shared" ref="H14" si="4">G14/F14</f>
        <v>0.74783011750030726</v>
      </c>
      <c r="I14" s="67">
        <f t="shared" si="1"/>
        <v>0.74316081990511873</v>
      </c>
      <c r="J14" s="129">
        <f t="shared" si="3"/>
        <v>0.19207207422903771</v>
      </c>
      <c r="K14" s="128"/>
    </row>
    <row r="15" spans="2:11">
      <c r="D15" s="65">
        <v>107</v>
      </c>
      <c r="E15" s="65" t="s">
        <v>6</v>
      </c>
      <c r="F15" s="66">
        <v>0.33057041665176834</v>
      </c>
      <c r="G15" s="67">
        <f t="shared" si="0"/>
        <v>0.26580331078592473</v>
      </c>
      <c r="H15" s="69">
        <f>G15/F15</f>
        <v>0.8040747066181938</v>
      </c>
      <c r="I15" s="67">
        <f t="shared" si="1"/>
        <v>0.66942958334823166</v>
      </c>
      <c r="J15" s="129">
        <f t="shared" si="3"/>
        <v>0.26580331078592478</v>
      </c>
      <c r="K15" s="128"/>
    </row>
    <row r="17" spans="4:14">
      <c r="F17" s="63" t="s">
        <v>433</v>
      </c>
    </row>
    <row r="18" spans="4:14">
      <c r="D18" s="70">
        <v>1</v>
      </c>
      <c r="E18" s="70">
        <v>131</v>
      </c>
      <c r="F18" s="71" t="s">
        <v>4</v>
      </c>
      <c r="G18" s="72">
        <v>8.1000000000000003E-2</v>
      </c>
      <c r="H18" s="72">
        <v>7.5999999999999998E-2</v>
      </c>
      <c r="I18" s="72">
        <v>7.4999999999999997E-2</v>
      </c>
      <c r="J18" s="72">
        <v>0</v>
      </c>
      <c r="K18" s="72">
        <v>0</v>
      </c>
      <c r="L18" s="72">
        <v>0</v>
      </c>
      <c r="M18" s="72">
        <v>0</v>
      </c>
      <c r="N18" s="71" t="s">
        <v>435</v>
      </c>
    </row>
  </sheetData>
  <mergeCells count="1">
    <mergeCell ref="B2:H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topLeftCell="A76" zoomScale="70" zoomScaleNormal="70" workbookViewId="0"/>
  </sheetViews>
  <sheetFormatPr defaultRowHeight="15"/>
  <cols>
    <col min="1" max="1" width="17.28515625" style="43" customWidth="1"/>
    <col min="2" max="2" width="55.7109375" style="19" bestFit="1" customWidth="1"/>
    <col min="3" max="3" width="30.140625" style="19" customWidth="1"/>
    <col min="4" max="4" width="9.140625" style="19"/>
    <col min="5" max="5" width="11.140625" style="19" bestFit="1" customWidth="1"/>
    <col min="6" max="6" width="27.140625" style="19" bestFit="1" customWidth="1"/>
  </cols>
  <sheetData>
    <row r="1" spans="1:11">
      <c r="A1" s="30" t="s">
        <v>86</v>
      </c>
      <c r="B1" s="30" t="s">
        <v>87</v>
      </c>
      <c r="D1" s="20" t="s">
        <v>423</v>
      </c>
    </row>
    <row r="2" spans="1:11">
      <c r="A2" s="31">
        <v>110</v>
      </c>
      <c r="B2" s="31" t="s">
        <v>187</v>
      </c>
      <c r="C2" s="19">
        <v>120</v>
      </c>
      <c r="E2" s="27" t="s">
        <v>88</v>
      </c>
      <c r="F2" s="28"/>
      <c r="G2" s="4"/>
    </row>
    <row r="3" spans="1:11">
      <c r="A3" s="32">
        <v>111</v>
      </c>
      <c r="B3" s="38" t="s">
        <v>186</v>
      </c>
      <c r="C3" s="19">
        <v>121</v>
      </c>
      <c r="G3" s="62"/>
      <c r="H3" s="1"/>
      <c r="I3" s="1"/>
      <c r="J3" s="1"/>
    </row>
    <row r="4" spans="1:11">
      <c r="A4" s="32">
        <v>112</v>
      </c>
      <c r="B4" s="38" t="s">
        <v>185</v>
      </c>
      <c r="C4" s="19">
        <v>122</v>
      </c>
      <c r="E4" s="21"/>
      <c r="F4" s="22" t="s">
        <v>294</v>
      </c>
      <c r="G4" s="6"/>
      <c r="H4" s="9"/>
      <c r="I4" s="9"/>
      <c r="J4" s="9"/>
      <c r="K4" s="9"/>
    </row>
    <row r="5" spans="1:11">
      <c r="A5" s="33">
        <v>113</v>
      </c>
      <c r="B5" s="39" t="s">
        <v>180</v>
      </c>
      <c r="C5" s="19">
        <v>123</v>
      </c>
      <c r="E5" s="23"/>
      <c r="F5" s="22" t="s">
        <v>293</v>
      </c>
      <c r="G5" s="4"/>
    </row>
    <row r="6" spans="1:11">
      <c r="A6" s="33">
        <v>114</v>
      </c>
      <c r="B6" s="39" t="s">
        <v>184</v>
      </c>
      <c r="E6" s="24"/>
      <c r="F6" s="22" t="s">
        <v>298</v>
      </c>
      <c r="G6" s="6"/>
    </row>
    <row r="7" spans="1:11">
      <c r="A7" s="33">
        <v>115</v>
      </c>
      <c r="B7" s="39" t="s">
        <v>179</v>
      </c>
      <c r="C7" s="19">
        <v>124</v>
      </c>
      <c r="E7" s="25"/>
      <c r="F7" s="22" t="s">
        <v>299</v>
      </c>
      <c r="G7" s="6"/>
    </row>
    <row r="8" spans="1:11">
      <c r="A8" s="34">
        <v>120</v>
      </c>
      <c r="B8" s="40" t="s">
        <v>183</v>
      </c>
      <c r="E8" s="29"/>
      <c r="F8" s="29"/>
      <c r="G8" s="8"/>
    </row>
    <row r="9" spans="1:11">
      <c r="A9" s="35">
        <v>121</v>
      </c>
      <c r="B9" s="41" t="s">
        <v>182</v>
      </c>
      <c r="E9" s="29"/>
      <c r="F9" s="29"/>
      <c r="G9" s="8"/>
    </row>
    <row r="10" spans="1:11">
      <c r="A10" s="35">
        <v>122</v>
      </c>
      <c r="B10" s="41" t="s">
        <v>181</v>
      </c>
    </row>
    <row r="11" spans="1:11">
      <c r="A11" s="35">
        <v>123</v>
      </c>
      <c r="B11" s="41" t="s">
        <v>180</v>
      </c>
    </row>
    <row r="12" spans="1:11">
      <c r="A12" s="35">
        <v>124</v>
      </c>
      <c r="B12" s="41" t="s">
        <v>179</v>
      </c>
    </row>
    <row r="13" spans="1:11" s="1" customFormat="1">
      <c r="A13" s="36">
        <v>130</v>
      </c>
      <c r="B13" s="42" t="s">
        <v>178</v>
      </c>
      <c r="C13" s="20" t="s">
        <v>327</v>
      </c>
      <c r="D13" s="20">
        <v>53</v>
      </c>
      <c r="E13" s="22"/>
      <c r="F13" s="22"/>
    </row>
    <row r="14" spans="1:11" s="1" customFormat="1">
      <c r="A14" s="36">
        <v>131</v>
      </c>
      <c r="B14" s="42" t="s">
        <v>177</v>
      </c>
      <c r="C14" s="22"/>
      <c r="D14" s="22"/>
      <c r="E14" s="22"/>
      <c r="F14" s="22"/>
    </row>
    <row r="15" spans="1:11" s="1" customFormat="1">
      <c r="A15" s="36">
        <v>140</v>
      </c>
      <c r="B15" s="42" t="s">
        <v>176</v>
      </c>
      <c r="C15" s="20" t="s">
        <v>327</v>
      </c>
      <c r="D15" s="20">
        <v>53</v>
      </c>
      <c r="E15" s="22"/>
      <c r="F15" s="22"/>
    </row>
    <row r="16" spans="1:11">
      <c r="A16" s="36">
        <v>141</v>
      </c>
      <c r="B16" s="41" t="s">
        <v>175</v>
      </c>
    </row>
    <row r="17" spans="1:6">
      <c r="A17" s="36">
        <v>145</v>
      </c>
      <c r="B17" s="41" t="s">
        <v>174</v>
      </c>
    </row>
    <row r="18" spans="1:6">
      <c r="A18" s="36">
        <v>150</v>
      </c>
      <c r="B18" s="41" t="s">
        <v>173</v>
      </c>
    </row>
    <row r="19" spans="1:6" s="1" customFormat="1">
      <c r="A19" s="36">
        <v>151</v>
      </c>
      <c r="B19" s="42" t="s">
        <v>172</v>
      </c>
      <c r="C19" s="22"/>
      <c r="D19" s="22"/>
      <c r="E19" s="22"/>
      <c r="F19" s="22"/>
    </row>
    <row r="20" spans="1:6">
      <c r="A20" s="36">
        <v>152</v>
      </c>
      <c r="B20" s="41" t="s">
        <v>171</v>
      </c>
    </row>
    <row r="21" spans="1:6">
      <c r="A21" s="36">
        <v>153</v>
      </c>
      <c r="B21" s="41" t="s">
        <v>170</v>
      </c>
    </row>
    <row r="22" spans="1:6">
      <c r="A22" s="31">
        <v>160</v>
      </c>
      <c r="B22" s="37" t="s">
        <v>169</v>
      </c>
    </row>
    <row r="23" spans="1:6">
      <c r="A23" s="34">
        <v>161</v>
      </c>
      <c r="B23" s="40" t="s">
        <v>168</v>
      </c>
    </row>
    <row r="24" spans="1:6">
      <c r="A24" s="35">
        <v>200</v>
      </c>
      <c r="B24" s="41" t="s">
        <v>167</v>
      </c>
    </row>
    <row r="25" spans="1:6">
      <c r="A25" s="35">
        <v>201</v>
      </c>
      <c r="B25" s="41" t="s">
        <v>166</v>
      </c>
    </row>
    <row r="26" spans="1:6">
      <c r="A26" s="35">
        <v>202</v>
      </c>
      <c r="B26" s="41" t="s">
        <v>164</v>
      </c>
    </row>
    <row r="27" spans="1:6">
      <c r="A27" s="35">
        <v>210</v>
      </c>
      <c r="B27" s="41" t="s">
        <v>165</v>
      </c>
    </row>
    <row r="28" spans="1:6">
      <c r="A28" s="35">
        <v>211</v>
      </c>
      <c r="B28" s="41" t="s">
        <v>164</v>
      </c>
    </row>
    <row r="29" spans="1:6">
      <c r="A29" s="36">
        <v>300</v>
      </c>
      <c r="B29" s="42" t="s">
        <v>163</v>
      </c>
    </row>
    <row r="30" spans="1:6">
      <c r="A30" s="36">
        <v>301</v>
      </c>
      <c r="B30" s="41" t="s">
        <v>162</v>
      </c>
    </row>
    <row r="31" spans="1:6">
      <c r="A31" s="36">
        <v>302</v>
      </c>
      <c r="B31" s="41" t="s">
        <v>161</v>
      </c>
    </row>
    <row r="32" spans="1:6">
      <c r="A32" s="36">
        <v>304</v>
      </c>
      <c r="B32" s="41" t="s">
        <v>160</v>
      </c>
    </row>
    <row r="33" spans="1:6">
      <c r="A33" s="36">
        <v>305</v>
      </c>
      <c r="B33" s="41" t="s">
        <v>159</v>
      </c>
    </row>
    <row r="34" spans="1:6">
      <c r="A34" s="36">
        <v>306</v>
      </c>
      <c r="B34" s="41" t="s">
        <v>158</v>
      </c>
    </row>
    <row r="35" spans="1:6">
      <c r="A35" s="36">
        <v>307</v>
      </c>
      <c r="B35" s="41" t="s">
        <v>157</v>
      </c>
    </row>
    <row r="36" spans="1:6">
      <c r="A36" s="36">
        <v>308</v>
      </c>
      <c r="B36" s="41" t="s">
        <v>145</v>
      </c>
    </row>
    <row r="37" spans="1:6">
      <c r="A37" s="36">
        <v>309</v>
      </c>
      <c r="B37" s="41" t="s">
        <v>144</v>
      </c>
    </row>
    <row r="38" spans="1:6">
      <c r="A38" s="36">
        <v>311</v>
      </c>
      <c r="B38" s="41" t="s">
        <v>143</v>
      </c>
    </row>
    <row r="39" spans="1:6">
      <c r="A39" s="36">
        <v>313</v>
      </c>
      <c r="B39" s="41" t="s">
        <v>142</v>
      </c>
    </row>
    <row r="40" spans="1:6">
      <c r="A40" s="36">
        <v>314</v>
      </c>
      <c r="B40" s="41" t="s">
        <v>141</v>
      </c>
    </row>
    <row r="41" spans="1:6">
      <c r="A41" s="36">
        <v>315</v>
      </c>
      <c r="B41" s="41" t="s">
        <v>156</v>
      </c>
    </row>
    <row r="42" spans="1:6">
      <c r="A42" s="36">
        <v>317</v>
      </c>
      <c r="B42" s="41" t="s">
        <v>155</v>
      </c>
    </row>
    <row r="43" spans="1:6">
      <c r="A43" s="31">
        <v>320</v>
      </c>
      <c r="B43" s="37" t="s">
        <v>154</v>
      </c>
    </row>
    <row r="44" spans="1:6">
      <c r="A44" s="31">
        <v>321</v>
      </c>
      <c r="B44" s="37" t="s">
        <v>153</v>
      </c>
    </row>
    <row r="45" spans="1:6" ht="82.5" customHeight="1">
      <c r="A45" s="34"/>
      <c r="B45" s="44" t="s">
        <v>310</v>
      </c>
      <c r="C45" s="15" t="s">
        <v>307</v>
      </c>
      <c r="D45" s="19" t="s">
        <v>304</v>
      </c>
      <c r="E45" s="19" t="s">
        <v>303</v>
      </c>
      <c r="F45" s="26" t="s">
        <v>308</v>
      </c>
    </row>
    <row r="46" spans="1:6">
      <c r="A46" s="33">
        <v>322</v>
      </c>
      <c r="B46" s="39" t="s">
        <v>152</v>
      </c>
    </row>
    <row r="47" spans="1:6">
      <c r="A47" s="32">
        <v>323</v>
      </c>
      <c r="B47" s="38" t="s">
        <v>146</v>
      </c>
    </row>
    <row r="48" spans="1:6">
      <c r="A48" s="33">
        <v>326</v>
      </c>
      <c r="B48" s="39" t="s">
        <v>151</v>
      </c>
    </row>
    <row r="49" spans="1:6">
      <c r="A49" s="33">
        <v>327</v>
      </c>
      <c r="B49" s="39" t="s">
        <v>150</v>
      </c>
    </row>
    <row r="50" spans="1:6">
      <c r="A50" s="33">
        <v>328</v>
      </c>
      <c r="B50" s="39" t="s">
        <v>149</v>
      </c>
    </row>
    <row r="51" spans="1:6">
      <c r="A51" s="33">
        <v>329</v>
      </c>
      <c r="B51" s="39" t="s">
        <v>145</v>
      </c>
    </row>
    <row r="52" spans="1:6">
      <c r="A52" s="33">
        <v>330</v>
      </c>
      <c r="B52" s="39" t="s">
        <v>144</v>
      </c>
    </row>
    <row r="53" spans="1:6">
      <c r="A53" s="33">
        <v>332</v>
      </c>
      <c r="B53" s="39" t="s">
        <v>143</v>
      </c>
    </row>
    <row r="54" spans="1:6">
      <c r="A54" s="33">
        <v>334</v>
      </c>
      <c r="B54" s="39" t="s">
        <v>142</v>
      </c>
    </row>
    <row r="55" spans="1:6">
      <c r="A55" s="33">
        <v>335</v>
      </c>
      <c r="B55" s="39" t="s">
        <v>141</v>
      </c>
    </row>
    <row r="56" spans="1:6">
      <c r="A56" s="33">
        <v>336</v>
      </c>
      <c r="B56" s="39" t="s">
        <v>140</v>
      </c>
    </row>
    <row r="57" spans="1:6">
      <c r="A57" s="31">
        <v>340</v>
      </c>
      <c r="B57" s="37" t="s">
        <v>148</v>
      </c>
    </row>
    <row r="58" spans="1:6">
      <c r="A58" s="31">
        <v>341</v>
      </c>
      <c r="B58" s="37" t="s">
        <v>147</v>
      </c>
    </row>
    <row r="59" spans="1:6" ht="75">
      <c r="A59" s="34"/>
      <c r="B59" s="44" t="s">
        <v>311</v>
      </c>
      <c r="C59" s="15" t="s">
        <v>314</v>
      </c>
      <c r="D59" s="19" t="s">
        <v>304</v>
      </c>
      <c r="E59" s="19" t="s">
        <v>303</v>
      </c>
      <c r="F59" s="26" t="s">
        <v>308</v>
      </c>
    </row>
    <row r="60" spans="1:6">
      <c r="A60" s="32">
        <v>342</v>
      </c>
      <c r="B60" s="38" t="s">
        <v>146</v>
      </c>
    </row>
    <row r="61" spans="1:6">
      <c r="A61" s="33">
        <v>344</v>
      </c>
      <c r="B61" s="39" t="s">
        <v>145</v>
      </c>
    </row>
    <row r="62" spans="1:6">
      <c r="A62" s="33">
        <v>345</v>
      </c>
      <c r="B62" s="39" t="s">
        <v>144</v>
      </c>
    </row>
    <row r="63" spans="1:6">
      <c r="A63" s="33">
        <v>347</v>
      </c>
      <c r="B63" s="39" t="s">
        <v>143</v>
      </c>
    </row>
    <row r="64" spans="1:6">
      <c r="A64" s="33">
        <v>349</v>
      </c>
      <c r="B64" s="39" t="s">
        <v>142</v>
      </c>
    </row>
    <row r="65" spans="1:6">
      <c r="A65" s="33">
        <v>350</v>
      </c>
      <c r="B65" s="39" t="s">
        <v>141</v>
      </c>
    </row>
    <row r="66" spans="1:6">
      <c r="A66" s="33">
        <v>351</v>
      </c>
      <c r="B66" s="39" t="s">
        <v>140</v>
      </c>
    </row>
    <row r="67" spans="1:6">
      <c r="A67" s="31">
        <v>360</v>
      </c>
      <c r="B67" s="37" t="s">
        <v>139</v>
      </c>
    </row>
    <row r="68" spans="1:6">
      <c r="A68" s="31">
        <v>361</v>
      </c>
      <c r="B68" s="37" t="s">
        <v>138</v>
      </c>
    </row>
    <row r="69" spans="1:6" ht="75">
      <c r="A69" s="34"/>
      <c r="B69" s="44" t="s">
        <v>312</v>
      </c>
      <c r="C69" s="15" t="s">
        <v>313</v>
      </c>
      <c r="D69" s="19" t="s">
        <v>309</v>
      </c>
      <c r="E69" s="19" t="s">
        <v>303</v>
      </c>
      <c r="F69" s="26" t="s">
        <v>308</v>
      </c>
    </row>
    <row r="70" spans="1:6">
      <c r="A70" s="33">
        <v>362</v>
      </c>
      <c r="B70" s="39" t="s">
        <v>137</v>
      </c>
    </row>
    <row r="71" spans="1:6">
      <c r="A71" s="31">
        <v>400</v>
      </c>
      <c r="B71" s="37" t="s">
        <v>136</v>
      </c>
    </row>
    <row r="72" spans="1:6" ht="45">
      <c r="A72" s="34">
        <v>401</v>
      </c>
      <c r="B72" s="40" t="s">
        <v>330</v>
      </c>
      <c r="C72" s="15" t="s">
        <v>317</v>
      </c>
    </row>
    <row r="73" spans="1:6">
      <c r="A73" s="33">
        <v>402</v>
      </c>
      <c r="B73" s="39" t="s">
        <v>135</v>
      </c>
    </row>
    <row r="74" spans="1:6">
      <c r="A74" s="33">
        <v>403</v>
      </c>
      <c r="B74" s="39" t="s">
        <v>134</v>
      </c>
    </row>
    <row r="75" spans="1:6">
      <c r="A75" s="33">
        <v>404</v>
      </c>
      <c r="B75" s="39" t="s">
        <v>14</v>
      </c>
    </row>
    <row r="76" spans="1:6">
      <c r="A76" s="33">
        <v>405</v>
      </c>
      <c r="B76" s="39" t="s">
        <v>133</v>
      </c>
    </row>
    <row r="77" spans="1:6">
      <c r="A77" s="33">
        <v>406</v>
      </c>
      <c r="B77" s="39" t="s">
        <v>132</v>
      </c>
    </row>
    <row r="78" spans="1:6">
      <c r="A78" s="33">
        <v>407</v>
      </c>
      <c r="B78" s="39" t="s">
        <v>131</v>
      </c>
    </row>
    <row r="79" spans="1:6">
      <c r="A79" s="35">
        <v>500</v>
      </c>
      <c r="B79" s="41" t="s">
        <v>130</v>
      </c>
    </row>
    <row r="80" spans="1:6">
      <c r="A80" s="35">
        <v>501</v>
      </c>
      <c r="B80" s="41" t="s">
        <v>129</v>
      </c>
    </row>
    <row r="81" spans="1:4">
      <c r="A81" s="35">
        <v>502</v>
      </c>
      <c r="B81" s="41" t="s">
        <v>128</v>
      </c>
    </row>
    <row r="82" spans="1:4">
      <c r="A82" s="35">
        <v>503</v>
      </c>
      <c r="B82" s="41" t="s">
        <v>127</v>
      </c>
    </row>
    <row r="83" spans="1:4">
      <c r="A83" s="35">
        <v>504</v>
      </c>
      <c r="B83" s="41" t="s">
        <v>126</v>
      </c>
    </row>
    <row r="84" spans="1:4">
      <c r="A84" s="35">
        <v>505</v>
      </c>
      <c r="B84" s="41" t="s">
        <v>125</v>
      </c>
    </row>
    <row r="85" spans="1:4">
      <c r="A85" s="35">
        <v>506</v>
      </c>
      <c r="B85" s="41" t="s">
        <v>124</v>
      </c>
    </row>
    <row r="86" spans="1:4">
      <c r="A86" s="35">
        <v>507</v>
      </c>
      <c r="B86" s="41" t="s">
        <v>123</v>
      </c>
    </row>
    <row r="87" spans="1:4">
      <c r="A87" s="35">
        <v>508</v>
      </c>
      <c r="B87" s="41" t="s">
        <v>122</v>
      </c>
    </row>
    <row r="88" spans="1:4">
      <c r="A88" s="35">
        <v>509</v>
      </c>
      <c r="B88" s="41" t="s">
        <v>121</v>
      </c>
    </row>
    <row r="89" spans="1:4">
      <c r="A89" s="35">
        <v>510</v>
      </c>
      <c r="B89" s="41" t="s">
        <v>120</v>
      </c>
    </row>
    <row r="90" spans="1:4">
      <c r="A90" s="35">
        <v>511</v>
      </c>
      <c r="B90" s="41" t="s">
        <v>119</v>
      </c>
    </row>
    <row r="91" spans="1:4">
      <c r="A91" s="35">
        <v>513</v>
      </c>
      <c r="B91" s="41" t="s">
        <v>118</v>
      </c>
    </row>
    <row r="92" spans="1:4">
      <c r="A92" s="35">
        <v>514</v>
      </c>
      <c r="B92" s="41" t="s">
        <v>117</v>
      </c>
    </row>
    <row r="93" spans="1:4">
      <c r="A93" s="35">
        <v>515</v>
      </c>
      <c r="B93" s="41" t="s">
        <v>116</v>
      </c>
    </row>
    <row r="94" spans="1:4">
      <c r="A94" s="35">
        <v>516</v>
      </c>
      <c r="B94" s="41" t="s">
        <v>115</v>
      </c>
    </row>
    <row r="95" spans="1:4">
      <c r="A95" s="35">
        <v>517</v>
      </c>
      <c r="B95" s="41" t="s">
        <v>114</v>
      </c>
    </row>
    <row r="96" spans="1:4">
      <c r="A96" s="31">
        <v>600</v>
      </c>
      <c r="B96" s="37" t="s">
        <v>113</v>
      </c>
      <c r="C96" s="19" t="s">
        <v>424</v>
      </c>
      <c r="D96" s="20" t="s">
        <v>425</v>
      </c>
    </row>
    <row r="97" spans="1:2">
      <c r="A97" s="35">
        <v>601</v>
      </c>
      <c r="B97" s="41" t="s">
        <v>112</v>
      </c>
    </row>
    <row r="98" spans="1:2">
      <c r="A98" s="35">
        <v>603</v>
      </c>
      <c r="B98" s="41" t="s">
        <v>111</v>
      </c>
    </row>
    <row r="99" spans="1:2">
      <c r="A99" s="35">
        <v>604</v>
      </c>
      <c r="B99" s="41" t="s">
        <v>110</v>
      </c>
    </row>
    <row r="100" spans="1:2">
      <c r="A100" s="35">
        <v>606</v>
      </c>
      <c r="B100" s="41" t="s">
        <v>109</v>
      </c>
    </row>
    <row r="101" spans="1:2">
      <c r="A101" s="35">
        <v>608</v>
      </c>
      <c r="B101" s="41" t="s">
        <v>108</v>
      </c>
    </row>
    <row r="102" spans="1:2">
      <c r="A102" s="35">
        <v>609</v>
      </c>
      <c r="B102" s="41" t="s">
        <v>59</v>
      </c>
    </row>
    <row r="103" spans="1:2">
      <c r="A103" s="35">
        <v>610</v>
      </c>
      <c r="B103" s="41" t="s">
        <v>107</v>
      </c>
    </row>
    <row r="104" spans="1:2">
      <c r="A104" s="35">
        <v>700</v>
      </c>
      <c r="B104" s="41" t="s">
        <v>106</v>
      </c>
    </row>
    <row r="105" spans="1:2">
      <c r="A105" s="35">
        <v>701</v>
      </c>
      <c r="B105" s="41" t="s">
        <v>105</v>
      </c>
    </row>
    <row r="106" spans="1:2">
      <c r="A106" s="35">
        <v>702</v>
      </c>
      <c r="B106" s="41" t="s">
        <v>104</v>
      </c>
    </row>
    <row r="107" spans="1:2">
      <c r="A107" s="35">
        <v>710</v>
      </c>
      <c r="B107" s="41" t="s">
        <v>103</v>
      </c>
    </row>
    <row r="108" spans="1:2">
      <c r="A108" s="35">
        <v>711</v>
      </c>
      <c r="B108" s="41" t="s">
        <v>101</v>
      </c>
    </row>
    <row r="109" spans="1:2">
      <c r="A109" s="35">
        <v>712</v>
      </c>
      <c r="B109" s="41" t="s">
        <v>100</v>
      </c>
    </row>
    <row r="110" spans="1:2">
      <c r="A110" s="35">
        <v>720</v>
      </c>
      <c r="B110" s="41" t="s">
        <v>102</v>
      </c>
    </row>
    <row r="111" spans="1:2">
      <c r="A111" s="35">
        <v>721</v>
      </c>
      <c r="B111" s="41" t="s">
        <v>101</v>
      </c>
    </row>
    <row r="112" spans="1:2">
      <c r="A112" s="35">
        <v>722</v>
      </c>
      <c r="B112" s="41" t="s">
        <v>100</v>
      </c>
    </row>
    <row r="113" spans="1:2">
      <c r="A113" s="35">
        <v>730</v>
      </c>
      <c r="B113" s="41" t="s">
        <v>99</v>
      </c>
    </row>
    <row r="114" spans="1:2">
      <c r="A114" s="35">
        <v>731</v>
      </c>
      <c r="B114" s="41" t="s">
        <v>98</v>
      </c>
    </row>
    <row r="115" spans="1:2">
      <c r="A115" s="35">
        <v>732</v>
      </c>
      <c r="B115" s="41" t="s">
        <v>97</v>
      </c>
    </row>
    <row r="116" spans="1:2">
      <c r="A116" s="35">
        <v>740</v>
      </c>
      <c r="B116" s="41" t="s">
        <v>96</v>
      </c>
    </row>
    <row r="117" spans="1:2">
      <c r="A117" s="35">
        <v>741</v>
      </c>
      <c r="B117" s="41" t="s">
        <v>95</v>
      </c>
    </row>
    <row r="118" spans="1:2">
      <c r="A118" s="35">
        <v>800</v>
      </c>
      <c r="B118" s="41" t="s">
        <v>94</v>
      </c>
    </row>
    <row r="119" spans="1:2">
      <c r="A119" s="35">
        <v>801</v>
      </c>
      <c r="B119" s="41" t="s">
        <v>93</v>
      </c>
    </row>
    <row r="120" spans="1:2">
      <c r="A120" s="35">
        <v>810</v>
      </c>
      <c r="B120" s="41" t="s">
        <v>92</v>
      </c>
    </row>
    <row r="121" spans="1:2">
      <c r="A121" s="35">
        <v>811</v>
      </c>
      <c r="B121" s="41" t="s">
        <v>91</v>
      </c>
    </row>
    <row r="122" spans="1:2">
      <c r="A122" s="35">
        <v>900</v>
      </c>
      <c r="B122" s="41" t="s">
        <v>90</v>
      </c>
    </row>
    <row r="123" spans="1:2">
      <c r="A123" s="35">
        <v>901</v>
      </c>
      <c r="B123" s="41" t="s">
        <v>89</v>
      </c>
    </row>
  </sheetData>
  <hyperlinks>
    <hyperlink ref="F45" r:id="rId1"/>
    <hyperlink ref="F59" r:id="rId2"/>
    <hyperlink ref="F69" r:id="rId3"/>
  </hyperlinks>
  <pageMargins left="0.7" right="0.7" top="0.75" bottom="0.75" header="0.3" footer="0.3"/>
  <pageSetup scale="81" fitToHeight="8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153"/>
  <sheetViews>
    <sheetView zoomScaleNormal="100" workbookViewId="0">
      <pane ySplit="8" topLeftCell="A9" activePane="bottomLeft" state="frozen"/>
      <selection activeCell="T1" sqref="T1"/>
      <selection pane="bottomLeft" activeCell="A2" sqref="A2"/>
    </sheetView>
  </sheetViews>
  <sheetFormatPr defaultRowHeight="15"/>
  <cols>
    <col min="1" max="1" width="9.140625" style="180"/>
    <col min="2" max="2" width="56.7109375" style="180" bestFit="1" customWidth="1"/>
    <col min="3" max="4" width="12.28515625" style="138" customWidth="1"/>
    <col min="5" max="5" width="16.140625" style="139" customWidth="1"/>
    <col min="6" max="6" width="7.28515625" style="139" customWidth="1"/>
    <col min="7" max="7" width="9.140625" style="139" customWidth="1"/>
    <col min="8" max="8" width="10" style="139" customWidth="1"/>
    <col min="9" max="9" width="10.140625" style="139" customWidth="1"/>
    <col min="10" max="10" width="10.7109375" style="139" customWidth="1"/>
    <col min="11" max="11" width="16.7109375" style="140" customWidth="1"/>
    <col min="12" max="12" width="13.5703125" style="140" bestFit="1" customWidth="1"/>
    <col min="13" max="13" width="10.5703125" style="140" customWidth="1"/>
    <col min="14" max="14" width="10.85546875" style="140" customWidth="1"/>
    <col min="15" max="15" width="11.42578125" style="140" customWidth="1"/>
    <col min="16" max="16384" width="9.140625" style="139"/>
  </cols>
  <sheetData>
    <row r="1" spans="1:204" ht="4.5" customHeight="1">
      <c r="A1" s="137"/>
      <c r="B1" s="137"/>
    </row>
    <row r="2" spans="1:204">
      <c r="A2" s="141"/>
      <c r="B2" s="141"/>
      <c r="C2" s="142"/>
      <c r="D2" s="142"/>
      <c r="E2" s="142"/>
      <c r="F2" s="142"/>
      <c r="H2" s="139" t="s">
        <v>409</v>
      </c>
      <c r="I2" s="139" t="s">
        <v>407</v>
      </c>
      <c r="J2" s="139" t="s">
        <v>408</v>
      </c>
      <c r="K2" s="143"/>
      <c r="L2" s="143" t="s">
        <v>390</v>
      </c>
      <c r="M2" s="143" t="s">
        <v>409</v>
      </c>
      <c r="N2" s="143" t="s">
        <v>407</v>
      </c>
      <c r="O2" s="143" t="s">
        <v>408</v>
      </c>
      <c r="P2" s="816" t="s">
        <v>388</v>
      </c>
      <c r="Q2" s="816" t="s">
        <v>398</v>
      </c>
      <c r="R2" s="816" t="s">
        <v>399</v>
      </c>
    </row>
    <row r="3" spans="1:204">
      <c r="A3" s="144"/>
      <c r="B3" s="141"/>
      <c r="C3" s="145"/>
      <c r="D3" s="145"/>
      <c r="E3" s="145"/>
      <c r="F3" s="145"/>
      <c r="H3" s="147">
        <f>SUM(H10:H103)</f>
        <v>331.43593108354656</v>
      </c>
      <c r="I3" s="147">
        <f>SUM(I10:I103)</f>
        <v>39.186242678090338</v>
      </c>
      <c r="J3" s="147">
        <f>SUM(J9:J107)</f>
        <v>38.049955875926315</v>
      </c>
      <c r="K3" s="148"/>
      <c r="L3" s="917">
        <f>SUM(L9:L144)</f>
        <v>491.20316499889287</v>
      </c>
      <c r="M3" s="917">
        <f>SUM(M9:M153)</f>
        <v>519.30109692744384</v>
      </c>
      <c r="N3" s="917">
        <f>SUM(N9:N153)</f>
        <v>74.082098893890787</v>
      </c>
      <c r="O3" s="917">
        <f>SUM(O9:O153)</f>
        <v>51.521001909073398</v>
      </c>
      <c r="P3" s="818">
        <f t="shared" ref="P3:R3" si="0">SUM(P9:P153)</f>
        <v>489.21714520794319</v>
      </c>
      <c r="Q3" s="818">
        <f t="shared" si="0"/>
        <v>66.836092793705291</v>
      </c>
      <c r="R3" s="818">
        <f t="shared" si="0"/>
        <v>44.430653243014639</v>
      </c>
    </row>
    <row r="4" spans="1:204">
      <c r="A4" s="144"/>
      <c r="B4" s="141"/>
      <c r="C4" s="145"/>
      <c r="D4" s="145"/>
      <c r="E4" s="145"/>
      <c r="F4" s="145"/>
      <c r="G4" s="914" t="s">
        <v>653</v>
      </c>
      <c r="H4" s="915">
        <v>471</v>
      </c>
      <c r="I4" s="915">
        <v>60</v>
      </c>
      <c r="J4" s="915">
        <v>47</v>
      </c>
      <c r="K4" s="148"/>
      <c r="L4" s="149"/>
      <c r="M4" s="148">
        <f>M3/H4</f>
        <v>1.1025500996336388</v>
      </c>
      <c r="N4" s="148"/>
      <c r="O4" s="148"/>
      <c r="P4" s="940" t="s">
        <v>817</v>
      </c>
      <c r="Q4" s="940"/>
      <c r="R4" s="940"/>
    </row>
    <row r="5" spans="1:204">
      <c r="A5" s="144"/>
      <c r="B5" s="141"/>
      <c r="C5" s="145"/>
      <c r="D5" s="145"/>
      <c r="E5" s="145"/>
      <c r="F5" s="145"/>
      <c r="H5" s="150">
        <f>(H4-H3)/H4</f>
        <v>0.2963143713725126</v>
      </c>
      <c r="I5" s="150">
        <f t="shared" ref="I5:J5" si="1">(I4-I3)/I4</f>
        <v>0.34689595536516105</v>
      </c>
      <c r="J5" s="150">
        <f t="shared" si="1"/>
        <v>0.19042647072497201</v>
      </c>
      <c r="K5" s="148"/>
      <c r="L5" s="151"/>
      <c r="M5" s="152">
        <f>M4-1</f>
        <v>0.10255009963363881</v>
      </c>
      <c r="N5" s="148"/>
      <c r="O5" s="148"/>
    </row>
    <row r="6" spans="1:204">
      <c r="A6" s="144"/>
      <c r="B6" s="141"/>
      <c r="C6" s="145" t="s">
        <v>411</v>
      </c>
      <c r="D6" s="145" t="s">
        <v>411</v>
      </c>
      <c r="E6" s="145" t="s">
        <v>412</v>
      </c>
      <c r="F6" s="145"/>
      <c r="H6" s="153"/>
      <c r="I6" s="154"/>
      <c r="J6" s="154"/>
      <c r="K6" s="950" t="s">
        <v>386</v>
      </c>
      <c r="L6" s="950"/>
      <c r="M6" s="950"/>
      <c r="N6" s="950"/>
      <c r="O6" s="950"/>
    </row>
    <row r="7" spans="1:204">
      <c r="A7" s="155"/>
      <c r="B7" s="156"/>
      <c r="C7" s="146" t="s">
        <v>388</v>
      </c>
      <c r="D7" s="146" t="s">
        <v>398</v>
      </c>
      <c r="E7" s="146" t="s">
        <v>87</v>
      </c>
      <c r="F7" s="146" t="s">
        <v>414</v>
      </c>
      <c r="H7" s="945" t="s">
        <v>391</v>
      </c>
      <c r="I7" s="945"/>
      <c r="J7" s="945"/>
      <c r="K7" s="158"/>
      <c r="L7" s="159" t="s">
        <v>415</v>
      </c>
      <c r="M7" s="951" t="s">
        <v>416</v>
      </c>
      <c r="N7" s="951"/>
      <c r="O7" s="951"/>
    </row>
    <row r="8" spans="1:204" ht="13.5" customHeight="1">
      <c r="A8" s="160" t="s">
        <v>417</v>
      </c>
      <c r="B8" s="161" t="s">
        <v>87</v>
      </c>
      <c r="C8" s="162" t="s">
        <v>418</v>
      </c>
      <c r="D8" s="162" t="s">
        <v>418</v>
      </c>
      <c r="E8" s="162" t="s">
        <v>419</v>
      </c>
      <c r="F8" s="162" t="s">
        <v>420</v>
      </c>
      <c r="G8" s="163"/>
      <c r="H8" s="164" t="s">
        <v>388</v>
      </c>
      <c r="I8" s="164" t="s">
        <v>398</v>
      </c>
      <c r="J8" s="164" t="s">
        <v>399</v>
      </c>
      <c r="K8" s="165" t="s">
        <v>422</v>
      </c>
      <c r="L8" s="166" t="s">
        <v>388</v>
      </c>
      <c r="M8" s="166" t="s">
        <v>393</v>
      </c>
      <c r="N8" s="166" t="s">
        <v>394</v>
      </c>
      <c r="O8" s="166" t="s">
        <v>395</v>
      </c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9"/>
      <c r="CO8" s="189"/>
      <c r="CP8" s="189"/>
      <c r="CQ8" s="189"/>
      <c r="CR8" s="189"/>
      <c r="CS8" s="189"/>
      <c r="CT8" s="189"/>
      <c r="CU8" s="189"/>
      <c r="CV8" s="189"/>
      <c r="CW8" s="189"/>
      <c r="CX8" s="189"/>
      <c r="CY8" s="189"/>
      <c r="CZ8" s="189"/>
      <c r="DA8" s="189"/>
      <c r="DB8" s="189"/>
      <c r="DC8" s="189"/>
      <c r="DD8" s="189"/>
      <c r="DE8" s="189"/>
      <c r="DF8" s="189"/>
      <c r="DG8" s="189"/>
      <c r="DH8" s="189"/>
      <c r="DI8" s="189"/>
      <c r="DJ8" s="189"/>
      <c r="DK8" s="189"/>
      <c r="DL8" s="189"/>
      <c r="DM8" s="189"/>
      <c r="DN8" s="189"/>
      <c r="DO8" s="189"/>
      <c r="DP8" s="189"/>
      <c r="DQ8" s="189"/>
      <c r="DR8" s="189"/>
      <c r="DS8" s="189"/>
      <c r="DT8" s="189"/>
      <c r="DU8" s="189"/>
      <c r="DV8" s="189"/>
      <c r="DW8" s="189"/>
      <c r="DX8" s="189"/>
      <c r="DY8" s="189"/>
      <c r="DZ8" s="189"/>
      <c r="EA8" s="189"/>
      <c r="EB8" s="189"/>
      <c r="EC8" s="189"/>
      <c r="ED8" s="189"/>
      <c r="EE8" s="189"/>
      <c r="EF8" s="189"/>
      <c r="EG8" s="189"/>
      <c r="EH8" s="189"/>
      <c r="EI8" s="189"/>
      <c r="EJ8" s="189"/>
      <c r="EK8" s="189"/>
      <c r="EL8" s="189"/>
      <c r="EM8" s="189"/>
      <c r="EN8" s="189"/>
      <c r="EO8" s="189"/>
      <c r="EP8" s="189"/>
      <c r="EQ8" s="189"/>
      <c r="ER8" s="189"/>
      <c r="ES8" s="189"/>
      <c r="ET8" s="189"/>
      <c r="EU8" s="189"/>
      <c r="EV8" s="189"/>
      <c r="EW8" s="189"/>
      <c r="EX8" s="189"/>
      <c r="EY8" s="189"/>
      <c r="EZ8" s="189"/>
      <c r="FA8" s="189"/>
      <c r="FB8" s="189"/>
      <c r="FC8" s="189"/>
      <c r="FD8" s="189"/>
      <c r="FE8" s="189"/>
      <c r="FF8" s="189"/>
      <c r="FG8" s="189"/>
      <c r="FH8" s="189"/>
      <c r="FI8" s="189"/>
      <c r="FJ8" s="189"/>
      <c r="FK8" s="189"/>
      <c r="FL8" s="189"/>
      <c r="FM8" s="189"/>
      <c r="FN8" s="189"/>
      <c r="FO8" s="189"/>
      <c r="FP8" s="189"/>
      <c r="FQ8" s="189"/>
      <c r="FR8" s="189"/>
      <c r="FS8" s="189"/>
      <c r="FT8" s="189"/>
      <c r="FU8" s="189"/>
      <c r="FV8" s="189"/>
      <c r="FW8" s="189"/>
      <c r="FX8" s="189"/>
      <c r="FY8" s="189"/>
      <c r="FZ8" s="189"/>
      <c r="GA8" s="189"/>
      <c r="GB8" s="189"/>
      <c r="GC8" s="189"/>
      <c r="GD8" s="189"/>
      <c r="GE8" s="189"/>
      <c r="GF8" s="189"/>
      <c r="GG8" s="189"/>
      <c r="GH8" s="189"/>
      <c r="GI8" s="189"/>
      <c r="GJ8" s="189"/>
      <c r="GK8" s="189"/>
      <c r="GL8" s="189"/>
      <c r="GM8" s="189"/>
      <c r="GN8" s="189"/>
      <c r="GO8" s="189"/>
      <c r="GP8" s="189"/>
      <c r="GQ8" s="189"/>
      <c r="GR8" s="189"/>
      <c r="GS8" s="189"/>
      <c r="GT8" s="189"/>
      <c r="GU8" s="189"/>
      <c r="GV8" s="189"/>
    </row>
    <row r="9" spans="1:204">
      <c r="A9" s="402"/>
      <c r="B9" s="403" t="s">
        <v>318</v>
      </c>
      <c r="C9" s="157"/>
      <c r="D9" s="157"/>
      <c r="E9" s="157"/>
      <c r="F9" s="157"/>
      <c r="G9" s="163"/>
      <c r="H9" s="164"/>
      <c r="I9" s="164"/>
      <c r="J9" s="140"/>
      <c r="K9" s="143"/>
      <c r="L9" s="175"/>
      <c r="M9" s="143"/>
      <c r="N9" s="143"/>
      <c r="O9" s="143"/>
    </row>
    <row r="10" spans="1:204">
      <c r="A10" s="36">
        <v>101</v>
      </c>
      <c r="B10" s="42" t="s">
        <v>189</v>
      </c>
      <c r="C10" s="918">
        <v>26.498213300495259</v>
      </c>
      <c r="D10" s="918">
        <v>3.8753043959285476</v>
      </c>
      <c r="E10" s="246">
        <v>1</v>
      </c>
      <c r="F10" s="246">
        <v>1</v>
      </c>
      <c r="G10" s="244"/>
      <c r="H10" s="245">
        <f t="shared" ref="H10:H24" si="2">IF(AND(F10=2,E10&gt;10),C10*10/E10,C10)</f>
        <v>26.498213300495259</v>
      </c>
      <c r="I10" s="245">
        <f t="shared" ref="I10:I24" si="3">IF(AND(F10=2,E10&gt;10),D10*10/E10,D10)</f>
        <v>3.8753043959285476</v>
      </c>
      <c r="J10" s="140">
        <v>3.445145607980479</v>
      </c>
      <c r="K10" s="143">
        <v>1</v>
      </c>
      <c r="L10" s="143">
        <v>26.498213300495259</v>
      </c>
      <c r="M10" s="143">
        <f>L10*K10</f>
        <v>26.498213300495259</v>
      </c>
      <c r="N10" s="143">
        <f>K10*I10</f>
        <v>3.8753043959285476</v>
      </c>
      <c r="O10" s="143">
        <f>K10*J10</f>
        <v>3.445145607980479</v>
      </c>
      <c r="P10" s="819">
        <f>M10*'Table ES-1 Refresh ''13'!$D$9/Industrial!$M$3</f>
        <v>24.963128983705314</v>
      </c>
      <c r="Q10" s="819">
        <f>N10*'Table ES-1 Refresh ''13'!$G$9/Industrial!$N$3</f>
        <v>3.4962589893831129</v>
      </c>
      <c r="R10" s="819">
        <f>O10*'Table ES-1 Refresh ''13'!$J$9/Industrial!$O$3</f>
        <v>2.9710227714519313</v>
      </c>
    </row>
    <row r="11" spans="1:204">
      <c r="A11" s="36">
        <v>102</v>
      </c>
      <c r="B11" s="42" t="s">
        <v>190</v>
      </c>
      <c r="C11" s="918">
        <v>4.94547110919292</v>
      </c>
      <c r="D11" s="918">
        <v>0.72326429224975075</v>
      </c>
      <c r="E11" s="246">
        <v>1</v>
      </c>
      <c r="F11" s="246">
        <v>1</v>
      </c>
      <c r="G11" s="244"/>
      <c r="H11" s="245">
        <f t="shared" si="2"/>
        <v>4.94547110919292</v>
      </c>
      <c r="I11" s="245">
        <f t="shared" si="3"/>
        <v>0.72326429224975075</v>
      </c>
      <c r="J11" s="140">
        <v>0.64298195581002837</v>
      </c>
      <c r="K11" s="143">
        <v>1</v>
      </c>
      <c r="L11" s="143">
        <v>4.94547110919292</v>
      </c>
      <c r="M11" s="143">
        <f t="shared" ref="M11:M40" si="4">L11*K11</f>
        <v>4.94547110919292</v>
      </c>
      <c r="N11" s="143">
        <f t="shared" ref="N11:N24" si="5">K11*I11</f>
        <v>0.72326429224975075</v>
      </c>
      <c r="O11" s="143">
        <f t="shared" ref="O11:O24" si="6">K11*J11</f>
        <v>0.64298195581002837</v>
      </c>
      <c r="P11" s="819">
        <f>M11*'Table ES-1 Refresh ''13'!$D$9/Industrial!$M$3</f>
        <v>4.6589719761091839</v>
      </c>
      <c r="Q11" s="819">
        <f>N11*'Table ES-1 Refresh ''13'!$G$9/Industrial!$N$3</f>
        <v>0.65252146028444014</v>
      </c>
      <c r="R11" s="819">
        <f>O11*'Table ES-1 Refresh ''13'!$J$9/Industrial!$O$3</f>
        <v>0.5544944248275494</v>
      </c>
    </row>
    <row r="12" spans="1:204">
      <c r="A12" s="36">
        <v>103</v>
      </c>
      <c r="B12" s="42" t="s">
        <v>191</v>
      </c>
      <c r="C12" s="918">
        <v>19.44136990219501</v>
      </c>
      <c r="D12" s="918">
        <v>2.843256841156022</v>
      </c>
      <c r="E12" s="246">
        <v>1</v>
      </c>
      <c r="F12" s="246">
        <v>1</v>
      </c>
      <c r="G12" s="244"/>
      <c r="H12" s="245">
        <f t="shared" si="2"/>
        <v>19.44136990219501</v>
      </c>
      <c r="I12" s="245">
        <f t="shared" si="3"/>
        <v>2.843256841156022</v>
      </c>
      <c r="J12" s="140">
        <v>2.5276553317877037</v>
      </c>
      <c r="K12" s="143">
        <v>1</v>
      </c>
      <c r="L12" s="143">
        <v>19.44136990219501</v>
      </c>
      <c r="M12" s="143">
        <f t="shared" si="4"/>
        <v>19.44136990219501</v>
      </c>
      <c r="N12" s="143">
        <f t="shared" si="5"/>
        <v>2.843256841156022</v>
      </c>
      <c r="O12" s="143">
        <f t="shared" si="6"/>
        <v>2.5276553317877037</v>
      </c>
      <c r="P12" s="819">
        <f>M12*'Table ES-1 Refresh ''13'!$D$9/Industrial!$M$3</f>
        <v>18.315099927109038</v>
      </c>
      <c r="Q12" s="819">
        <f>N12*'Table ES-1 Refresh ''13'!$G$9/Industrial!$N$3</f>
        <v>2.565156507566396</v>
      </c>
      <c r="R12" s="819">
        <f>O12*'Table ES-1 Refresh ''13'!$J$9/Industrial!$O$3</f>
        <v>2.1797980125215379</v>
      </c>
    </row>
    <row r="13" spans="1:204">
      <c r="A13" s="36">
        <v>104</v>
      </c>
      <c r="B13" s="42" t="s">
        <v>192</v>
      </c>
      <c r="C13" s="918">
        <v>7.9702629727539094</v>
      </c>
      <c r="D13" s="918">
        <v>1.1656331234375672</v>
      </c>
      <c r="E13" s="246">
        <v>1</v>
      </c>
      <c r="F13" s="246">
        <v>2</v>
      </c>
      <c r="G13" s="244"/>
      <c r="H13" s="245">
        <f t="shared" si="2"/>
        <v>7.9702629727539094</v>
      </c>
      <c r="I13" s="245">
        <f t="shared" si="3"/>
        <v>1.1656331234375672</v>
      </c>
      <c r="J13" s="140">
        <v>1.0362478467359972</v>
      </c>
      <c r="K13" s="143">
        <v>1</v>
      </c>
      <c r="L13" s="143">
        <v>7.9702629727539094</v>
      </c>
      <c r="M13" s="143">
        <f t="shared" si="4"/>
        <v>7.9702629727539094</v>
      </c>
      <c r="N13" s="143">
        <f t="shared" si="5"/>
        <v>1.1656331234375672</v>
      </c>
      <c r="O13" s="143">
        <f t="shared" si="6"/>
        <v>1.0362478467359972</v>
      </c>
      <c r="P13" s="819">
        <f>M13*'Table ES-1 Refresh ''13'!$D$9/Industrial!$M$3</f>
        <v>7.5085327590440869</v>
      </c>
      <c r="Q13" s="819">
        <f>N13*'Table ES-1 Refresh ''13'!$G$9/Industrial!$N$3</f>
        <v>1.05162198108178</v>
      </c>
      <c r="R13" s="819">
        <f>O13*'Table ES-1 Refresh ''13'!$J$9/Industrial!$O$3</f>
        <v>0.89363884719096121</v>
      </c>
    </row>
    <row r="14" spans="1:204">
      <c r="A14" s="405">
        <v>105</v>
      </c>
      <c r="B14" s="406" t="s">
        <v>193</v>
      </c>
      <c r="C14" s="918">
        <v>0.17756581908364252</v>
      </c>
      <c r="D14" s="918">
        <v>2.5970133138032109E-2</v>
      </c>
      <c r="E14" s="246">
        <v>1</v>
      </c>
      <c r="F14" s="246">
        <v>2</v>
      </c>
      <c r="G14" s="244"/>
      <c r="H14" s="245">
        <f t="shared" si="2"/>
        <v>0.17756581908364252</v>
      </c>
      <c r="I14" s="245">
        <f t="shared" si="3"/>
        <v>2.5970133138032109E-2</v>
      </c>
      <c r="J14" s="140">
        <v>2.3113418492848578E-2</v>
      </c>
      <c r="K14" s="143">
        <v>1</v>
      </c>
      <c r="L14" s="143">
        <v>0.17756581908364252</v>
      </c>
      <c r="M14" s="143">
        <f t="shared" si="4"/>
        <v>0.17756581908364252</v>
      </c>
      <c r="N14" s="143">
        <f t="shared" si="5"/>
        <v>2.5970133138032109E-2</v>
      </c>
      <c r="O14" s="143">
        <f t="shared" si="6"/>
        <v>2.3113418492848578E-2</v>
      </c>
      <c r="P14" s="819">
        <f>M14*'Table ES-1 Refresh ''13'!$D$9/Industrial!$M$3</f>
        <v>0.16727914424326126</v>
      </c>
      <c r="Q14" s="819">
        <f>N14*'Table ES-1 Refresh ''13'!$G$9/Industrial!$N$3</f>
        <v>2.3429981793098648E-2</v>
      </c>
      <c r="R14" s="819">
        <f>O14*'Table ES-1 Refresh ''13'!$J$9/Industrial!$O$3</f>
        <v>1.9932537106495615E-2</v>
      </c>
    </row>
    <row r="15" spans="1:204">
      <c r="A15" s="405">
        <v>106</v>
      </c>
      <c r="B15" s="406" t="s">
        <v>194</v>
      </c>
      <c r="C15" s="918">
        <v>0.35398877966260117</v>
      </c>
      <c r="D15" s="918">
        <v>4.6823442086672213E-3</v>
      </c>
      <c r="E15" s="246">
        <v>1</v>
      </c>
      <c r="F15" s="246">
        <v>2</v>
      </c>
      <c r="G15" s="244"/>
      <c r="H15" s="245">
        <f t="shared" si="2"/>
        <v>0.35398877966260117</v>
      </c>
      <c r="I15" s="245">
        <f t="shared" si="3"/>
        <v>4.6823442086672213E-3</v>
      </c>
      <c r="J15" s="140">
        <v>3.9050750700284622E-3</v>
      </c>
      <c r="K15" s="143">
        <v>1</v>
      </c>
      <c r="L15" s="143">
        <v>0.35398877966260117</v>
      </c>
      <c r="M15" s="143">
        <f t="shared" si="4"/>
        <v>0.35398877966260117</v>
      </c>
      <c r="N15" s="143">
        <f t="shared" si="5"/>
        <v>4.6823442086672213E-3</v>
      </c>
      <c r="O15" s="143">
        <f t="shared" si="6"/>
        <v>3.9050750700284622E-3</v>
      </c>
      <c r="P15" s="819">
        <f>M15*'Table ES-1 Refresh ''13'!$D$9/Industrial!$M$3</f>
        <v>0.33348163762183902</v>
      </c>
      <c r="Q15" s="819">
        <f>N15*'Table ES-1 Refresh ''13'!$G$9/Industrial!$N$3</f>
        <v>4.2243618457786227E-3</v>
      </c>
      <c r="R15" s="819">
        <f>O15*'Table ES-1 Refresh ''13'!$J$9/Industrial!$O$3</f>
        <v>3.3676564875540515E-3</v>
      </c>
    </row>
    <row r="16" spans="1:204">
      <c r="A16" s="36">
        <v>107</v>
      </c>
      <c r="B16" s="42" t="s">
        <v>195</v>
      </c>
      <c r="C16" s="918">
        <v>0.32837426209907444</v>
      </c>
      <c r="D16" s="918">
        <v>4.8026829430486105E-2</v>
      </c>
      <c r="E16" s="246">
        <v>1</v>
      </c>
      <c r="F16" s="246">
        <v>1</v>
      </c>
      <c r="G16" s="244"/>
      <c r="H16" s="245">
        <f t="shared" si="2"/>
        <v>0.32837426209907444</v>
      </c>
      <c r="I16" s="245">
        <f t="shared" si="3"/>
        <v>4.8026829430486105E-2</v>
      </c>
      <c r="J16" s="140">
        <v>4.2695851363702145E-2</v>
      </c>
      <c r="K16" s="143">
        <v>1</v>
      </c>
      <c r="L16" s="143">
        <v>0.32837426209907444</v>
      </c>
      <c r="M16" s="143">
        <f t="shared" si="4"/>
        <v>0.32837426209907444</v>
      </c>
      <c r="N16" s="143">
        <f t="shared" si="5"/>
        <v>4.8026829430486105E-2</v>
      </c>
      <c r="O16" s="143">
        <f t="shared" si="6"/>
        <v>4.2695851363702145E-2</v>
      </c>
      <c r="P16" s="819">
        <f>M16*'Table ES-1 Refresh ''13'!$D$9/Industrial!$M$3</f>
        <v>0.30935101045303465</v>
      </c>
      <c r="Q16" s="819">
        <f>N16*'Table ES-1 Refresh ''13'!$G$9/Industrial!$N$3</f>
        <v>4.3329301900599006E-2</v>
      </c>
      <c r="R16" s="819">
        <f>O16*'Table ES-1 Refresh ''13'!$J$9/Industrial!$O$3</f>
        <v>3.6820024777543404E-2</v>
      </c>
    </row>
    <row r="17" spans="1:18">
      <c r="A17" s="405">
        <v>108</v>
      </c>
      <c r="B17" s="406" t="s">
        <v>196</v>
      </c>
      <c r="C17" s="918">
        <v>1.1070744503865215</v>
      </c>
      <c r="D17" s="918">
        <v>0.16191669668531145</v>
      </c>
      <c r="E17" s="246">
        <v>1</v>
      </c>
      <c r="F17" s="246">
        <v>2</v>
      </c>
      <c r="G17" s="244"/>
      <c r="H17" s="245">
        <f t="shared" si="2"/>
        <v>1.1070744503865215</v>
      </c>
      <c r="I17" s="245">
        <f t="shared" si="3"/>
        <v>0.16191669668531145</v>
      </c>
      <c r="J17" s="140">
        <v>0.14394394335324187</v>
      </c>
      <c r="K17" s="143">
        <v>1</v>
      </c>
      <c r="L17" s="143">
        <v>1.1070744503865215</v>
      </c>
      <c r="M17" s="143">
        <f t="shared" si="4"/>
        <v>1.1070744503865215</v>
      </c>
      <c r="N17" s="143">
        <f t="shared" si="5"/>
        <v>0.16191669668531145</v>
      </c>
      <c r="O17" s="143">
        <f t="shared" si="6"/>
        <v>0.14394394335324187</v>
      </c>
      <c r="P17" s="819">
        <f>M17*'Table ES-1 Refresh ''13'!$D$9/Industrial!$M$3</f>
        <v>1.0429398384775959</v>
      </c>
      <c r="Q17" s="819">
        <f>N17*'Table ES-1 Refresh ''13'!$G$9/Industrial!$N$3</f>
        <v>0.14607954588341371</v>
      </c>
      <c r="R17" s="819">
        <f>O17*'Table ES-1 Refresh ''13'!$J$9/Industrial!$O$3</f>
        <v>0.12413429856909888</v>
      </c>
    </row>
    <row r="18" spans="1:18">
      <c r="A18" s="405">
        <v>109</v>
      </c>
      <c r="B18" s="406" t="s">
        <v>197</v>
      </c>
      <c r="C18" s="918">
        <v>4.5427373143879004</v>
      </c>
      <c r="D18" s="918">
        <v>6.0084967879571252E-2</v>
      </c>
      <c r="E18" s="246">
        <v>1</v>
      </c>
      <c r="F18" s="246">
        <v>2</v>
      </c>
      <c r="G18" s="244"/>
      <c r="H18" s="245">
        <f t="shared" si="2"/>
        <v>4.5427373143879004</v>
      </c>
      <c r="I18" s="245">
        <f t="shared" si="3"/>
        <v>6.0084967879571252E-2</v>
      </c>
      <c r="J18" s="140">
        <v>0.59123608393498106</v>
      </c>
      <c r="K18" s="143">
        <v>1</v>
      </c>
      <c r="L18" s="143">
        <v>4.5427373143879004</v>
      </c>
      <c r="M18" s="143">
        <f t="shared" si="4"/>
        <v>4.5427373143879004</v>
      </c>
      <c r="N18" s="143">
        <f t="shared" si="5"/>
        <v>6.0084967879571252E-2</v>
      </c>
      <c r="O18" s="143">
        <f t="shared" si="6"/>
        <v>0.59123608393498106</v>
      </c>
      <c r="P18" s="819">
        <f>M18*'Table ES-1 Refresh ''13'!$D$9/Industrial!$M$3</f>
        <v>4.2795692008425616</v>
      </c>
      <c r="Q18" s="819">
        <f>N18*'Table ES-1 Refresh ''13'!$G$9/Industrial!$N$3</f>
        <v>5.4208027967158401E-2</v>
      </c>
      <c r="R18" s="819">
        <f>O18*'Table ES-1 Refresh ''13'!$J$9/Industrial!$O$3</f>
        <v>0.50986984834716087</v>
      </c>
    </row>
    <row r="19" spans="1:18">
      <c r="A19" s="36">
        <v>110</v>
      </c>
      <c r="B19" s="42" t="s">
        <v>198</v>
      </c>
      <c r="C19" s="918">
        <v>1.2317252469352518</v>
      </c>
      <c r="D19" s="918">
        <v>0.1801459365863497</v>
      </c>
      <c r="E19" s="246">
        <v>1</v>
      </c>
      <c r="F19" s="246">
        <v>1</v>
      </c>
      <c r="G19" s="244"/>
      <c r="H19" s="245">
        <f t="shared" si="2"/>
        <v>1.2317252469352518</v>
      </c>
      <c r="I19" s="245">
        <f t="shared" si="3"/>
        <v>0.1801459365863497</v>
      </c>
      <c r="J19" s="140">
        <v>0.16014973762526488</v>
      </c>
      <c r="K19" s="143">
        <v>1</v>
      </c>
      <c r="L19" s="143">
        <v>1.2317252469352518</v>
      </c>
      <c r="M19" s="143">
        <f t="shared" si="4"/>
        <v>1.2317252469352518</v>
      </c>
      <c r="N19" s="143">
        <f t="shared" si="5"/>
        <v>0.1801459365863497</v>
      </c>
      <c r="O19" s="143">
        <f t="shared" si="6"/>
        <v>0.16014973762526488</v>
      </c>
      <c r="P19" s="819">
        <f>M19*'Table ES-1 Refresh ''13'!$D$9/Industrial!$M$3</f>
        <v>1.1603694129504303</v>
      </c>
      <c r="Q19" s="819">
        <f>N19*'Table ES-1 Refresh ''13'!$G$9/Industrial!$N$3</f>
        <v>0.16252577496946596</v>
      </c>
      <c r="R19" s="819">
        <f>O19*'Table ES-1 Refresh ''13'!$J$9/Industrial!$O$3</f>
        <v>0.1381098425055044</v>
      </c>
    </row>
    <row r="20" spans="1:18">
      <c r="A20" s="405">
        <v>111</v>
      </c>
      <c r="B20" s="406" t="s">
        <v>199</v>
      </c>
      <c r="C20" s="918">
        <v>1.0127756447288725</v>
      </c>
      <c r="D20" s="918">
        <v>0.14812489514188931</v>
      </c>
      <c r="E20" s="246">
        <v>1</v>
      </c>
      <c r="F20" s="246">
        <v>2</v>
      </c>
      <c r="G20" s="244"/>
      <c r="H20" s="245">
        <f t="shared" si="2"/>
        <v>1.0127756447288725</v>
      </c>
      <c r="I20" s="245">
        <f t="shared" si="3"/>
        <v>0.14812489514188931</v>
      </c>
      <c r="J20" s="140">
        <v>0.1316830317811396</v>
      </c>
      <c r="K20" s="143">
        <v>1</v>
      </c>
      <c r="L20" s="143">
        <v>1.0127756447288725</v>
      </c>
      <c r="M20" s="143">
        <f t="shared" si="4"/>
        <v>1.0127756447288725</v>
      </c>
      <c r="N20" s="143">
        <f t="shared" si="5"/>
        <v>0.14812489514188931</v>
      </c>
      <c r="O20" s="143">
        <f t="shared" si="6"/>
        <v>0.1316830317811396</v>
      </c>
      <c r="P20" s="819">
        <f>M20*'Table ES-1 Refresh ''13'!$D$9/Industrial!$M$3</f>
        <v>0.95410391501564462</v>
      </c>
      <c r="Q20" s="819">
        <f>N20*'Table ES-1 Refresh ''13'!$G$9/Industrial!$N$3</f>
        <v>0.13363672715241598</v>
      </c>
      <c r="R20" s="819">
        <f>O20*'Table ES-1 Refresh ''13'!$J$9/Industrial!$O$3</f>
        <v>0.11356074040218359</v>
      </c>
    </row>
    <row r="21" spans="1:18">
      <c r="A21" s="405">
        <v>112</v>
      </c>
      <c r="B21" s="406" t="s">
        <v>200</v>
      </c>
      <c r="C21" s="918">
        <v>5.5183356174806981</v>
      </c>
      <c r="D21" s="918">
        <v>7.2988828791535454E-2</v>
      </c>
      <c r="E21" s="246">
        <v>1</v>
      </c>
      <c r="F21" s="246">
        <v>2</v>
      </c>
      <c r="G21" s="244"/>
      <c r="H21" s="245">
        <f t="shared" si="2"/>
        <v>5.5183356174806981</v>
      </c>
      <c r="I21" s="245">
        <f t="shared" si="3"/>
        <v>7.2988828791535454E-2</v>
      </c>
      <c r="J21" s="140">
        <v>0.71821007530870884</v>
      </c>
      <c r="K21" s="143">
        <v>1</v>
      </c>
      <c r="L21" s="143">
        <v>5.5183356174806981</v>
      </c>
      <c r="M21" s="143">
        <f t="shared" si="4"/>
        <v>5.5183356174806981</v>
      </c>
      <c r="N21" s="143">
        <f t="shared" si="5"/>
        <v>7.2988828791535454E-2</v>
      </c>
      <c r="O21" s="143">
        <f t="shared" si="6"/>
        <v>0.71821007530870884</v>
      </c>
      <c r="P21" s="819">
        <f>M21*'Table ES-1 Refresh ''13'!$D$9/Industrial!$M$3</f>
        <v>5.1986495177005425</v>
      </c>
      <c r="Q21" s="819">
        <f>N21*'Table ES-1 Refresh ''13'!$G$9/Industrial!$N$3</f>
        <v>6.5849755971441867E-2</v>
      </c>
      <c r="R21" s="819">
        <f>O21*'Table ES-1 Refresh ''13'!$J$9/Industrial!$O$3</f>
        <v>0.61936960907704863</v>
      </c>
    </row>
    <row r="22" spans="1:18">
      <c r="A22" s="36">
        <v>113</v>
      </c>
      <c r="B22" s="42" t="s">
        <v>201</v>
      </c>
      <c r="C22" s="918">
        <v>1.2902107937472884</v>
      </c>
      <c r="D22" s="918">
        <v>0.18869973836428322</v>
      </c>
      <c r="E22" s="246">
        <v>1</v>
      </c>
      <c r="F22" s="246">
        <v>1</v>
      </c>
      <c r="G22" s="244"/>
      <c r="H22" s="245">
        <f t="shared" si="2"/>
        <v>1.2902107937472884</v>
      </c>
      <c r="I22" s="245">
        <f t="shared" si="3"/>
        <v>0.18869973836428322</v>
      </c>
      <c r="J22" s="140">
        <v>0.16794276714421208</v>
      </c>
      <c r="K22" s="143">
        <v>1</v>
      </c>
      <c r="L22" s="179">
        <v>1.2902107937472884</v>
      </c>
      <c r="M22" s="143">
        <f t="shared" si="4"/>
        <v>1.2902107937472884</v>
      </c>
      <c r="N22" s="143">
        <f t="shared" si="5"/>
        <v>0.18869973836428322</v>
      </c>
      <c r="O22" s="143">
        <f t="shared" si="6"/>
        <v>0.16794276714421208</v>
      </c>
      <c r="P22" s="819">
        <f>M22*'Table ES-1 Refresh ''13'!$D$9/Industrial!$M$3</f>
        <v>1.2154667975248128</v>
      </c>
      <c r="Q22" s="819">
        <f>N22*'Table ES-1 Refresh ''13'!$G$9/Industrial!$N$3</f>
        <v>0.17024292523795101</v>
      </c>
      <c r="R22" s="819">
        <f>O22*'Table ES-1 Refresh ''13'!$J$9/Industrial!$O$3</f>
        <v>0.14483039100881176</v>
      </c>
    </row>
    <row r="23" spans="1:18">
      <c r="A23" s="35">
        <v>114</v>
      </c>
      <c r="B23" s="41" t="s">
        <v>202</v>
      </c>
      <c r="C23" s="918">
        <v>3.5058186912481091E-3</v>
      </c>
      <c r="D23" s="918">
        <v>3.1212178472609644E-4</v>
      </c>
      <c r="E23" s="246">
        <v>1</v>
      </c>
      <c r="F23" s="246">
        <v>1</v>
      </c>
      <c r="G23" s="244"/>
      <c r="H23" s="245">
        <f t="shared" si="2"/>
        <v>3.5058186912481091E-3</v>
      </c>
      <c r="I23" s="245">
        <f t="shared" si="3"/>
        <v>3.1212178472609644E-4</v>
      </c>
      <c r="J23" s="140">
        <v>2.8933689444109141E-4</v>
      </c>
      <c r="K23" s="143">
        <v>1</v>
      </c>
      <c r="L23" s="179">
        <v>3.5058186912481091E-3</v>
      </c>
      <c r="M23" s="143">
        <f t="shared" si="4"/>
        <v>3.5058186912481091E-3</v>
      </c>
      <c r="N23" s="143">
        <f t="shared" si="5"/>
        <v>3.1212178472609644E-4</v>
      </c>
      <c r="O23" s="143">
        <f t="shared" si="6"/>
        <v>2.8933689444109141E-4</v>
      </c>
      <c r="P23" s="819">
        <f>M23*'Table ES-1 Refresh ''13'!$D$9/Industrial!$M$3</f>
        <v>3.3027209491696486E-3</v>
      </c>
      <c r="Q23" s="819">
        <f>N23*'Table ES-1 Refresh ''13'!$G$9/Industrial!$N$3</f>
        <v>2.8159300125621308E-4</v>
      </c>
      <c r="R23" s="819">
        <f>O23*'Table ES-1 Refresh ''13'!$J$9/Industrial!$O$3</f>
        <v>2.4951819163009873E-4</v>
      </c>
    </row>
    <row r="24" spans="1:18">
      <c r="A24" s="35">
        <v>115</v>
      </c>
      <c r="B24" s="41" t="s">
        <v>203</v>
      </c>
      <c r="C24" s="918">
        <v>1.8159452765081432E-2</v>
      </c>
      <c r="D24" s="918">
        <v>1.616729587538557E-3</v>
      </c>
      <c r="E24" s="246">
        <v>1</v>
      </c>
      <c r="F24" s="246">
        <v>1</v>
      </c>
      <c r="G24" s="244"/>
      <c r="H24" s="245">
        <f t="shared" si="2"/>
        <v>1.8159452765081432E-2</v>
      </c>
      <c r="I24" s="245">
        <f t="shared" si="3"/>
        <v>1.616729587538557E-3</v>
      </c>
      <c r="J24" s="140">
        <v>0</v>
      </c>
      <c r="K24" s="143">
        <v>1</v>
      </c>
      <c r="L24" s="179">
        <v>1.8159452765081432E-2</v>
      </c>
      <c r="M24" s="143">
        <f t="shared" si="4"/>
        <v>1.8159452765081432E-2</v>
      </c>
      <c r="N24" s="143">
        <f t="shared" si="5"/>
        <v>1.616729587538557E-3</v>
      </c>
      <c r="O24" s="143">
        <f t="shared" si="6"/>
        <v>0</v>
      </c>
      <c r="P24" s="819">
        <f>M24*'Table ES-1 Refresh ''13'!$D$9/Industrial!$M$3</f>
        <v>1.7107446321286853E-2</v>
      </c>
      <c r="Q24" s="819">
        <f>N24*'Table ES-1 Refresh ''13'!$G$9/Industrial!$N$3</f>
        <v>1.458596480775017E-3</v>
      </c>
      <c r="R24" s="819">
        <f>O24*'Table ES-1 Refresh ''13'!$J$9/Industrial!$O$3</f>
        <v>0</v>
      </c>
    </row>
    <row r="25" spans="1:18">
      <c r="A25" s="402"/>
      <c r="B25" s="403" t="s">
        <v>319</v>
      </c>
      <c r="C25" s="918"/>
      <c r="D25" s="918"/>
      <c r="E25" s="246"/>
      <c r="F25" s="246"/>
      <c r="G25" s="244"/>
      <c r="H25" s="245"/>
      <c r="I25" s="245"/>
      <c r="J25" s="140"/>
      <c r="K25" s="143"/>
      <c r="L25" s="143"/>
      <c r="M25" s="143"/>
      <c r="N25" s="143"/>
      <c r="O25" s="143"/>
      <c r="P25" s="819">
        <f>M25*'Table ES-1 Refresh ''13'!$D$9/Industrial!$M$3</f>
        <v>0</v>
      </c>
      <c r="Q25" s="819">
        <f>N25*'Table ES-1 Refresh ''13'!$G$9/Industrial!$N$3</f>
        <v>0</v>
      </c>
      <c r="R25" s="819">
        <f>O25*'Table ES-1 Refresh ''13'!$J$9/Industrial!$O$3</f>
        <v>0</v>
      </c>
    </row>
    <row r="26" spans="1:18">
      <c r="A26" s="36">
        <v>201</v>
      </c>
      <c r="B26" s="42" t="s">
        <v>205</v>
      </c>
      <c r="C26" s="918">
        <v>2.1971363289071961</v>
      </c>
      <c r="D26" s="918">
        <v>0.29435749497859831</v>
      </c>
      <c r="E26" s="246">
        <v>2</v>
      </c>
      <c r="F26" s="246">
        <v>1</v>
      </c>
      <c r="G26" s="244"/>
      <c r="H26" s="245">
        <f t="shared" ref="H26:H41" si="7">IF(AND(F26=2,E26&gt;10),C26*10/E26,C26)</f>
        <v>2.1971363289071961</v>
      </c>
      <c r="I26" s="245">
        <f t="shared" ref="I26:I41" si="8">IF(AND(F26=2,E26&gt;10),D26*10/E26,D26)</f>
        <v>0.29435749497859831</v>
      </c>
      <c r="J26" s="140">
        <v>0.26168381303597388</v>
      </c>
      <c r="K26" s="143">
        <v>1</v>
      </c>
      <c r="L26" s="143">
        <v>2.1971363289071961</v>
      </c>
      <c r="M26" s="143">
        <f t="shared" si="4"/>
        <v>2.1971363289071961</v>
      </c>
      <c r="N26" s="143">
        <f t="shared" ref="N26:N41" si="9">K26*I26</f>
        <v>0.29435749497859831</v>
      </c>
      <c r="O26" s="143">
        <f t="shared" ref="O26:O40" si="10">K26*J27</f>
        <v>2.2785188003988486</v>
      </c>
      <c r="P26" s="819">
        <f>M26*'Table ES-1 Refresh ''13'!$D$9/Industrial!$M$3</f>
        <v>2.0698526708693228</v>
      </c>
      <c r="Q26" s="819">
        <f>N26*'Table ES-1 Refresh ''13'!$G$9/Industrial!$N$3</f>
        <v>0.26556624532319556</v>
      </c>
      <c r="R26" s="819">
        <f>O26*'Table ES-1 Refresh ''13'!$J$9/Industrial!$O$3</f>
        <v>1.9649477878337254</v>
      </c>
    </row>
    <row r="27" spans="1:18">
      <c r="A27" s="36">
        <v>202</v>
      </c>
      <c r="B27" s="42" t="s">
        <v>206</v>
      </c>
      <c r="C27" s="918">
        <v>18.696737653496236</v>
      </c>
      <c r="D27" s="918">
        <v>2.5011183319416559</v>
      </c>
      <c r="E27" s="246">
        <v>2</v>
      </c>
      <c r="F27" s="246">
        <v>1</v>
      </c>
      <c r="G27" s="244"/>
      <c r="H27" s="245">
        <f t="shared" si="7"/>
        <v>18.696737653496236</v>
      </c>
      <c r="I27" s="245">
        <f t="shared" si="8"/>
        <v>2.5011183319416559</v>
      </c>
      <c r="J27" s="140">
        <v>2.2785188003988486</v>
      </c>
      <c r="K27" s="143">
        <v>1</v>
      </c>
      <c r="L27" s="143">
        <v>18.696737653496236</v>
      </c>
      <c r="M27" s="143">
        <f t="shared" si="4"/>
        <v>18.696737653496236</v>
      </c>
      <c r="N27" s="143">
        <f t="shared" si="9"/>
        <v>2.5011183319416559</v>
      </c>
      <c r="O27" s="143">
        <f t="shared" si="10"/>
        <v>0.85870511691217544</v>
      </c>
      <c r="P27" s="819">
        <f>M27*'Table ES-1 Refresh ''13'!$D$9/Industrial!$M$3</f>
        <v>17.613605427880039</v>
      </c>
      <c r="Q27" s="819">
        <f>N27*'Table ES-1 Refresh ''13'!$G$9/Industrial!$N$3</f>
        <v>2.2564827322336467</v>
      </c>
      <c r="R27" s="819">
        <f>O27*'Table ES-1 Refresh ''13'!$J$9/Industrial!$O$3</f>
        <v>0.74052964565520385</v>
      </c>
    </row>
    <row r="28" spans="1:18">
      <c r="A28" s="36">
        <v>203</v>
      </c>
      <c r="B28" s="42" t="s">
        <v>207</v>
      </c>
      <c r="C28" s="918">
        <v>7.7848239349072994</v>
      </c>
      <c r="D28" s="918">
        <v>0.49181278173664111</v>
      </c>
      <c r="E28" s="246">
        <v>2</v>
      </c>
      <c r="F28" s="246">
        <v>1</v>
      </c>
      <c r="G28" s="244"/>
      <c r="H28" s="245">
        <f t="shared" si="7"/>
        <v>7.7848239349072994</v>
      </c>
      <c r="I28" s="245">
        <f t="shared" si="8"/>
        <v>0.49181278173664111</v>
      </c>
      <c r="J28" s="140">
        <v>0.85870511691217544</v>
      </c>
      <c r="K28" s="143">
        <v>1</v>
      </c>
      <c r="L28" s="143">
        <v>7.7848239349072994</v>
      </c>
      <c r="M28" s="143">
        <f t="shared" si="4"/>
        <v>7.7848239349072994</v>
      </c>
      <c r="N28" s="143">
        <f t="shared" si="9"/>
        <v>0.49181278173664111</v>
      </c>
      <c r="O28" s="143">
        <f t="shared" si="10"/>
        <v>0.27945564259907701</v>
      </c>
      <c r="P28" s="819">
        <f>M28*'Table ES-1 Refresh ''13'!$D$9/Industrial!$M$3</f>
        <v>7.3338365043236751</v>
      </c>
      <c r="Q28" s="819">
        <f>N28*'Table ES-1 Refresh ''13'!$G$9/Industrial!$N$3</f>
        <v>0.44370833451090541</v>
      </c>
      <c r="R28" s="819">
        <f>O28*'Table ES-1 Refresh ''13'!$J$9/Industrial!$O$3</f>
        <v>0.24099680311024305</v>
      </c>
    </row>
    <row r="29" spans="1:18">
      <c r="A29" s="36">
        <v>204</v>
      </c>
      <c r="B29" s="42" t="s">
        <v>208</v>
      </c>
      <c r="C29" s="918">
        <v>2.2429099687228189</v>
      </c>
      <c r="D29" s="918">
        <v>0.3004899382785774</v>
      </c>
      <c r="E29" s="246">
        <v>2</v>
      </c>
      <c r="F29" s="246">
        <v>2</v>
      </c>
      <c r="G29" s="244"/>
      <c r="H29" s="245">
        <f t="shared" si="7"/>
        <v>2.2429099687228189</v>
      </c>
      <c r="I29" s="245">
        <f t="shared" si="8"/>
        <v>0.3004899382785774</v>
      </c>
      <c r="J29" s="140">
        <v>0.27945564259907701</v>
      </c>
      <c r="K29" s="143">
        <v>1</v>
      </c>
      <c r="L29" s="143">
        <v>2.2429099687228189</v>
      </c>
      <c r="M29" s="143">
        <f t="shared" si="4"/>
        <v>2.2429099687228189</v>
      </c>
      <c r="N29" s="143">
        <f t="shared" si="9"/>
        <v>0.3004899382785774</v>
      </c>
      <c r="O29" s="143">
        <f t="shared" si="10"/>
        <v>2.5942060841037021E-2</v>
      </c>
      <c r="P29" s="819">
        <f>M29*'Table ES-1 Refresh ''13'!$D$9/Industrial!$M$3</f>
        <v>2.1129745697616418</v>
      </c>
      <c r="Q29" s="819">
        <f>N29*'Table ES-1 Refresh ''13'!$G$9/Industrial!$N$3</f>
        <v>0.2710988713633487</v>
      </c>
      <c r="R29" s="819">
        <f>O29*'Table ES-1 Refresh ''13'!$J$9/Industrial!$O$3</f>
        <v>2.2371900136404669E-2</v>
      </c>
    </row>
    <row r="30" spans="1:18">
      <c r="A30" s="405">
        <v>205</v>
      </c>
      <c r="B30" s="406" t="s">
        <v>209</v>
      </c>
      <c r="C30" s="918">
        <v>0.21740480455183156</v>
      </c>
      <c r="D30" s="918">
        <v>2.9083027848696211E-2</v>
      </c>
      <c r="E30" s="246">
        <v>2</v>
      </c>
      <c r="F30" s="246">
        <v>2</v>
      </c>
      <c r="G30" s="244"/>
      <c r="H30" s="245">
        <f t="shared" si="7"/>
        <v>0.21740480455183156</v>
      </c>
      <c r="I30" s="245">
        <f t="shared" si="8"/>
        <v>2.9083027848696211E-2</v>
      </c>
      <c r="J30" s="140">
        <v>2.5942060841037021E-2</v>
      </c>
      <c r="K30" s="143">
        <v>1</v>
      </c>
      <c r="L30" s="143">
        <v>0.21740480455183156</v>
      </c>
      <c r="M30" s="143">
        <f t="shared" si="4"/>
        <v>0.21740480455183156</v>
      </c>
      <c r="N30" s="143">
        <f t="shared" si="9"/>
        <v>2.9083027848696211E-2</v>
      </c>
      <c r="O30" s="143">
        <f t="shared" si="10"/>
        <v>2.9392348111964731E-2</v>
      </c>
      <c r="P30" s="819">
        <f>M30*'Table ES-1 Refresh ''13'!$D$9/Industrial!$M$3</f>
        <v>0.20481019290471111</v>
      </c>
      <c r="Q30" s="819">
        <f>N30*'Table ES-1 Refresh ''13'!$G$9/Industrial!$N$3</f>
        <v>2.6238402759099895E-2</v>
      </c>
      <c r="R30" s="819">
        <f>O30*'Table ES-1 Refresh ''13'!$J$9/Industrial!$O$3</f>
        <v>2.5347356972316451E-2</v>
      </c>
    </row>
    <row r="31" spans="1:18">
      <c r="A31" s="405">
        <v>206</v>
      </c>
      <c r="B31" s="406" t="s">
        <v>210</v>
      </c>
      <c r="C31" s="918">
        <v>0.41317341578666505</v>
      </c>
      <c r="D31" s="918">
        <v>4.9986986584974035E-3</v>
      </c>
      <c r="E31" s="246">
        <v>2</v>
      </c>
      <c r="F31" s="246">
        <v>2</v>
      </c>
      <c r="G31" s="244"/>
      <c r="H31" s="245">
        <f t="shared" si="7"/>
        <v>0.41317341578666505</v>
      </c>
      <c r="I31" s="245">
        <f t="shared" si="8"/>
        <v>4.9986986584974035E-3</v>
      </c>
      <c r="J31" s="140">
        <v>2.9392348111964731E-2</v>
      </c>
      <c r="K31" s="143">
        <v>1</v>
      </c>
      <c r="L31" s="143">
        <v>0.41317341578666505</v>
      </c>
      <c r="M31" s="143">
        <f t="shared" si="4"/>
        <v>0.41317341578666505</v>
      </c>
      <c r="N31" s="143">
        <f t="shared" si="9"/>
        <v>4.9986986584974035E-3</v>
      </c>
      <c r="O31" s="143">
        <f t="shared" si="10"/>
        <v>4.878166810291909E-2</v>
      </c>
      <c r="P31" s="819">
        <f>M31*'Table ES-1 Refresh ''13'!$D$9/Industrial!$M$3</f>
        <v>0.38923761213469632</v>
      </c>
      <c r="Q31" s="819">
        <f>N31*'Table ES-1 Refresh ''13'!$G$9/Industrial!$N$3</f>
        <v>4.5097735131078174E-3</v>
      </c>
      <c r="R31" s="819">
        <f>O31*'Table ES-1 Refresh ''13'!$J$9/Industrial!$O$3</f>
        <v>4.2068308064384191E-2</v>
      </c>
    </row>
    <row r="32" spans="1:18">
      <c r="A32" s="36">
        <v>207</v>
      </c>
      <c r="B32" s="42" t="s">
        <v>211</v>
      </c>
      <c r="C32" s="918">
        <v>0.40204890016658446</v>
      </c>
      <c r="D32" s="918">
        <v>5.378353704842237E-2</v>
      </c>
      <c r="E32" s="246">
        <v>2</v>
      </c>
      <c r="F32" s="246">
        <v>1</v>
      </c>
      <c r="G32" s="244"/>
      <c r="H32" s="245">
        <f t="shared" si="7"/>
        <v>0.40204890016658446</v>
      </c>
      <c r="I32" s="245">
        <f t="shared" si="8"/>
        <v>5.378353704842237E-2</v>
      </c>
      <c r="J32" s="140">
        <v>4.878166810291909E-2</v>
      </c>
      <c r="K32" s="143">
        <v>1</v>
      </c>
      <c r="L32" s="143">
        <v>0.40204890016658446</v>
      </c>
      <c r="M32" s="143">
        <f t="shared" si="4"/>
        <v>0.40204890016658446</v>
      </c>
      <c r="N32" s="143">
        <f t="shared" si="9"/>
        <v>5.378353704842237E-2</v>
      </c>
      <c r="O32" s="143">
        <f t="shared" si="10"/>
        <v>0.16114330190307166</v>
      </c>
      <c r="P32" s="819">
        <f>M32*'Table ES-1 Refresh ''13'!$D$9/Industrial!$M$3</f>
        <v>0.37875755768135982</v>
      </c>
      <c r="Q32" s="819">
        <f>N32*'Table ES-1 Refresh ''13'!$G$9/Industrial!$N$3</f>
        <v>4.8522943148395066E-2</v>
      </c>
      <c r="R32" s="819">
        <f>O32*'Table ES-1 Refresh ''13'!$J$9/Industrial!$O$3</f>
        <v>0.13896667192003687</v>
      </c>
    </row>
    <row r="33" spans="1:18">
      <c r="A33" s="405">
        <v>208</v>
      </c>
      <c r="B33" s="406" t="s">
        <v>212</v>
      </c>
      <c r="C33" s="918">
        <v>1.3554596585319438</v>
      </c>
      <c r="D33" s="918">
        <v>0.18132474614951238</v>
      </c>
      <c r="E33" s="246">
        <v>2</v>
      </c>
      <c r="F33" s="246">
        <v>2</v>
      </c>
      <c r="G33" s="244"/>
      <c r="H33" s="245">
        <f t="shared" si="7"/>
        <v>1.3554596585319438</v>
      </c>
      <c r="I33" s="245">
        <f t="shared" si="8"/>
        <v>0.18132474614951238</v>
      </c>
      <c r="J33" s="140">
        <v>0.16114330190307166</v>
      </c>
      <c r="K33" s="143">
        <v>1</v>
      </c>
      <c r="L33" s="143">
        <v>1.3554596585319438</v>
      </c>
      <c r="M33" s="143">
        <f t="shared" si="4"/>
        <v>1.3554596585319438</v>
      </c>
      <c r="N33" s="143">
        <f t="shared" si="9"/>
        <v>0.18132474614951238</v>
      </c>
      <c r="O33" s="143">
        <f t="shared" si="10"/>
        <v>0.54214719423444202</v>
      </c>
      <c r="P33" s="819">
        <f>M33*'Table ES-1 Refresh ''13'!$D$9/Industrial!$M$3</f>
        <v>1.2769356901323479</v>
      </c>
      <c r="Q33" s="819">
        <f>N33*'Table ES-1 Refresh ''13'!$G$9/Industrial!$N$3</f>
        <v>0.16358928459629898</v>
      </c>
      <c r="R33" s="819">
        <f>O33*'Table ES-1 Refresh ''13'!$J$9/Industrial!$O$3</f>
        <v>0.46753659869067199</v>
      </c>
    </row>
    <row r="34" spans="1:18">
      <c r="A34" s="405">
        <v>209</v>
      </c>
      <c r="B34" s="406" t="s">
        <v>213</v>
      </c>
      <c r="C34" s="918">
        <v>4.5472609209203272</v>
      </c>
      <c r="D34" s="918">
        <v>5.5096259576670935E-2</v>
      </c>
      <c r="E34" s="246">
        <v>2</v>
      </c>
      <c r="F34" s="246">
        <v>2</v>
      </c>
      <c r="G34" s="244"/>
      <c r="H34" s="245">
        <f t="shared" si="7"/>
        <v>4.5472609209203272</v>
      </c>
      <c r="I34" s="245">
        <f t="shared" si="8"/>
        <v>5.5096259576670935E-2</v>
      </c>
      <c r="J34" s="140">
        <v>0.54214719423444202</v>
      </c>
      <c r="K34" s="143">
        <v>1</v>
      </c>
      <c r="L34" s="143">
        <v>4.5472609209203272</v>
      </c>
      <c r="M34" s="143">
        <f t="shared" si="4"/>
        <v>4.5472609209203272</v>
      </c>
      <c r="N34" s="143">
        <f t="shared" si="9"/>
        <v>5.5096259576670935E-2</v>
      </c>
      <c r="O34" s="143">
        <f t="shared" si="10"/>
        <v>0.22877321225411612</v>
      </c>
      <c r="P34" s="819">
        <f>M34*'Table ES-1 Refresh ''13'!$D$9/Industrial!$M$3</f>
        <v>4.2838307475385573</v>
      </c>
      <c r="Q34" s="819">
        <f>N34*'Table ES-1 Refresh ''13'!$G$9/Industrial!$N$3</f>
        <v>4.9707267648110932E-2</v>
      </c>
      <c r="R34" s="819">
        <f>O34*'Table ES-1 Refresh ''13'!$J$9/Industrial!$O$3</f>
        <v>0.19728931675071198</v>
      </c>
    </row>
    <row r="35" spans="1:18">
      <c r="A35" s="36">
        <v>210</v>
      </c>
      <c r="B35" s="42" t="s">
        <v>214</v>
      </c>
      <c r="C35" s="918">
        <v>1.7459732366634435</v>
      </c>
      <c r="D35" s="918">
        <v>0.23391943993263409</v>
      </c>
      <c r="E35" s="246">
        <v>2</v>
      </c>
      <c r="F35" s="246">
        <v>1</v>
      </c>
      <c r="G35" s="244"/>
      <c r="H35" s="245">
        <f t="shared" si="7"/>
        <v>1.7459732366634435</v>
      </c>
      <c r="I35" s="245">
        <f t="shared" si="8"/>
        <v>0.23391943993263409</v>
      </c>
      <c r="J35" s="140">
        <v>0.22877321225411612</v>
      </c>
      <c r="K35" s="143">
        <v>1</v>
      </c>
      <c r="L35" s="143">
        <v>1.7459732366634435</v>
      </c>
      <c r="M35" s="143">
        <f t="shared" si="4"/>
        <v>1.7459732366634435</v>
      </c>
      <c r="N35" s="143">
        <f t="shared" si="9"/>
        <v>0.23391943993263409</v>
      </c>
      <c r="O35" s="143">
        <f t="shared" si="10"/>
        <v>0.17168559137473002</v>
      </c>
      <c r="P35" s="819">
        <f>M35*'Table ES-1 Refresh ''13'!$D$9/Industrial!$M$3</f>
        <v>1.6448261856248387</v>
      </c>
      <c r="Q35" s="819">
        <f>N35*'Table ES-1 Refresh ''13'!$G$9/Industrial!$N$3</f>
        <v>0.21103966581700601</v>
      </c>
      <c r="R35" s="819">
        <f>O35*'Table ES-1 Refresh ''13'!$J$9/Industrial!$O$3</f>
        <v>0.14805812570677401</v>
      </c>
    </row>
    <row r="36" spans="1:18">
      <c r="A36" s="405">
        <v>211</v>
      </c>
      <c r="B36" s="406" t="s">
        <v>215</v>
      </c>
      <c r="C36" s="918">
        <v>1.2400038037261552</v>
      </c>
      <c r="D36" s="918">
        <v>0.16587979842969086</v>
      </c>
      <c r="E36" s="246">
        <v>2</v>
      </c>
      <c r="F36" s="246">
        <v>2</v>
      </c>
      <c r="G36" s="244"/>
      <c r="H36" s="245">
        <f t="shared" si="7"/>
        <v>1.2400038037261552</v>
      </c>
      <c r="I36" s="245">
        <f t="shared" si="8"/>
        <v>0.16587979842969086</v>
      </c>
      <c r="J36" s="140">
        <v>0.17168559137473002</v>
      </c>
      <c r="K36" s="143">
        <v>1</v>
      </c>
      <c r="L36" s="143">
        <v>1.2400038037261552</v>
      </c>
      <c r="M36" s="143">
        <f t="shared" si="4"/>
        <v>1.2400038037261552</v>
      </c>
      <c r="N36" s="143">
        <f t="shared" si="9"/>
        <v>0.16587979842969086</v>
      </c>
      <c r="O36" s="143">
        <f t="shared" si="10"/>
        <v>7.9065291803557772E-2</v>
      </c>
      <c r="P36" s="819">
        <f>M36*'Table ES-1 Refresh ''13'!$D$9/Industrial!$M$3</f>
        <v>1.1681683795685454</v>
      </c>
      <c r="Q36" s="819">
        <f>N36*'Table ES-1 Refresh ''13'!$G$9/Industrial!$N$3</f>
        <v>0.14965501471992207</v>
      </c>
      <c r="R36" s="819">
        <f>O36*'Table ES-1 Refresh ''13'!$J$9/Industrial!$O$3</f>
        <v>6.8184282787850423E-2</v>
      </c>
    </row>
    <row r="37" spans="1:18">
      <c r="A37" s="405">
        <v>212</v>
      </c>
      <c r="B37" s="406" t="s">
        <v>216</v>
      </c>
      <c r="C37" s="918">
        <v>7.4543028839387873</v>
      </c>
      <c r="D37" s="918">
        <v>9.0319044783593525E-2</v>
      </c>
      <c r="E37" s="246">
        <v>2</v>
      </c>
      <c r="F37" s="246">
        <v>2</v>
      </c>
      <c r="G37" s="244"/>
      <c r="H37" s="245">
        <f t="shared" si="7"/>
        <v>7.4543028839387873</v>
      </c>
      <c r="I37" s="245">
        <f t="shared" si="8"/>
        <v>9.0319044783593525E-2</v>
      </c>
      <c r="J37" s="140">
        <v>7.9065291803557772E-2</v>
      </c>
      <c r="K37" s="143">
        <v>1</v>
      </c>
      <c r="L37" s="143">
        <v>7.4543028839387873</v>
      </c>
      <c r="M37" s="143">
        <f t="shared" si="4"/>
        <v>7.4543028839387873</v>
      </c>
      <c r="N37" s="143">
        <f t="shared" si="9"/>
        <v>9.0319044783593525E-2</v>
      </c>
      <c r="O37" s="143">
        <f t="shared" si="10"/>
        <v>0.21807362838257666</v>
      </c>
      <c r="P37" s="819">
        <f>M37*'Table ES-1 Refresh ''13'!$D$9/Industrial!$M$3</f>
        <v>7.0224630719495531</v>
      </c>
      <c r="Q37" s="819">
        <f>N37*'Table ES-1 Refresh ''13'!$G$9/Industrial!$N$3</f>
        <v>8.1484895114019087E-2</v>
      </c>
      <c r="R37" s="819">
        <f>O37*'Table ES-1 Refresh ''13'!$J$9/Industrial!$O$3</f>
        <v>0.18806221550606014</v>
      </c>
    </row>
    <row r="38" spans="1:18">
      <c r="A38" s="36">
        <v>213</v>
      </c>
      <c r="B38" s="42" t="s">
        <v>217</v>
      </c>
      <c r="C38" s="918">
        <v>1.8288766273597972</v>
      </c>
      <c r="D38" s="918">
        <v>0.24502654874446816</v>
      </c>
      <c r="E38" s="246">
        <v>2</v>
      </c>
      <c r="F38" s="246">
        <v>1</v>
      </c>
      <c r="G38" s="244"/>
      <c r="H38" s="245">
        <f t="shared" si="7"/>
        <v>1.8288766273597972</v>
      </c>
      <c r="I38" s="245">
        <f t="shared" si="8"/>
        <v>0.24502654874446816</v>
      </c>
      <c r="J38" s="140">
        <v>0.21807362838257666</v>
      </c>
      <c r="K38" s="143">
        <v>1</v>
      </c>
      <c r="L38" s="143">
        <v>1.8288766273597972</v>
      </c>
      <c r="M38" s="143">
        <f t="shared" si="4"/>
        <v>1.8288766273597972</v>
      </c>
      <c r="N38" s="143">
        <f t="shared" si="9"/>
        <v>0.24502654874446816</v>
      </c>
      <c r="O38" s="143">
        <f t="shared" si="10"/>
        <v>0.21957671706933982</v>
      </c>
      <c r="P38" s="819">
        <f>M38*'Table ES-1 Refresh ''13'!$D$9/Industrial!$M$3</f>
        <v>1.7229268489288401</v>
      </c>
      <c r="Q38" s="819">
        <f>N38*'Table ES-1 Refresh ''13'!$G$9/Industrial!$N$3</f>
        <v>0.22106038291737887</v>
      </c>
      <c r="R38" s="819">
        <f>O38*'Table ES-1 Refresh ''13'!$J$9/Industrial!$O$3</f>
        <v>0.18935844829968737</v>
      </c>
    </row>
    <row r="39" spans="1:18">
      <c r="A39" s="35">
        <v>214</v>
      </c>
      <c r="B39" s="41" t="s">
        <v>218</v>
      </c>
      <c r="C39" s="918">
        <v>1.0479691274460947</v>
      </c>
      <c r="D39" s="918">
        <v>0.18131851120507003</v>
      </c>
      <c r="E39" s="246">
        <v>2</v>
      </c>
      <c r="F39" s="246">
        <v>1</v>
      </c>
      <c r="G39" s="244"/>
      <c r="H39" s="245">
        <f t="shared" si="7"/>
        <v>1.0479691274460947</v>
      </c>
      <c r="I39" s="245">
        <f t="shared" si="8"/>
        <v>0.18131851120507003</v>
      </c>
      <c r="J39" s="140">
        <v>0.21957671706933982</v>
      </c>
      <c r="K39" s="143">
        <v>1</v>
      </c>
      <c r="L39" s="143">
        <v>1.0479691274460947</v>
      </c>
      <c r="M39" s="143">
        <f t="shared" si="4"/>
        <v>1.0479691274460947</v>
      </c>
      <c r="N39" s="143">
        <f t="shared" si="9"/>
        <v>0.18131851120507003</v>
      </c>
      <c r="O39" s="143">
        <f t="shared" si="10"/>
        <v>0</v>
      </c>
      <c r="P39" s="819">
        <f>M39*'Table ES-1 Refresh ''13'!$D$9/Industrial!$M$3</f>
        <v>0.98725858240747977</v>
      </c>
      <c r="Q39" s="819">
        <f>N39*'Table ES-1 Refresh ''13'!$G$9/Industrial!$N$3</f>
        <v>0.163583659494803</v>
      </c>
      <c r="R39" s="819">
        <f>O39*'Table ES-1 Refresh ''13'!$J$9/Industrial!$O$3</f>
        <v>0</v>
      </c>
    </row>
    <row r="40" spans="1:18">
      <c r="A40" s="35">
        <v>215</v>
      </c>
      <c r="B40" s="41" t="s">
        <v>202</v>
      </c>
      <c r="C40" s="918">
        <v>2.4945037456999739E-3</v>
      </c>
      <c r="D40" s="918">
        <v>2.2208477667640849E-4</v>
      </c>
      <c r="E40" s="246">
        <v>2</v>
      </c>
      <c r="F40" s="246">
        <v>1</v>
      </c>
      <c r="G40" s="244"/>
      <c r="H40" s="245">
        <f t="shared" si="7"/>
        <v>2.4945037456999739E-3</v>
      </c>
      <c r="I40" s="245">
        <f t="shared" si="8"/>
        <v>2.2208477667640849E-4</v>
      </c>
      <c r="J40" s="140">
        <v>0</v>
      </c>
      <c r="K40" s="143">
        <v>1</v>
      </c>
      <c r="L40" s="143">
        <v>2.4945037456999739E-3</v>
      </c>
      <c r="M40" s="143">
        <f t="shared" si="4"/>
        <v>2.4945037456999739E-3</v>
      </c>
      <c r="N40" s="143">
        <f t="shared" si="9"/>
        <v>2.2208477667640849E-4</v>
      </c>
      <c r="O40" s="143">
        <f t="shared" si="10"/>
        <v>0</v>
      </c>
      <c r="P40" s="819">
        <f>M40*'Table ES-1 Refresh ''13'!$D$9/Industrial!$M$3</f>
        <v>2.3499931126707563E-3</v>
      </c>
      <c r="Q40" s="819">
        <f>N40*'Table ES-1 Refresh ''13'!$G$9/Industrial!$N$3</f>
        <v>2.0036255672607316E-4</v>
      </c>
      <c r="R40" s="819">
        <f>O40*'Table ES-1 Refresh ''13'!$J$9/Industrial!$O$3</f>
        <v>0</v>
      </c>
    </row>
    <row r="41" spans="1:18">
      <c r="A41" s="35">
        <v>216</v>
      </c>
      <c r="B41" s="41" t="s">
        <v>203</v>
      </c>
      <c r="C41" s="918">
        <v>1.4881880363709975E-2</v>
      </c>
      <c r="D41" s="918">
        <v>1.3249284884004557E-3</v>
      </c>
      <c r="E41" s="246">
        <v>2</v>
      </c>
      <c r="F41" s="246">
        <v>1</v>
      </c>
      <c r="G41" s="244"/>
      <c r="H41" s="245">
        <f t="shared" si="7"/>
        <v>1.4881880363709975E-2</v>
      </c>
      <c r="I41" s="245">
        <f t="shared" si="8"/>
        <v>1.3249284884004557E-3</v>
      </c>
      <c r="J41" s="140">
        <v>0</v>
      </c>
      <c r="K41" s="143">
        <v>1</v>
      </c>
      <c r="L41" s="143">
        <v>1.4881880363709975E-2</v>
      </c>
      <c r="M41" s="143">
        <f>L41*K41</f>
        <v>1.4881880363709975E-2</v>
      </c>
      <c r="N41" s="143">
        <f t="shared" si="9"/>
        <v>1.3249284884004557E-3</v>
      </c>
      <c r="O41" s="143">
        <f>K41*J43</f>
        <v>1.7956837626882887</v>
      </c>
      <c r="P41" s="819">
        <f>M41*'Table ES-1 Refresh ''13'!$D$9/Industrial!$M$3</f>
        <v>1.4019748985582363E-2</v>
      </c>
      <c r="Q41" s="819">
        <f>N41*'Table ES-1 Refresh ''13'!$G$9/Industrial!$N$3</f>
        <v>1.1953365889726311E-3</v>
      </c>
      <c r="R41" s="819">
        <f>O41*'Table ES-1 Refresh ''13'!$J$9/Industrial!$O$3</f>
        <v>1.5485607740105773</v>
      </c>
    </row>
    <row r="42" spans="1:18">
      <c r="A42" s="402"/>
      <c r="B42" s="403" t="s">
        <v>321</v>
      </c>
      <c r="C42" s="918"/>
      <c r="D42" s="918"/>
      <c r="E42" s="246"/>
      <c r="F42" s="246"/>
      <c r="G42" s="244"/>
      <c r="H42" s="245"/>
      <c r="I42" s="245"/>
      <c r="J42" s="140"/>
      <c r="K42" s="143"/>
      <c r="L42" s="143"/>
      <c r="M42" s="143"/>
      <c r="N42" s="143"/>
      <c r="O42" s="143"/>
      <c r="P42" s="819">
        <f>M42*'Table ES-1 Refresh ''13'!$D$9/Industrial!$M$3</f>
        <v>0</v>
      </c>
      <c r="Q42" s="819">
        <f>N42*'Table ES-1 Refresh ''13'!$G$9/Industrial!$N$3</f>
        <v>0</v>
      </c>
      <c r="R42" s="819">
        <f>O42*'Table ES-1 Refresh ''13'!$J$9/Industrial!$O$3</f>
        <v>0</v>
      </c>
    </row>
    <row r="43" spans="1:18">
      <c r="A43" s="36">
        <v>301</v>
      </c>
      <c r="B43" s="42" t="s">
        <v>220</v>
      </c>
      <c r="C43" s="918">
        <v>15.066739792859524</v>
      </c>
      <c r="D43" s="918">
        <v>1.9329211654341105</v>
      </c>
      <c r="E43" s="246">
        <v>3</v>
      </c>
      <c r="F43" s="246">
        <v>1</v>
      </c>
      <c r="G43" s="244"/>
      <c r="H43" s="245">
        <f t="shared" ref="H43:H57" si="11">IF(AND(F43=2,E43&gt;10),C43*10/E43,C43)</f>
        <v>15.066739792859524</v>
      </c>
      <c r="I43" s="245">
        <f t="shared" ref="I43:I57" si="12">IF(AND(F43=2,E43&gt;10),D43*10/E43,D43)</f>
        <v>1.9329211654341105</v>
      </c>
      <c r="J43" s="140">
        <v>1.7956837626882887</v>
      </c>
      <c r="K43" s="143">
        <v>1</v>
      </c>
      <c r="L43" s="143">
        <v>15.066739792859524</v>
      </c>
      <c r="M43" s="143">
        <f t="shared" ref="M43:M57" si="13">L43*K43</f>
        <v>15.066739792859524</v>
      </c>
      <c r="N43" s="143">
        <f t="shared" ref="N43:N57" si="14">K43*I43</f>
        <v>1.9329211654341105</v>
      </c>
      <c r="O43" s="143">
        <f t="shared" ref="O43:O55" si="15">K43*J45</f>
        <v>4.0055663119128875</v>
      </c>
      <c r="P43" s="819">
        <f>M43*'Table ES-1 Refresh ''13'!$D$9/Industrial!$M$3</f>
        <v>14.193899209274164</v>
      </c>
      <c r="Q43" s="819">
        <f>N43*'Table ES-1 Refresh ''13'!$G$9/Industrial!$N$3</f>
        <v>1.7438612067526722</v>
      </c>
      <c r="R43" s="819">
        <f>O43*'Table ES-1 Refresh ''13'!$J$9/Industrial!$O$3</f>
        <v>3.4543180693689126</v>
      </c>
    </row>
    <row r="44" spans="1:18">
      <c r="A44" s="36">
        <v>302</v>
      </c>
      <c r="B44" s="42" t="s">
        <v>221</v>
      </c>
      <c r="C44" s="918">
        <v>44.217608461444634</v>
      </c>
      <c r="D44" s="918">
        <v>5.6727037479427418</v>
      </c>
      <c r="E44" s="246">
        <v>3</v>
      </c>
      <c r="F44" s="246">
        <v>1</v>
      </c>
      <c r="G44" s="244"/>
      <c r="H44" s="245">
        <f t="shared" si="11"/>
        <v>44.217608461444634</v>
      </c>
      <c r="I44" s="245">
        <f t="shared" si="12"/>
        <v>5.6727037479427418</v>
      </c>
      <c r="J44" s="140">
        <v>5.0487063356690403</v>
      </c>
      <c r="K44" s="143">
        <v>1</v>
      </c>
      <c r="L44" s="143">
        <v>44.217608461444634</v>
      </c>
      <c r="M44" s="143">
        <f t="shared" si="13"/>
        <v>44.217608461444634</v>
      </c>
      <c r="N44" s="143">
        <f t="shared" si="14"/>
        <v>5.6727037479427418</v>
      </c>
      <c r="O44" s="143">
        <f t="shared" si="15"/>
        <v>1.6081664175447337</v>
      </c>
      <c r="P44" s="819">
        <f>M44*'Table ES-1 Refresh ''13'!$D$9/Industrial!$M$3</f>
        <v>41.656010948986946</v>
      </c>
      <c r="Q44" s="819">
        <f>N44*'Table ES-1 Refresh ''13'!$G$9/Industrial!$N$3</f>
        <v>5.1178538371564271</v>
      </c>
      <c r="R44" s="819">
        <f>O44*'Table ES-1 Refresh ''13'!$J$9/Industrial!$O$3</f>
        <v>1.3868496692104837</v>
      </c>
    </row>
    <row r="45" spans="1:18">
      <c r="A45" s="36">
        <v>303</v>
      </c>
      <c r="B45" s="42" t="s">
        <v>222</v>
      </c>
      <c r="C45" s="918">
        <v>34.843483109881873</v>
      </c>
      <c r="D45" s="918">
        <v>4.4704981159742045</v>
      </c>
      <c r="E45" s="246">
        <v>3</v>
      </c>
      <c r="F45" s="246">
        <v>1</v>
      </c>
      <c r="G45" s="244"/>
      <c r="H45" s="245">
        <f t="shared" si="11"/>
        <v>34.843483109881873</v>
      </c>
      <c r="I45" s="245">
        <f t="shared" si="12"/>
        <v>4.4704981159742045</v>
      </c>
      <c r="J45" s="140">
        <v>4.0055663119128875</v>
      </c>
      <c r="K45" s="143">
        <v>1</v>
      </c>
      <c r="L45" s="143">
        <v>34.843483109881873</v>
      </c>
      <c r="M45" s="143">
        <f t="shared" si="13"/>
        <v>34.843483109881873</v>
      </c>
      <c r="N45" s="143">
        <f t="shared" si="14"/>
        <v>4.4704981159742045</v>
      </c>
      <c r="O45" s="143">
        <f t="shared" si="15"/>
        <v>3.307385130716857E-2</v>
      </c>
      <c r="P45" s="819">
        <f>M45*'Table ES-1 Refresh ''13'!$D$9/Industrial!$M$3</f>
        <v>32.82494382733654</v>
      </c>
      <c r="Q45" s="819">
        <f>N45*'Table ES-1 Refresh ''13'!$G$9/Industrial!$N$3</f>
        <v>4.0332365223790454</v>
      </c>
      <c r="R45" s="819">
        <f>O45*'Table ES-1 Refresh ''13'!$J$9/Industrial!$O$3</f>
        <v>2.8522209669626777E-2</v>
      </c>
    </row>
    <row r="46" spans="1:18">
      <c r="A46" s="36">
        <v>304</v>
      </c>
      <c r="B46" s="42" t="s">
        <v>223</v>
      </c>
      <c r="C46" s="918">
        <v>14.037335381249269</v>
      </c>
      <c r="D46" s="918">
        <v>1.800858250330049</v>
      </c>
      <c r="E46" s="246">
        <v>3</v>
      </c>
      <c r="F46" s="246">
        <v>2</v>
      </c>
      <c r="G46" s="244"/>
      <c r="H46" s="245">
        <f t="shared" si="11"/>
        <v>14.037335381249269</v>
      </c>
      <c r="I46" s="245">
        <f t="shared" si="12"/>
        <v>1.800858250330049</v>
      </c>
      <c r="J46" s="140">
        <v>1.6081664175447337</v>
      </c>
      <c r="K46" s="143">
        <v>1</v>
      </c>
      <c r="L46" s="143">
        <v>14.037335381249269</v>
      </c>
      <c r="M46" s="143">
        <f t="shared" si="13"/>
        <v>14.037335381249269</v>
      </c>
      <c r="N46" s="143">
        <f t="shared" si="14"/>
        <v>1.800858250330049</v>
      </c>
      <c r="O46" s="143">
        <f t="shared" si="15"/>
        <v>4.0309505196126957E-2</v>
      </c>
      <c r="P46" s="819">
        <f>M46*'Table ES-1 Refresh ''13'!$D$9/Industrial!$M$3</f>
        <v>13.224129858714148</v>
      </c>
      <c r="Q46" s="819">
        <f>N46*'Table ES-1 Refresh ''13'!$G$9/Industrial!$N$3</f>
        <v>1.6247154295637085</v>
      </c>
      <c r="R46" s="819">
        <f>O46*'Table ES-1 Refresh ''13'!$J$9/Industrial!$O$3</f>
        <v>3.47620888842071E-2</v>
      </c>
    </row>
    <row r="47" spans="1:18">
      <c r="A47" s="405">
        <v>305</v>
      </c>
      <c r="B47" s="406" t="s">
        <v>224</v>
      </c>
      <c r="C47" s="918">
        <v>0.28866306259625674</v>
      </c>
      <c r="D47" s="918">
        <v>3.7036787578016317E-2</v>
      </c>
      <c r="E47" s="246">
        <v>3</v>
      </c>
      <c r="F47" s="246">
        <v>2</v>
      </c>
      <c r="G47" s="244"/>
      <c r="H47" s="245">
        <f t="shared" si="11"/>
        <v>0.28866306259625674</v>
      </c>
      <c r="I47" s="245">
        <f t="shared" si="12"/>
        <v>3.7036787578016317E-2</v>
      </c>
      <c r="J47" s="140">
        <v>3.307385130716857E-2</v>
      </c>
      <c r="K47" s="143">
        <v>1</v>
      </c>
      <c r="L47" s="143">
        <v>0.28866306259625674</v>
      </c>
      <c r="M47" s="143">
        <f t="shared" si="13"/>
        <v>0.28866306259625674</v>
      </c>
      <c r="N47" s="143">
        <f t="shared" si="14"/>
        <v>3.7036787578016317E-2</v>
      </c>
      <c r="O47" s="143">
        <f t="shared" si="15"/>
        <v>6.4451447415368499E-2</v>
      </c>
      <c r="P47" s="819">
        <f>M47*'Table ES-1 Refresh ''13'!$D$9/Industrial!$M$3</f>
        <v>0.27194034490948404</v>
      </c>
      <c r="Q47" s="819">
        <f>N47*'Table ES-1 Refresh ''13'!$G$9/Industrial!$N$3</f>
        <v>3.3414201383394987E-2</v>
      </c>
      <c r="R47" s="819">
        <f>O47*'Table ES-1 Refresh ''13'!$J$9/Industrial!$O$3</f>
        <v>5.5581603715247535E-2</v>
      </c>
    </row>
    <row r="48" spans="1:18">
      <c r="A48" s="405">
        <v>306</v>
      </c>
      <c r="B48" s="406" t="s">
        <v>225</v>
      </c>
      <c r="C48" s="918">
        <v>0.55805123433349413</v>
      </c>
      <c r="D48" s="918">
        <v>6.4754225214661782E-3</v>
      </c>
      <c r="E48" s="246">
        <v>3</v>
      </c>
      <c r="F48" s="246">
        <v>2</v>
      </c>
      <c r="G48" s="244"/>
      <c r="H48" s="245">
        <f t="shared" si="11"/>
        <v>0.55805123433349413</v>
      </c>
      <c r="I48" s="245">
        <f t="shared" si="12"/>
        <v>6.4754225214661782E-3</v>
      </c>
      <c r="J48" s="140">
        <v>4.0309505196126957E-2</v>
      </c>
      <c r="K48" s="143">
        <v>1</v>
      </c>
      <c r="L48" s="143">
        <v>0.55805123433349413</v>
      </c>
      <c r="M48" s="143">
        <f t="shared" si="13"/>
        <v>0.55805123433349413</v>
      </c>
      <c r="N48" s="143">
        <f t="shared" si="14"/>
        <v>6.4754225214661782E-3</v>
      </c>
      <c r="O48" s="143">
        <f t="shared" si="15"/>
        <v>0.20528278482691206</v>
      </c>
      <c r="P48" s="819">
        <f>M48*'Table ES-1 Refresh ''13'!$D$9/Industrial!$M$3</f>
        <v>0.52572242453503859</v>
      </c>
      <c r="Q48" s="819">
        <f>N48*'Table ES-1 Refresh ''13'!$G$9/Industrial!$N$3</f>
        <v>5.8420582972825699E-3</v>
      </c>
      <c r="R48" s="819">
        <f>O48*'Table ES-1 Refresh ''13'!$J$9/Industrial!$O$3</f>
        <v>0.17703165488710412</v>
      </c>
    </row>
    <row r="49" spans="1:18">
      <c r="A49" s="36">
        <v>307</v>
      </c>
      <c r="B49" s="42" t="s">
        <v>226</v>
      </c>
      <c r="C49" s="918">
        <v>0.53382751624859093</v>
      </c>
      <c r="D49" s="918">
        <v>6.8492505223558445E-2</v>
      </c>
      <c r="E49" s="246">
        <v>3</v>
      </c>
      <c r="F49" s="246">
        <v>1</v>
      </c>
      <c r="G49" s="244"/>
      <c r="H49" s="245">
        <f t="shared" si="11"/>
        <v>0.53382751624859093</v>
      </c>
      <c r="I49" s="245">
        <f t="shared" si="12"/>
        <v>6.8492505223558445E-2</v>
      </c>
      <c r="J49" s="140">
        <v>6.4451447415368499E-2</v>
      </c>
      <c r="K49" s="143">
        <v>1</v>
      </c>
      <c r="L49" s="143">
        <v>0.53382751624859093</v>
      </c>
      <c r="M49" s="143">
        <f t="shared" si="13"/>
        <v>0.53382751624859093</v>
      </c>
      <c r="N49" s="143">
        <f t="shared" si="14"/>
        <v>6.8492505223558445E-2</v>
      </c>
      <c r="O49" s="143">
        <f t="shared" si="15"/>
        <v>0.74136056085330393</v>
      </c>
      <c r="P49" s="819">
        <f>M49*'Table ES-1 Refresh ''13'!$D$9/Industrial!$M$3</f>
        <v>0.50290202558357222</v>
      </c>
      <c r="Q49" s="819">
        <f>N49*'Table ES-1 Refresh ''13'!$G$9/Industrial!$N$3</f>
        <v>6.1793219997072789E-2</v>
      </c>
      <c r="R49" s="819">
        <f>O49*'Table ES-1 Refresh ''13'!$J$9/Industrial!$O$3</f>
        <v>0.6393341120472088</v>
      </c>
    </row>
    <row r="50" spans="1:18">
      <c r="A50" s="405">
        <v>308</v>
      </c>
      <c r="B50" s="406" t="s">
        <v>227</v>
      </c>
      <c r="C50" s="918">
        <v>1.7997354614980123</v>
      </c>
      <c r="D50" s="918">
        <v>0.23091426864669523</v>
      </c>
      <c r="E50" s="246">
        <v>3</v>
      </c>
      <c r="F50" s="246">
        <v>2</v>
      </c>
      <c r="G50" s="244"/>
      <c r="H50" s="245">
        <f t="shared" si="11"/>
        <v>1.7997354614980123</v>
      </c>
      <c r="I50" s="245">
        <f t="shared" si="12"/>
        <v>0.23091426864669523</v>
      </c>
      <c r="J50" s="140">
        <v>0.20528278482691206</v>
      </c>
      <c r="K50" s="143">
        <v>1</v>
      </c>
      <c r="L50" s="143">
        <v>1.7997354614980123</v>
      </c>
      <c r="M50" s="143">
        <f t="shared" si="13"/>
        <v>1.7997354614980123</v>
      </c>
      <c r="N50" s="143">
        <f t="shared" si="14"/>
        <v>0.23091426864669523</v>
      </c>
      <c r="O50" s="143">
        <f t="shared" si="15"/>
        <v>0.22865708350525468</v>
      </c>
      <c r="P50" s="819">
        <f>M50*'Table ES-1 Refresh ''13'!$D$9/Industrial!$M$3</f>
        <v>1.6954738778966503</v>
      </c>
      <c r="Q50" s="819">
        <f>N50*'Table ES-1 Refresh ''13'!$G$9/Industrial!$N$3</f>
        <v>0.208328431795199</v>
      </c>
      <c r="R50" s="819">
        <f>O50*'Table ES-1 Refresh ''13'!$J$9/Industrial!$O$3</f>
        <v>0.19718916970424513</v>
      </c>
    </row>
    <row r="51" spans="1:18">
      <c r="A51" s="405">
        <v>309</v>
      </c>
      <c r="B51" s="406" t="s">
        <v>228</v>
      </c>
      <c r="C51" s="918">
        <v>7.5084996877242824</v>
      </c>
      <c r="D51" s="918">
        <v>8.7116399630235486E-2</v>
      </c>
      <c r="E51" s="246">
        <v>3</v>
      </c>
      <c r="F51" s="246">
        <v>2</v>
      </c>
      <c r="G51" s="244"/>
      <c r="H51" s="245">
        <f t="shared" si="11"/>
        <v>7.5084996877242824</v>
      </c>
      <c r="I51" s="245">
        <f t="shared" si="12"/>
        <v>8.7116399630235486E-2</v>
      </c>
      <c r="J51" s="140">
        <v>0.74136056085330393</v>
      </c>
      <c r="K51" s="143">
        <v>1</v>
      </c>
      <c r="L51" s="143">
        <v>7.5084996877242824</v>
      </c>
      <c r="M51" s="143">
        <f t="shared" si="13"/>
        <v>7.5084996877242824</v>
      </c>
      <c r="N51" s="143">
        <f t="shared" si="14"/>
        <v>8.7116399630235486E-2</v>
      </c>
      <c r="O51" s="143">
        <f t="shared" si="15"/>
        <v>0.18800837560156292</v>
      </c>
      <c r="P51" s="819">
        <f>M51*'Table ES-1 Refresh ''13'!$D$9/Industrial!$M$3</f>
        <v>7.0735201673113979</v>
      </c>
      <c r="Q51" s="819">
        <f>N51*'Table ES-1 Refresh ''13'!$G$9/Industrial!$N$3</f>
        <v>7.8595502239746734E-2</v>
      </c>
      <c r="R51" s="819">
        <f>O51*'Table ES-1 Refresh ''13'!$J$9/Industrial!$O$3</f>
        <v>0.16213455937595775</v>
      </c>
    </row>
    <row r="52" spans="1:18">
      <c r="A52" s="36">
        <v>310</v>
      </c>
      <c r="B52" s="42" t="s">
        <v>229</v>
      </c>
      <c r="C52" s="918">
        <v>2.00244363212515</v>
      </c>
      <c r="D52" s="918">
        <v>0.25691807135421874</v>
      </c>
      <c r="E52" s="246">
        <v>3</v>
      </c>
      <c r="F52" s="246">
        <v>1</v>
      </c>
      <c r="G52" s="244"/>
      <c r="H52" s="245">
        <f t="shared" si="11"/>
        <v>2.00244363212515</v>
      </c>
      <c r="I52" s="245">
        <f t="shared" si="12"/>
        <v>0.25691807135421874</v>
      </c>
      <c r="J52" s="140">
        <v>0.22865708350525468</v>
      </c>
      <c r="K52" s="143">
        <v>1</v>
      </c>
      <c r="L52" s="143">
        <v>2.00244363212515</v>
      </c>
      <c r="M52" s="143">
        <f t="shared" si="13"/>
        <v>2.00244363212515</v>
      </c>
      <c r="N52" s="143">
        <f t="shared" si="14"/>
        <v>0.25691807135421874</v>
      </c>
      <c r="O52" s="143">
        <f t="shared" si="15"/>
        <v>0.34621990716478934</v>
      </c>
      <c r="P52" s="819">
        <f>M52*'Table ES-1 Refresh ''13'!$D$9/Industrial!$M$3</f>
        <v>1.8864388366292304</v>
      </c>
      <c r="Q52" s="819">
        <f>N52*'Table ES-1 Refresh ''13'!$G$9/Industrial!$N$3</f>
        <v>0.2317887899208321</v>
      </c>
      <c r="R52" s="819">
        <f>O52*'Table ES-1 Refresh ''13'!$J$9/Industrial!$O$3</f>
        <v>0.29857293280545466</v>
      </c>
    </row>
    <row r="53" spans="1:18">
      <c r="A53" s="405">
        <v>311</v>
      </c>
      <c r="B53" s="406" t="s">
        <v>230</v>
      </c>
      <c r="C53" s="918">
        <v>1.6464369144852182</v>
      </c>
      <c r="D53" s="918">
        <v>0.21124536584445272</v>
      </c>
      <c r="E53" s="246">
        <v>3</v>
      </c>
      <c r="F53" s="246">
        <v>2</v>
      </c>
      <c r="G53" s="244"/>
      <c r="H53" s="245">
        <f t="shared" si="11"/>
        <v>1.6464369144852182</v>
      </c>
      <c r="I53" s="245">
        <f t="shared" si="12"/>
        <v>0.21124536584445272</v>
      </c>
      <c r="J53" s="140">
        <v>0.18800837560156292</v>
      </c>
      <c r="K53" s="143">
        <v>1</v>
      </c>
      <c r="L53" s="143">
        <v>1.6464369144852182</v>
      </c>
      <c r="M53" s="143">
        <f t="shared" si="13"/>
        <v>1.6464369144852182</v>
      </c>
      <c r="N53" s="143">
        <f t="shared" si="14"/>
        <v>0.21124536584445272</v>
      </c>
      <c r="O53" s="143">
        <f t="shared" si="15"/>
        <v>0.24758783828923289</v>
      </c>
      <c r="P53" s="819">
        <f>M53*'Table ES-1 Refresh ''13'!$D$9/Industrial!$M$3</f>
        <v>1.5510561634380129</v>
      </c>
      <c r="Q53" s="819">
        <f>N53*'Table ES-1 Refresh ''13'!$G$9/Industrial!$N$3</f>
        <v>0.19058335393605294</v>
      </c>
      <c r="R53" s="819">
        <f>O53*'Table ES-1 Refresh ''13'!$J$9/Industrial!$O$3</f>
        <v>0.21351466358574803</v>
      </c>
    </row>
    <row r="54" spans="1:18">
      <c r="A54" s="405">
        <v>312</v>
      </c>
      <c r="B54" s="406" t="s">
        <v>231</v>
      </c>
      <c r="C54" s="918">
        <v>10.013570353394144</v>
      </c>
      <c r="D54" s="918">
        <v>0.11618117690093602</v>
      </c>
      <c r="E54" s="246">
        <v>3</v>
      </c>
      <c r="F54" s="246">
        <v>2</v>
      </c>
      <c r="G54" s="244"/>
      <c r="H54" s="245">
        <f t="shared" si="11"/>
        <v>10.013570353394144</v>
      </c>
      <c r="I54" s="245">
        <f t="shared" si="12"/>
        <v>0.11618117690093602</v>
      </c>
      <c r="J54" s="140">
        <v>0.34621990716478934</v>
      </c>
      <c r="K54" s="143">
        <v>1</v>
      </c>
      <c r="L54" s="143">
        <v>10.013570353394144</v>
      </c>
      <c r="M54" s="143">
        <f t="shared" si="13"/>
        <v>10.013570353394144</v>
      </c>
      <c r="N54" s="143">
        <f t="shared" si="14"/>
        <v>0.11618117690093602</v>
      </c>
      <c r="O54" s="143">
        <f t="shared" si="15"/>
        <v>0</v>
      </c>
      <c r="P54" s="819">
        <f>M54*'Table ES-1 Refresh ''13'!$D$9/Industrial!$M$3</f>
        <v>9.4334680412023708</v>
      </c>
      <c r="Q54" s="819">
        <f>N54*'Table ES-1 Refresh ''13'!$G$9/Industrial!$N$3</f>
        <v>0.10481743951875534</v>
      </c>
      <c r="R54" s="819">
        <f>O54*'Table ES-1 Refresh ''13'!$J$9/Industrial!$O$3</f>
        <v>0</v>
      </c>
    </row>
    <row r="55" spans="1:18">
      <c r="A55" s="36">
        <v>313</v>
      </c>
      <c r="B55" s="42" t="s">
        <v>232</v>
      </c>
      <c r="C55" s="918">
        <v>2.097524910143771</v>
      </c>
      <c r="D55" s="918">
        <v>0.26911721553177487</v>
      </c>
      <c r="E55" s="246">
        <v>3</v>
      </c>
      <c r="F55" s="246">
        <v>1</v>
      </c>
      <c r="G55" s="244"/>
      <c r="H55" s="245">
        <f t="shared" si="11"/>
        <v>2.097524910143771</v>
      </c>
      <c r="I55" s="245">
        <f t="shared" si="12"/>
        <v>0.26911721553177487</v>
      </c>
      <c r="J55" s="140">
        <v>0.24758783828923289</v>
      </c>
      <c r="K55" s="143">
        <v>1</v>
      </c>
      <c r="L55" s="143">
        <v>2.097524910143771</v>
      </c>
      <c r="M55" s="143">
        <f t="shared" si="13"/>
        <v>2.097524910143771</v>
      </c>
      <c r="N55" s="143">
        <f t="shared" si="14"/>
        <v>0.26911721553177487</v>
      </c>
      <c r="O55" s="143">
        <f t="shared" si="15"/>
        <v>8.4995669447613439E-3</v>
      </c>
      <c r="P55" s="819">
        <f>M55*'Table ES-1 Refresh ''13'!$D$9/Industrial!$M$3</f>
        <v>1.9760119025638312</v>
      </c>
      <c r="Q55" s="819">
        <f>N55*'Table ES-1 Refresh ''13'!$G$9/Industrial!$N$3</f>
        <v>0.24279472987702533</v>
      </c>
      <c r="R55" s="819">
        <f>O55*'Table ES-1 Refresh ''13'!$J$9/Industrial!$O$3</f>
        <v>7.329851859343867E-3</v>
      </c>
    </row>
    <row r="56" spans="1:18">
      <c r="A56" s="35">
        <v>314</v>
      </c>
      <c r="B56" s="41" t="s">
        <v>202</v>
      </c>
      <c r="C56" s="918">
        <v>1.3494300147675295E-2</v>
      </c>
      <c r="D56" s="918">
        <v>1.2013927178369124E-3</v>
      </c>
      <c r="E56" s="246">
        <v>3</v>
      </c>
      <c r="F56" s="246">
        <v>1</v>
      </c>
      <c r="G56" s="244"/>
      <c r="H56" s="245">
        <f t="shared" si="11"/>
        <v>1.3494300147675295E-2</v>
      </c>
      <c r="I56" s="245">
        <f t="shared" si="12"/>
        <v>1.2013927178369124E-3</v>
      </c>
      <c r="J56" s="140">
        <v>0</v>
      </c>
      <c r="K56" s="143">
        <v>1</v>
      </c>
      <c r="L56" s="143">
        <v>1.3494300147675295E-2</v>
      </c>
      <c r="M56" s="143">
        <f t="shared" si="13"/>
        <v>1.3494300147675295E-2</v>
      </c>
      <c r="N56" s="143">
        <f t="shared" si="14"/>
        <v>1.2013927178369124E-3</v>
      </c>
      <c r="O56" s="143">
        <f>K56*J59</f>
        <v>0.60907849411338233</v>
      </c>
      <c r="P56" s="819">
        <f>M56*'Table ES-1 Refresh ''13'!$D$9/Industrial!$M$3</f>
        <v>1.2712553533749237E-2</v>
      </c>
      <c r="Q56" s="819">
        <f>N56*'Table ES-1 Refresh ''13'!$G$9/Industrial!$N$3</f>
        <v>1.0838839121720856E-3</v>
      </c>
      <c r="R56" s="819">
        <f>O56*'Table ES-1 Refresh ''13'!$J$9/Industrial!$O$3</f>
        <v>0.52525677620728406</v>
      </c>
    </row>
    <row r="57" spans="1:18">
      <c r="A57" s="35">
        <v>315</v>
      </c>
      <c r="B57" s="41" t="s">
        <v>203</v>
      </c>
      <c r="C57" s="918">
        <v>8.0226012717913645E-2</v>
      </c>
      <c r="D57" s="918">
        <v>7.1424932308918852E-3</v>
      </c>
      <c r="E57" s="246">
        <v>3</v>
      </c>
      <c r="F57" s="246">
        <v>1</v>
      </c>
      <c r="G57" s="244"/>
      <c r="H57" s="245">
        <f t="shared" si="11"/>
        <v>8.0226012717913645E-2</v>
      </c>
      <c r="I57" s="245">
        <f t="shared" si="12"/>
        <v>7.1424932308918852E-3</v>
      </c>
      <c r="J57" s="140">
        <v>8.4995669447613439E-3</v>
      </c>
      <c r="K57" s="143">
        <v>1</v>
      </c>
      <c r="L57" s="143">
        <v>8.0226012717913645E-2</v>
      </c>
      <c r="M57" s="143">
        <f t="shared" si="13"/>
        <v>8.0226012717913645E-2</v>
      </c>
      <c r="N57" s="143">
        <f t="shared" si="14"/>
        <v>7.1424932308918852E-3</v>
      </c>
      <c r="O57" s="143">
        <f>K57*J60</f>
        <v>0.15821689261070856</v>
      </c>
      <c r="P57" s="819">
        <f>M57*'Table ES-1 Refresh ''13'!$D$9/Industrial!$M$3</f>
        <v>7.557839015841232E-2</v>
      </c>
      <c r="Q57" s="819">
        <f>N57*'Table ES-1 Refresh ''13'!$G$9/Industrial!$N$3</f>
        <v>6.4438824963917027E-3</v>
      </c>
      <c r="R57" s="819">
        <f>O57*'Table ES-1 Refresh ''13'!$J$9/Industrial!$O$3</f>
        <v>0.13644299668667109</v>
      </c>
    </row>
    <row r="58" spans="1:18">
      <c r="A58" s="402">
        <v>400</v>
      </c>
      <c r="B58" s="403" t="s">
        <v>233</v>
      </c>
      <c r="C58" s="918"/>
      <c r="D58" s="918"/>
      <c r="E58" s="246"/>
      <c r="F58" s="246"/>
      <c r="G58" s="244"/>
      <c r="H58" s="245"/>
      <c r="I58" s="245"/>
      <c r="J58" s="140"/>
      <c r="K58" s="143"/>
      <c r="L58" s="143"/>
      <c r="M58" s="143"/>
      <c r="N58" s="143"/>
      <c r="O58" s="143"/>
      <c r="P58" s="819">
        <f>M58*'Table ES-1 Refresh ''13'!$D$9/Industrial!$M$3</f>
        <v>0</v>
      </c>
      <c r="Q58" s="819">
        <f>N58*'Table ES-1 Refresh ''13'!$G$9/Industrial!$N$3</f>
        <v>0</v>
      </c>
      <c r="R58" s="819">
        <f>O58*'Table ES-1 Refresh ''13'!$J$9/Industrial!$O$3</f>
        <v>0</v>
      </c>
    </row>
    <row r="59" spans="1:18">
      <c r="A59" s="35">
        <v>401</v>
      </c>
      <c r="B59" s="41" t="s">
        <v>234</v>
      </c>
      <c r="C59" s="918">
        <v>4.9709460752370829</v>
      </c>
      <c r="D59" s="918">
        <v>0.67675388234820255</v>
      </c>
      <c r="E59" s="246">
        <v>4</v>
      </c>
      <c r="F59" s="246">
        <v>1</v>
      </c>
      <c r="G59" s="244"/>
      <c r="H59" s="245">
        <f t="shared" ref="H59:H88" si="16">IF(AND(F59=2,E59&gt;10),C59*10/E59,C59)</f>
        <v>4.9709460752370829</v>
      </c>
      <c r="I59" s="245">
        <f t="shared" ref="I59:I88" si="17">IF(AND(F59=2,E59&gt;10),D59*10/E59,D59)</f>
        <v>0.67675388234820255</v>
      </c>
      <c r="J59" s="140">
        <v>0.60907849411338233</v>
      </c>
      <c r="K59" s="143">
        <v>1</v>
      </c>
      <c r="L59" s="143">
        <v>4.9709460752370829</v>
      </c>
      <c r="M59" s="143">
        <f t="shared" ref="M59:M88" si="18">L59*K59</f>
        <v>4.9709460752370829</v>
      </c>
      <c r="N59" s="143">
        <f t="shared" ref="N59:N88" si="19">K59*I59</f>
        <v>0.67675388234820255</v>
      </c>
      <c r="O59" s="143">
        <f t="shared" ref="O59:O85" si="20">K59*J62</f>
        <v>0.17494015927880038</v>
      </c>
      <c r="P59" s="819">
        <f>M59*'Table ES-1 Refresh ''13'!$D$9/Industrial!$M$3</f>
        <v>4.6829711362036521</v>
      </c>
      <c r="Q59" s="819">
        <f>N59*'Table ES-1 Refresh ''13'!$G$9/Industrial!$N$3</f>
        <v>0.61056025618160259</v>
      </c>
      <c r="R59" s="819">
        <f>O59*'Table ES-1 Refresh ''13'!$J$9/Industrial!$O$3</f>
        <v>0.15086479818291873</v>
      </c>
    </row>
    <row r="60" spans="1:18">
      <c r="A60" s="35">
        <v>402</v>
      </c>
      <c r="B60" s="41" t="s">
        <v>235</v>
      </c>
      <c r="C60" s="918">
        <v>0.35644034652388895</v>
      </c>
      <c r="D60" s="918">
        <v>9.0929248626843998E-2</v>
      </c>
      <c r="E60" s="246">
        <v>4</v>
      </c>
      <c r="F60" s="246">
        <v>1</v>
      </c>
      <c r="G60" s="244"/>
      <c r="H60" s="245">
        <f t="shared" si="16"/>
        <v>0.35644034652388895</v>
      </c>
      <c r="I60" s="245">
        <f t="shared" si="17"/>
        <v>9.0929248626843998E-2</v>
      </c>
      <c r="J60" s="140">
        <v>0.15821689261070856</v>
      </c>
      <c r="K60" s="143">
        <v>1</v>
      </c>
      <c r="L60" s="143">
        <v>0.35644034652388895</v>
      </c>
      <c r="M60" s="143">
        <f t="shared" si="18"/>
        <v>0.35644034652388895</v>
      </c>
      <c r="N60" s="143">
        <f t="shared" si="19"/>
        <v>9.0929248626843998E-2</v>
      </c>
      <c r="O60" s="143">
        <f t="shared" si="20"/>
        <v>0.31228053711098763</v>
      </c>
      <c r="P60" s="819">
        <f>M60*'Table ES-1 Refresh ''13'!$D$9/Industrial!$M$3</f>
        <v>0.33579118125319618</v>
      </c>
      <c r="Q60" s="819">
        <f>N60*'Table ES-1 Refresh ''13'!$G$9/Industrial!$N$3</f>
        <v>8.2035414622773556E-2</v>
      </c>
      <c r="R60" s="819">
        <f>O60*'Table ES-1 Refresh ''13'!$J$9/Industrial!$O$3</f>
        <v>0.2693043175559276</v>
      </c>
    </row>
    <row r="61" spans="1:18">
      <c r="A61" s="35">
        <v>403</v>
      </c>
      <c r="B61" s="41" t="s">
        <v>236</v>
      </c>
      <c r="C61" s="918">
        <v>2.1933093344807428</v>
      </c>
      <c r="D61" s="918">
        <v>9.1911704078757608E-2</v>
      </c>
      <c r="E61" s="246">
        <v>4</v>
      </c>
      <c r="F61" s="246">
        <v>2</v>
      </c>
      <c r="G61" s="244"/>
      <c r="H61" s="245">
        <f t="shared" si="16"/>
        <v>2.1933093344807428</v>
      </c>
      <c r="I61" s="245">
        <f t="shared" si="17"/>
        <v>9.1911704078757608E-2</v>
      </c>
      <c r="J61" s="140">
        <v>0.1654410673417637</v>
      </c>
      <c r="K61" s="143">
        <v>1</v>
      </c>
      <c r="L61" s="143">
        <v>2.1933093344807428</v>
      </c>
      <c r="M61" s="143">
        <f t="shared" si="18"/>
        <v>2.1933093344807428</v>
      </c>
      <c r="N61" s="143">
        <f t="shared" si="19"/>
        <v>9.1911704078757608E-2</v>
      </c>
      <c r="O61" s="143">
        <f t="shared" si="20"/>
        <v>4.6298820939783776E-2</v>
      </c>
      <c r="P61" s="819">
        <f>M61*'Table ES-1 Refresh ''13'!$D$9/Industrial!$M$3</f>
        <v>2.066247380414298</v>
      </c>
      <c r="Q61" s="819">
        <f>N61*'Table ES-1 Refresh ''13'!$G$9/Industrial!$N$3</f>
        <v>8.2921775629416078E-2</v>
      </c>
      <c r="R61" s="819">
        <f>O61*'Table ES-1 Refresh ''13'!$J$9/Industrial!$O$3</f>
        <v>3.992715169565992E-2</v>
      </c>
    </row>
    <row r="62" spans="1:18">
      <c r="A62" s="35">
        <v>404</v>
      </c>
      <c r="B62" s="41" t="s">
        <v>237</v>
      </c>
      <c r="C62" s="918">
        <v>1.0111040778805986</v>
      </c>
      <c r="D62" s="918">
        <v>0.17494015927880038</v>
      </c>
      <c r="E62" s="246">
        <v>4</v>
      </c>
      <c r="F62" s="246">
        <v>2</v>
      </c>
      <c r="G62" s="244"/>
      <c r="H62" s="245">
        <f t="shared" si="16"/>
        <v>1.0111040778805986</v>
      </c>
      <c r="I62" s="245">
        <f t="shared" si="17"/>
        <v>0.17494015927880038</v>
      </c>
      <c r="J62" s="140">
        <v>0.17494015927880038</v>
      </c>
      <c r="K62" s="143">
        <v>1</v>
      </c>
      <c r="L62" s="143">
        <v>1.0111040778805986</v>
      </c>
      <c r="M62" s="143">
        <f t="shared" si="18"/>
        <v>1.0111040778805986</v>
      </c>
      <c r="N62" s="143">
        <f t="shared" si="19"/>
        <v>0.17494015927880038</v>
      </c>
      <c r="O62" s="143">
        <f t="shared" si="20"/>
        <v>4.4256177310927874E-2</v>
      </c>
      <c r="P62" s="819">
        <f>M62*'Table ES-1 Refresh ''13'!$D$9/Industrial!$M$3</f>
        <v>0.95252918473609149</v>
      </c>
      <c r="Q62" s="819">
        <f>N62*'Table ES-1 Refresh ''13'!$G$9/Industrial!$N$3</f>
        <v>0.15782917727061993</v>
      </c>
      <c r="R62" s="819">
        <f>O62*'Table ES-1 Refresh ''13'!$J$9/Industrial!$O$3</f>
        <v>3.8165617808315878E-2</v>
      </c>
    </row>
    <row r="63" spans="1:18">
      <c r="A63" s="35">
        <v>405</v>
      </c>
      <c r="B63" s="41" t="s">
        <v>238</v>
      </c>
      <c r="C63" s="918">
        <v>2.3755634893700508</v>
      </c>
      <c r="D63" s="918">
        <v>0.31228053711098763</v>
      </c>
      <c r="E63" s="246">
        <v>4</v>
      </c>
      <c r="F63" s="246">
        <v>2</v>
      </c>
      <c r="G63" s="244"/>
      <c r="H63" s="245">
        <f t="shared" si="16"/>
        <v>2.3755634893700508</v>
      </c>
      <c r="I63" s="245">
        <f t="shared" si="17"/>
        <v>0.31228053711098763</v>
      </c>
      <c r="J63" s="140">
        <v>0.31228053711098763</v>
      </c>
      <c r="K63" s="143">
        <v>1</v>
      </c>
      <c r="L63" s="143">
        <v>2.3755634893700508</v>
      </c>
      <c r="M63" s="143">
        <f t="shared" si="18"/>
        <v>2.3755634893700508</v>
      </c>
      <c r="N63" s="143">
        <f t="shared" si="19"/>
        <v>0.31228053711098763</v>
      </c>
      <c r="O63" s="143">
        <f t="shared" si="20"/>
        <v>0.14628708146821806</v>
      </c>
      <c r="P63" s="819">
        <f>M63*'Table ES-1 Refresh ''13'!$D$9/Industrial!$M$3</f>
        <v>2.2379432575937974</v>
      </c>
      <c r="Q63" s="819">
        <f>N63*'Table ES-1 Refresh ''13'!$G$9/Industrial!$N$3</f>
        <v>0.28173622599317694</v>
      </c>
      <c r="R63" s="819">
        <f>O63*'Table ES-1 Refresh ''13'!$J$9/Industrial!$O$3</f>
        <v>0.12615497272583853</v>
      </c>
    </row>
    <row r="64" spans="1:18">
      <c r="A64" s="35">
        <v>406</v>
      </c>
      <c r="B64" s="41" t="s">
        <v>239</v>
      </c>
      <c r="C64" s="918">
        <v>0.46341392592832203</v>
      </c>
      <c r="D64" s="918">
        <v>5.3835838302074161E-2</v>
      </c>
      <c r="E64" s="246">
        <v>4</v>
      </c>
      <c r="F64" s="246">
        <v>2</v>
      </c>
      <c r="G64" s="244"/>
      <c r="H64" s="245">
        <f t="shared" si="16"/>
        <v>0.46341392592832203</v>
      </c>
      <c r="I64" s="245">
        <f t="shared" si="17"/>
        <v>5.3835838302074161E-2</v>
      </c>
      <c r="J64" s="140">
        <v>4.6298820939783776E-2</v>
      </c>
      <c r="K64" s="143">
        <v>1</v>
      </c>
      <c r="L64" s="143">
        <v>0.46341392592832203</v>
      </c>
      <c r="M64" s="143">
        <f t="shared" si="18"/>
        <v>0.46341392592832203</v>
      </c>
      <c r="N64" s="143">
        <f t="shared" si="19"/>
        <v>5.3835838302074161E-2</v>
      </c>
      <c r="O64" s="143">
        <f t="shared" si="20"/>
        <v>0.23512706012058457</v>
      </c>
      <c r="P64" s="819">
        <f>M64*'Table ES-1 Refresh ''13'!$D$9/Industrial!$M$3</f>
        <v>0.4365676083367383</v>
      </c>
      <c r="Q64" s="819">
        <f>N64*'Table ES-1 Refresh ''13'!$G$9/Industrial!$N$3</f>
        <v>4.8570128791006313E-2</v>
      </c>
      <c r="R64" s="819">
        <f>O64*'Table ES-1 Refresh ''13'!$J$9/Industrial!$O$3</f>
        <v>0.20276874457341143</v>
      </c>
    </row>
    <row r="65" spans="1:18">
      <c r="A65" s="35">
        <v>407</v>
      </c>
      <c r="B65" s="41" t="s">
        <v>240</v>
      </c>
      <c r="C65" s="918">
        <v>0.44818010414114495</v>
      </c>
      <c r="D65" s="918">
        <v>5.2066090954032793E-2</v>
      </c>
      <c r="E65" s="246">
        <v>4</v>
      </c>
      <c r="F65" s="246">
        <v>2</v>
      </c>
      <c r="G65" s="244"/>
      <c r="H65" s="245">
        <f t="shared" si="16"/>
        <v>0.44818010414114495</v>
      </c>
      <c r="I65" s="245">
        <f t="shared" si="17"/>
        <v>5.2066090954032793E-2</v>
      </c>
      <c r="J65" s="140">
        <v>4.4256177310927874E-2</v>
      </c>
      <c r="K65" s="143">
        <v>1</v>
      </c>
      <c r="L65" s="143">
        <v>0.44818010414114495</v>
      </c>
      <c r="M65" s="143">
        <f t="shared" si="18"/>
        <v>0.44818010414114495</v>
      </c>
      <c r="N65" s="143">
        <f t="shared" si="19"/>
        <v>5.2066090954032793E-2</v>
      </c>
      <c r="O65" s="143">
        <f t="shared" si="20"/>
        <v>0.21758456887061792</v>
      </c>
      <c r="P65" s="819">
        <f>M65*'Table ES-1 Refresh ''13'!$D$9/Industrial!$M$3</f>
        <v>0.42221630646307673</v>
      </c>
      <c r="Q65" s="819">
        <f>N65*'Table ES-1 Refresh ''13'!$G$9/Industrial!$N$3</f>
        <v>4.6973481291257072E-2</v>
      </c>
      <c r="R65" s="819">
        <f>O65*'Table ES-1 Refresh ''13'!$J$9/Industrial!$O$3</f>
        <v>0.18764046063356396</v>
      </c>
    </row>
    <row r="66" spans="1:18">
      <c r="A66" s="35">
        <v>408</v>
      </c>
      <c r="B66" s="41" t="s">
        <v>241</v>
      </c>
      <c r="C66" s="918">
        <v>1.3613250723411352</v>
      </c>
      <c r="D66" s="918">
        <v>0.15814819618185735</v>
      </c>
      <c r="E66" s="246">
        <v>4</v>
      </c>
      <c r="F66" s="246">
        <v>1</v>
      </c>
      <c r="G66" s="244"/>
      <c r="H66" s="245">
        <f t="shared" si="16"/>
        <v>1.3613250723411352</v>
      </c>
      <c r="I66" s="245">
        <f t="shared" si="17"/>
        <v>0.15814819618185735</v>
      </c>
      <c r="J66" s="140">
        <v>0.14628708146821806</v>
      </c>
      <c r="K66" s="143">
        <v>1</v>
      </c>
      <c r="L66" s="143">
        <v>1.3613250723411352</v>
      </c>
      <c r="M66" s="143">
        <f t="shared" si="18"/>
        <v>1.3613250723411352</v>
      </c>
      <c r="N66" s="143">
        <f t="shared" si="19"/>
        <v>0.15814819618185735</v>
      </c>
      <c r="O66" s="143">
        <f t="shared" si="20"/>
        <v>9.7902055361971926E-2</v>
      </c>
      <c r="P66" s="819">
        <f>M66*'Table ES-1 Refresh ''13'!$D$9/Industrial!$M$3</f>
        <v>1.2824613110412457</v>
      </c>
      <c r="Q66" s="819">
        <f>N66*'Table ES-1 Refresh ''13'!$G$9/Industrial!$N$3</f>
        <v>0.1426796442458704</v>
      </c>
      <c r="R66" s="819">
        <f>O66*'Table ES-1 Refresh ''13'!$J$9/Industrial!$O$3</f>
        <v>8.4428720568031898E-2</v>
      </c>
    </row>
    <row r="67" spans="1:18">
      <c r="A67" s="35">
        <v>409</v>
      </c>
      <c r="B67" s="41" t="s">
        <v>242</v>
      </c>
      <c r="C67" s="918">
        <v>2.1948740445738979</v>
      </c>
      <c r="D67" s="918">
        <v>0.29838459406165552</v>
      </c>
      <c r="E67" s="246">
        <v>4</v>
      </c>
      <c r="F67" s="246">
        <v>1</v>
      </c>
      <c r="G67" s="244"/>
      <c r="H67" s="245">
        <f t="shared" si="16"/>
        <v>2.1948740445738979</v>
      </c>
      <c r="I67" s="245">
        <f t="shared" si="17"/>
        <v>0.29838459406165552</v>
      </c>
      <c r="J67" s="140">
        <v>0.23512706012058457</v>
      </c>
      <c r="K67" s="143">
        <v>1</v>
      </c>
      <c r="L67" s="143">
        <v>2.1948740445738979</v>
      </c>
      <c r="M67" s="143">
        <f t="shared" si="18"/>
        <v>2.1948740445738979</v>
      </c>
      <c r="N67" s="143">
        <f t="shared" si="19"/>
        <v>0.29838459406165552</v>
      </c>
      <c r="O67" s="143">
        <f t="shared" si="20"/>
        <v>5.6943893171242009E-2</v>
      </c>
      <c r="P67" s="819">
        <f>M67*'Table ES-1 Refresh ''13'!$D$9/Industrial!$M$3</f>
        <v>2.0677214443232335</v>
      </c>
      <c r="Q67" s="819">
        <f>N67*'Table ES-1 Refresh ''13'!$G$9/Industrial!$N$3</f>
        <v>0.26919945188757993</v>
      </c>
      <c r="R67" s="819">
        <f>O67*'Table ES-1 Refresh ''13'!$J$9/Industrial!$O$3</f>
        <v>4.9107243222169424E-2</v>
      </c>
    </row>
    <row r="68" spans="1:18">
      <c r="A68" s="35">
        <v>410</v>
      </c>
      <c r="B68" s="41" t="s">
        <v>243</v>
      </c>
      <c r="C68" s="918">
        <v>1.8610705944779813</v>
      </c>
      <c r="D68" s="918">
        <v>0.25300531264025339</v>
      </c>
      <c r="E68" s="246">
        <v>4</v>
      </c>
      <c r="F68" s="246">
        <v>2</v>
      </c>
      <c r="G68" s="244"/>
      <c r="H68" s="245">
        <f t="shared" si="16"/>
        <v>1.8610705944779813</v>
      </c>
      <c r="I68" s="245">
        <f t="shared" si="17"/>
        <v>0.25300531264025339</v>
      </c>
      <c r="J68" s="140">
        <v>0.21758456887061792</v>
      </c>
      <c r="K68" s="143">
        <v>1</v>
      </c>
      <c r="L68" s="143">
        <v>1.8610705944779813</v>
      </c>
      <c r="M68" s="143">
        <f t="shared" si="18"/>
        <v>1.8610705944779813</v>
      </c>
      <c r="N68" s="143">
        <f t="shared" si="19"/>
        <v>0.25300531264025339</v>
      </c>
      <c r="O68" s="143">
        <f t="shared" si="20"/>
        <v>0.17960458320752157</v>
      </c>
      <c r="P68" s="819">
        <f>M68*'Table ES-1 Refresh ''13'!$D$9/Industrial!$M$3</f>
        <v>1.7532557675074139</v>
      </c>
      <c r="Q68" s="819">
        <f>N68*'Table ES-1 Refresh ''13'!$G$9/Industrial!$N$3</f>
        <v>0.22825874003846394</v>
      </c>
      <c r="R68" s="819">
        <f>O68*'Table ES-1 Refresh ''13'!$J$9/Industrial!$O$3</f>
        <v>0.15488730152090083</v>
      </c>
    </row>
    <row r="69" spans="1:18">
      <c r="A69" s="35">
        <v>411</v>
      </c>
      <c r="B69" s="41" t="s">
        <v>244</v>
      </c>
      <c r="C69" s="918">
        <v>0.80916112473763924</v>
      </c>
      <c r="D69" s="918">
        <v>0.11000230939547408</v>
      </c>
      <c r="E69" s="246">
        <v>4</v>
      </c>
      <c r="F69" s="246">
        <v>2</v>
      </c>
      <c r="G69" s="244"/>
      <c r="H69" s="245">
        <f t="shared" si="16"/>
        <v>0.80916112473763924</v>
      </c>
      <c r="I69" s="245">
        <f t="shared" si="17"/>
        <v>0.11000230939547408</v>
      </c>
      <c r="J69" s="140">
        <v>9.7902055361971926E-2</v>
      </c>
      <c r="K69" s="143">
        <v>1</v>
      </c>
      <c r="L69" s="143">
        <v>0.80916112473763924</v>
      </c>
      <c r="M69" s="143">
        <f t="shared" si="18"/>
        <v>0.80916112473763924</v>
      </c>
      <c r="N69" s="143">
        <f t="shared" si="19"/>
        <v>0.11000230939547408</v>
      </c>
      <c r="O69" s="143">
        <f t="shared" si="20"/>
        <v>0</v>
      </c>
      <c r="P69" s="819">
        <f>M69*'Table ES-1 Refresh ''13'!$D$9/Industrial!$M$3</f>
        <v>0.76228511320226355</v>
      </c>
      <c r="Q69" s="819">
        <f>N69*'Table ES-1 Refresh ''13'!$G$9/Industrial!$N$3</f>
        <v>9.9242930047221983E-2</v>
      </c>
      <c r="R69" s="819">
        <f>O69*'Table ES-1 Refresh ''13'!$J$9/Industrial!$O$3</f>
        <v>0</v>
      </c>
    </row>
    <row r="70" spans="1:18">
      <c r="A70" s="35">
        <v>412</v>
      </c>
      <c r="B70" s="41" t="s">
        <v>245</v>
      </c>
      <c r="C70" s="918">
        <v>0.42524981362655484</v>
      </c>
      <c r="D70" s="918">
        <v>5.7811059057098484E-2</v>
      </c>
      <c r="E70" s="246">
        <v>4</v>
      </c>
      <c r="F70" s="246">
        <v>2</v>
      </c>
      <c r="G70" s="244"/>
      <c r="H70" s="245">
        <f t="shared" si="16"/>
        <v>0.42524981362655484</v>
      </c>
      <c r="I70" s="245">
        <f t="shared" si="17"/>
        <v>5.7811059057098484E-2</v>
      </c>
      <c r="J70" s="140">
        <v>5.6943893171242009E-2</v>
      </c>
      <c r="K70" s="143">
        <v>1</v>
      </c>
      <c r="L70" s="143">
        <v>0.42524981362655484</v>
      </c>
      <c r="M70" s="143">
        <f t="shared" si="18"/>
        <v>0.42524981362655484</v>
      </c>
      <c r="N70" s="143">
        <f t="shared" si="19"/>
        <v>5.7811059057098484E-2</v>
      </c>
      <c r="O70" s="143">
        <f t="shared" si="20"/>
        <v>0</v>
      </c>
      <c r="P70" s="819">
        <f>M70*'Table ES-1 Refresh ''13'!$D$9/Industrial!$M$3</f>
        <v>0.40061440473263626</v>
      </c>
      <c r="Q70" s="819">
        <f>N70*'Table ES-1 Refresh ''13'!$G$9/Industrial!$N$3</f>
        <v>5.2156531271838009E-2</v>
      </c>
      <c r="R70" s="819">
        <f>O70*'Table ES-1 Refresh ''13'!$J$9/Industrial!$O$3</f>
        <v>0</v>
      </c>
    </row>
    <row r="71" spans="1:18">
      <c r="A71" s="35">
        <v>413</v>
      </c>
      <c r="B71" s="41" t="s">
        <v>246</v>
      </c>
      <c r="C71" s="918">
        <v>1.6798839966694423</v>
      </c>
      <c r="D71" s="918">
        <v>0.19522237305165388</v>
      </c>
      <c r="E71" s="246">
        <v>4</v>
      </c>
      <c r="F71" s="246">
        <v>2</v>
      </c>
      <c r="G71" s="244"/>
      <c r="H71" s="245">
        <f t="shared" si="16"/>
        <v>1.6798839966694423</v>
      </c>
      <c r="I71" s="245">
        <f t="shared" si="17"/>
        <v>0.19522237305165388</v>
      </c>
      <c r="J71" s="140">
        <v>0.17960458320752157</v>
      </c>
      <c r="K71" s="143">
        <v>1</v>
      </c>
      <c r="L71" s="143">
        <v>1.6798839966694423</v>
      </c>
      <c r="M71" s="143">
        <f t="shared" si="18"/>
        <v>1.6798839966694423</v>
      </c>
      <c r="N71" s="143">
        <f t="shared" si="19"/>
        <v>0.19522237305165388</v>
      </c>
      <c r="O71" s="143">
        <f t="shared" si="20"/>
        <v>0</v>
      </c>
      <c r="P71" s="819">
        <f>M71*'Table ES-1 Refresh ''13'!$D$9/Industrial!$M$3</f>
        <v>1.5825656021018555</v>
      </c>
      <c r="Q71" s="819">
        <f>N71*'Table ES-1 Refresh ''13'!$G$9/Industrial!$N$3</f>
        <v>0.17612757785624364</v>
      </c>
      <c r="R71" s="819">
        <f>O71*'Table ES-1 Refresh ''13'!$J$9/Industrial!$O$3</f>
        <v>0</v>
      </c>
    </row>
    <row r="72" spans="1:18">
      <c r="A72" s="35">
        <v>414</v>
      </c>
      <c r="B72" s="41" t="s">
        <v>247</v>
      </c>
      <c r="C72" s="918">
        <v>1.0204240922553147</v>
      </c>
      <c r="D72" s="918">
        <v>9.2476305874681045E-2</v>
      </c>
      <c r="E72" s="246">
        <v>4</v>
      </c>
      <c r="F72" s="246">
        <v>2</v>
      </c>
      <c r="G72" s="244"/>
      <c r="H72" s="245">
        <f t="shared" si="16"/>
        <v>1.0204240922553147</v>
      </c>
      <c r="I72" s="245">
        <f t="shared" si="17"/>
        <v>9.2476305874681045E-2</v>
      </c>
      <c r="J72" s="140">
        <v>0</v>
      </c>
      <c r="K72" s="143">
        <v>1</v>
      </c>
      <c r="L72" s="143">
        <v>1.0204240922553147</v>
      </c>
      <c r="M72" s="143">
        <f t="shared" si="18"/>
        <v>1.0204240922553147</v>
      </c>
      <c r="N72" s="143">
        <f t="shared" si="19"/>
        <v>9.2476305874681045E-2</v>
      </c>
      <c r="O72" s="143">
        <f t="shared" si="20"/>
        <v>0.53874849025082006</v>
      </c>
      <c r="P72" s="819">
        <f>M72*'Table ES-1 Refresh ''13'!$D$9/Industrial!$M$3</f>
        <v>0.96130927561722568</v>
      </c>
      <c r="Q72" s="819">
        <f>N72*'Table ES-1 Refresh ''13'!$G$9/Industrial!$N$3</f>
        <v>8.3431153449257278E-2</v>
      </c>
      <c r="R72" s="819">
        <f>O72*'Table ES-1 Refresh ''13'!$J$9/Industrial!$O$3</f>
        <v>0.4646056262216493</v>
      </c>
    </row>
    <row r="73" spans="1:18">
      <c r="A73" s="35">
        <v>415</v>
      </c>
      <c r="B73" s="41" t="s">
        <v>248</v>
      </c>
      <c r="C73" s="918">
        <v>2.3614497332858946</v>
      </c>
      <c r="D73" s="918">
        <v>0.23628206933991097</v>
      </c>
      <c r="E73" s="246">
        <v>4</v>
      </c>
      <c r="F73" s="246">
        <v>2</v>
      </c>
      <c r="G73" s="244"/>
      <c r="H73" s="245">
        <f t="shared" si="16"/>
        <v>2.3614497332858946</v>
      </c>
      <c r="I73" s="245">
        <f t="shared" si="17"/>
        <v>0.23628206933991097</v>
      </c>
      <c r="J73" s="140">
        <v>0</v>
      </c>
      <c r="K73" s="143">
        <v>1</v>
      </c>
      <c r="L73" s="143">
        <v>2.3614497332858946</v>
      </c>
      <c r="M73" s="143">
        <f t="shared" si="18"/>
        <v>2.3614497332858946</v>
      </c>
      <c r="N73" s="143">
        <f t="shared" si="19"/>
        <v>0.23628206933991097</v>
      </c>
      <c r="O73" s="143">
        <f t="shared" si="20"/>
        <v>0.87355775821606418</v>
      </c>
      <c r="P73" s="819">
        <f>M73*'Table ES-1 Refresh ''13'!$D$9/Industrial!$M$3</f>
        <v>2.2246471342069891</v>
      </c>
      <c r="Q73" s="819">
        <f>N73*'Table ES-1 Refresh ''13'!$G$9/Industrial!$N$3</f>
        <v>0.21317120529360845</v>
      </c>
      <c r="R73" s="819">
        <f>O73*'Table ES-1 Refresh ''13'!$J$9/Industrial!$O$3</f>
        <v>0.75333825828041256</v>
      </c>
    </row>
    <row r="74" spans="1:18">
      <c r="A74" s="35">
        <v>416</v>
      </c>
      <c r="B74" s="41" t="s">
        <v>249</v>
      </c>
      <c r="C74" s="918">
        <v>0.21063358303470836</v>
      </c>
      <c r="D74" s="918">
        <v>2.0801631874420939E-2</v>
      </c>
      <c r="E74" s="246">
        <v>4</v>
      </c>
      <c r="F74" s="246">
        <v>2</v>
      </c>
      <c r="G74" s="244"/>
      <c r="H74" s="245">
        <f t="shared" si="16"/>
        <v>0.21063358303470836</v>
      </c>
      <c r="I74" s="245">
        <f t="shared" si="17"/>
        <v>2.0801631874420939E-2</v>
      </c>
      <c r="J74" s="140">
        <v>0</v>
      </c>
      <c r="K74" s="143">
        <v>1</v>
      </c>
      <c r="L74" s="143">
        <v>0.21063358303470836</v>
      </c>
      <c r="M74" s="143">
        <f t="shared" si="18"/>
        <v>0.21063358303470836</v>
      </c>
      <c r="N74" s="143">
        <f t="shared" si="19"/>
        <v>2.0801631874420939E-2</v>
      </c>
      <c r="O74" s="143">
        <f t="shared" si="20"/>
        <v>0.44881672355202734</v>
      </c>
      <c r="P74" s="819">
        <f>M74*'Table ES-1 Refresh ''13'!$D$9/Industrial!$M$3</f>
        <v>0.19843123919215916</v>
      </c>
      <c r="Q74" s="819">
        <f>N74*'Table ES-1 Refresh ''13'!$G$9/Industrial!$N$3</f>
        <v>1.8767014150215273E-2</v>
      </c>
      <c r="R74" s="819">
        <f>O74*'Table ES-1 Refresh ''13'!$J$9/Industrial!$O$3</f>
        <v>0.38705031880007407</v>
      </c>
    </row>
    <row r="75" spans="1:18">
      <c r="A75" s="35">
        <v>417</v>
      </c>
      <c r="B75" s="41" t="s">
        <v>250</v>
      </c>
      <c r="C75" s="918">
        <v>4.9506229652567173</v>
      </c>
      <c r="D75" s="918">
        <v>0.6907031926292565</v>
      </c>
      <c r="E75" s="246">
        <v>4</v>
      </c>
      <c r="F75" s="246">
        <v>1</v>
      </c>
      <c r="G75" s="244"/>
      <c r="H75" s="245">
        <f t="shared" si="16"/>
        <v>4.9506229652567173</v>
      </c>
      <c r="I75" s="245">
        <f t="shared" si="17"/>
        <v>0.6907031926292565</v>
      </c>
      <c r="J75" s="140">
        <v>0.53874849025082006</v>
      </c>
      <c r="K75" s="143">
        <v>1</v>
      </c>
      <c r="L75" s="143">
        <v>4.9506229652567173</v>
      </c>
      <c r="M75" s="143">
        <f t="shared" si="18"/>
        <v>4.9506229652567173</v>
      </c>
      <c r="N75" s="143">
        <f t="shared" si="19"/>
        <v>0.6907031926292565</v>
      </c>
      <c r="O75" s="143">
        <f t="shared" si="20"/>
        <v>0.31753954780684907</v>
      </c>
      <c r="P75" s="819">
        <f>M75*'Table ES-1 Refresh ''13'!$D$9/Industrial!$M$3</f>
        <v>4.6638253768259652</v>
      </c>
      <c r="Q75" s="819">
        <f>N75*'Table ES-1 Refresh ''13'!$G$9/Industrial!$N$3</f>
        <v>0.62314517764404775</v>
      </c>
      <c r="R75" s="819">
        <f>O75*'Table ES-1 Refresh ''13'!$J$9/Industrial!$O$3</f>
        <v>0.27383958030259348</v>
      </c>
    </row>
    <row r="76" spans="1:18">
      <c r="A76" s="35">
        <v>418</v>
      </c>
      <c r="B76" s="41" t="s">
        <v>251</v>
      </c>
      <c r="C76" s="918">
        <v>7.0350956601593522</v>
      </c>
      <c r="D76" s="918">
        <v>0.98152557102928562</v>
      </c>
      <c r="E76" s="246">
        <v>4</v>
      </c>
      <c r="F76" s="246">
        <v>2</v>
      </c>
      <c r="G76" s="244"/>
      <c r="H76" s="245">
        <f t="shared" si="16"/>
        <v>7.0350956601593522</v>
      </c>
      <c r="I76" s="245">
        <f t="shared" si="17"/>
        <v>0.98152557102928562</v>
      </c>
      <c r="J76" s="140">
        <v>0.87355775821606418</v>
      </c>
      <c r="K76" s="143">
        <v>1</v>
      </c>
      <c r="L76" s="143">
        <v>7.0350956601593522</v>
      </c>
      <c r="M76" s="143">
        <f t="shared" si="18"/>
        <v>7.0350956601593522</v>
      </c>
      <c r="N76" s="143">
        <f t="shared" si="19"/>
        <v>0.98152557102928562</v>
      </c>
      <c r="O76" s="143">
        <f t="shared" si="20"/>
        <v>0.27721032763480724</v>
      </c>
      <c r="P76" s="819">
        <f>M76*'Table ES-1 Refresh ''13'!$D$9/Industrial!$M$3</f>
        <v>6.6275412000695555</v>
      </c>
      <c r="Q76" s="819">
        <f>N76*'Table ES-1 Refresh ''13'!$G$9/Industrial!$N$3</f>
        <v>0.88552207785945636</v>
      </c>
      <c r="R76" s="819">
        <f>O76*'Table ES-1 Refresh ''13'!$J$9/Industrial!$O$3</f>
        <v>0.23906048962831808</v>
      </c>
    </row>
    <row r="77" spans="1:18">
      <c r="A77" s="35">
        <v>419</v>
      </c>
      <c r="B77" s="41" t="s">
        <v>252</v>
      </c>
      <c r="C77" s="918">
        <v>3.6144932082291059</v>
      </c>
      <c r="D77" s="918">
        <v>0.50428845342924422</v>
      </c>
      <c r="E77" s="246">
        <v>4</v>
      </c>
      <c r="F77" s="246">
        <v>2</v>
      </c>
      <c r="G77" s="244"/>
      <c r="H77" s="245">
        <f t="shared" si="16"/>
        <v>3.6144932082291059</v>
      </c>
      <c r="I77" s="245">
        <f t="shared" si="17"/>
        <v>0.50428845342924422</v>
      </c>
      <c r="J77" s="140">
        <v>0.44881672355202734</v>
      </c>
      <c r="K77" s="143">
        <v>1</v>
      </c>
      <c r="L77" s="143">
        <v>3.6144932082291059</v>
      </c>
      <c r="M77" s="143">
        <f t="shared" si="18"/>
        <v>3.6144932082291059</v>
      </c>
      <c r="N77" s="143">
        <f t="shared" si="19"/>
        <v>0.50428845342924422</v>
      </c>
      <c r="O77" s="143">
        <f t="shared" si="20"/>
        <v>0.40960562495727909</v>
      </c>
      <c r="P77" s="819">
        <f>M77*'Table ES-1 Refresh ''13'!$D$9/Industrial!$M$3</f>
        <v>3.4050997757672814</v>
      </c>
      <c r="Q77" s="819">
        <f>N77*'Table ES-1 Refresh ''13'!$G$9/Industrial!$N$3</f>
        <v>0.45496375469149358</v>
      </c>
      <c r="R77" s="819">
        <f>O77*'Table ES-1 Refresh ''13'!$J$9/Industrial!$O$3</f>
        <v>0.35323547319564297</v>
      </c>
    </row>
    <row r="78" spans="1:18">
      <c r="A78" s="35">
        <v>420</v>
      </c>
      <c r="B78" s="41" t="s">
        <v>253</v>
      </c>
      <c r="C78" s="918">
        <v>2.5572677635728724</v>
      </c>
      <c r="D78" s="918">
        <v>0.35678600877174049</v>
      </c>
      <c r="E78" s="246">
        <v>4</v>
      </c>
      <c r="F78" s="246">
        <v>2</v>
      </c>
      <c r="G78" s="244"/>
      <c r="H78" s="245">
        <f t="shared" si="16"/>
        <v>2.5572677635728724</v>
      </c>
      <c r="I78" s="245">
        <f t="shared" si="17"/>
        <v>0.35678600877174049</v>
      </c>
      <c r="J78" s="140">
        <v>0.31753954780684907</v>
      </c>
      <c r="K78" s="143">
        <v>1</v>
      </c>
      <c r="L78" s="143">
        <v>2.5572677635728724</v>
      </c>
      <c r="M78" s="143">
        <f t="shared" si="18"/>
        <v>2.5572677635728724</v>
      </c>
      <c r="N78" s="143">
        <f t="shared" si="19"/>
        <v>0.35678600877174049</v>
      </c>
      <c r="O78" s="143">
        <f t="shared" si="20"/>
        <v>8.4267133344806303E-2</v>
      </c>
      <c r="P78" s="819">
        <f>M78*'Table ES-1 Refresh ''13'!$D$9/Industrial!$M$3</f>
        <v>2.4091211095635687</v>
      </c>
      <c r="Q78" s="819">
        <f>N78*'Table ES-1 Refresh ''13'!$G$9/Industrial!$N$3</f>
        <v>0.32188859583904533</v>
      </c>
      <c r="R78" s="819">
        <f>O78*'Table ES-1 Refresh ''13'!$J$9/Industrial!$O$3</f>
        <v>7.2670244030456216E-2</v>
      </c>
    </row>
    <row r="79" spans="1:18">
      <c r="A79" s="35">
        <v>421</v>
      </c>
      <c r="B79" s="41" t="s">
        <v>254</v>
      </c>
      <c r="C79" s="918">
        <v>2.2324810861706355</v>
      </c>
      <c r="D79" s="918">
        <v>0.31147227824135643</v>
      </c>
      <c r="E79" s="246">
        <v>4</v>
      </c>
      <c r="F79" s="246">
        <v>2</v>
      </c>
      <c r="G79" s="244"/>
      <c r="H79" s="245">
        <f t="shared" si="16"/>
        <v>2.2324810861706355</v>
      </c>
      <c r="I79" s="245">
        <f t="shared" si="17"/>
        <v>0.31147227824135643</v>
      </c>
      <c r="J79" s="140">
        <v>0.27721032763480724</v>
      </c>
      <c r="K79" s="143">
        <v>1</v>
      </c>
      <c r="L79" s="143">
        <v>2.2324810861706355</v>
      </c>
      <c r="M79" s="143">
        <f t="shared" si="18"/>
        <v>2.2324810861706355</v>
      </c>
      <c r="N79" s="143">
        <f t="shared" si="19"/>
        <v>0.31147227824135643</v>
      </c>
      <c r="O79" s="143">
        <f t="shared" si="20"/>
        <v>5.5197908200528882E-2</v>
      </c>
      <c r="P79" s="819">
        <f>M79*'Table ES-1 Refresh ''13'!$D$9/Industrial!$M$3</f>
        <v>2.1031498492284575</v>
      </c>
      <c r="Q79" s="819">
        <f>N79*'Table ES-1 Refresh ''13'!$G$9/Industrial!$N$3</f>
        <v>0.28100702331643607</v>
      </c>
      <c r="R79" s="819">
        <f>O79*'Table ES-1 Refresh ''13'!$J$9/Industrial!$O$3</f>
        <v>4.7601541665002925E-2</v>
      </c>
    </row>
    <row r="80" spans="1:18">
      <c r="A80" s="35">
        <v>422</v>
      </c>
      <c r="B80" s="41" t="s">
        <v>255</v>
      </c>
      <c r="C80" s="918">
        <v>3.6310599701600417</v>
      </c>
      <c r="D80" s="918">
        <v>0.417964923425795</v>
      </c>
      <c r="E80" s="246">
        <v>4</v>
      </c>
      <c r="F80" s="246">
        <v>2</v>
      </c>
      <c r="G80" s="244"/>
      <c r="H80" s="245">
        <f t="shared" si="16"/>
        <v>3.6310599701600417</v>
      </c>
      <c r="I80" s="245">
        <f t="shared" si="17"/>
        <v>0.417964923425795</v>
      </c>
      <c r="J80" s="140">
        <v>0.40960562495727909</v>
      </c>
      <c r="K80" s="143">
        <v>1</v>
      </c>
      <c r="L80" s="143">
        <v>3.6310599701600417</v>
      </c>
      <c r="M80" s="143">
        <f t="shared" si="18"/>
        <v>3.6310599701600417</v>
      </c>
      <c r="N80" s="143">
        <f t="shared" si="19"/>
        <v>0.417964923425795</v>
      </c>
      <c r="O80" s="143">
        <f t="shared" si="20"/>
        <v>1.0855395917039785E-2</v>
      </c>
      <c r="P80" s="819">
        <f>M80*'Table ES-1 Refresh ''13'!$D$9/Industrial!$M$3</f>
        <v>3.420706798408184</v>
      </c>
      <c r="Q80" s="819">
        <f>N80*'Table ES-1 Refresh ''13'!$G$9/Industrial!$N$3</f>
        <v>0.37708357111496532</v>
      </c>
      <c r="R80" s="819">
        <f>O80*'Table ES-1 Refresh ''13'!$J$9/Industrial!$O$3</f>
        <v>9.3614703506123224E-3</v>
      </c>
    </row>
    <row r="81" spans="1:18">
      <c r="A81" s="35">
        <v>423</v>
      </c>
      <c r="B81" s="41" t="s">
        <v>256</v>
      </c>
      <c r="C81" s="918">
        <v>0.7470088203021521</v>
      </c>
      <c r="D81" s="918">
        <v>8.598687076000644E-2</v>
      </c>
      <c r="E81" s="246">
        <v>4</v>
      </c>
      <c r="F81" s="246">
        <v>1</v>
      </c>
      <c r="G81" s="244"/>
      <c r="H81" s="245">
        <f t="shared" si="16"/>
        <v>0.7470088203021521</v>
      </c>
      <c r="I81" s="245">
        <f t="shared" si="17"/>
        <v>8.598687076000644E-2</v>
      </c>
      <c r="J81" s="140">
        <v>8.4267133344806303E-2</v>
      </c>
      <c r="K81" s="143">
        <v>1</v>
      </c>
      <c r="L81" s="143">
        <v>0.7470088203021521</v>
      </c>
      <c r="M81" s="143">
        <f t="shared" si="18"/>
        <v>0.7470088203021521</v>
      </c>
      <c r="N81" s="143">
        <f t="shared" si="19"/>
        <v>8.598687076000644E-2</v>
      </c>
      <c r="O81" s="143">
        <f t="shared" si="20"/>
        <v>1.3033389365560671E-2</v>
      </c>
      <c r="P81" s="819">
        <f>M81*'Table ES-1 Refresh ''13'!$D$9/Industrial!$M$3</f>
        <v>0.70373339219892372</v>
      </c>
      <c r="Q81" s="819">
        <f>N81*'Table ES-1 Refresh ''13'!$G$9/Industrial!$N$3</f>
        <v>7.7576453137318785E-2</v>
      </c>
      <c r="R81" s="819">
        <f>O81*'Table ES-1 Refresh ''13'!$J$9/Industrial!$O$3</f>
        <v>1.1239727140873752E-2</v>
      </c>
    </row>
    <row r="82" spans="1:18">
      <c r="A82" s="35">
        <v>424</v>
      </c>
      <c r="B82" s="41" t="s">
        <v>257</v>
      </c>
      <c r="C82" s="918">
        <v>0.48931680302098707</v>
      </c>
      <c r="D82" s="918">
        <v>5.6324396122988653E-2</v>
      </c>
      <c r="E82" s="246">
        <v>4</v>
      </c>
      <c r="F82" s="246">
        <v>1</v>
      </c>
      <c r="G82" s="244"/>
      <c r="H82" s="245">
        <f t="shared" si="16"/>
        <v>0.48931680302098707</v>
      </c>
      <c r="I82" s="245">
        <f t="shared" si="17"/>
        <v>5.6324396122988653E-2</v>
      </c>
      <c r="J82" s="140">
        <v>5.5197908200528882E-2</v>
      </c>
      <c r="K82" s="143">
        <v>1</v>
      </c>
      <c r="L82" s="143">
        <v>0.48931680302098707</v>
      </c>
      <c r="M82" s="143">
        <f t="shared" si="18"/>
        <v>0.48931680302098707</v>
      </c>
      <c r="N82" s="143">
        <f t="shared" si="19"/>
        <v>5.6324396122988653E-2</v>
      </c>
      <c r="O82" s="143">
        <f t="shared" si="20"/>
        <v>0.33637866589811299</v>
      </c>
      <c r="P82" s="819">
        <f>M82*'Table ES-1 Refresh ''13'!$D$9/Industrial!$M$3</f>
        <v>0.46096988990117788</v>
      </c>
      <c r="Q82" s="819">
        <f>N82*'Table ES-1 Refresh ''13'!$G$9/Industrial!$N$3</f>
        <v>5.0815279561901364E-2</v>
      </c>
      <c r="R82" s="819">
        <f>O82*'Table ES-1 Refresh ''13'!$J$9/Industrial!$O$3</f>
        <v>0.29008604858351683</v>
      </c>
    </row>
    <row r="83" spans="1:18">
      <c r="A83" s="35">
        <v>425</v>
      </c>
      <c r="B83" s="41" t="s">
        <v>258</v>
      </c>
      <c r="C83" s="918">
        <v>6.6045249355087376E-2</v>
      </c>
      <c r="D83" s="918">
        <v>1.1511554524962657E-2</v>
      </c>
      <c r="E83" s="246">
        <v>4</v>
      </c>
      <c r="F83" s="246">
        <v>1</v>
      </c>
      <c r="G83" s="244"/>
      <c r="H83" s="245">
        <f t="shared" si="16"/>
        <v>6.6045249355087376E-2</v>
      </c>
      <c r="I83" s="245">
        <f t="shared" si="17"/>
        <v>1.1511554524962657E-2</v>
      </c>
      <c r="J83" s="140">
        <v>1.0855395917039785E-2</v>
      </c>
      <c r="K83" s="143">
        <v>1</v>
      </c>
      <c r="L83" s="143">
        <v>6.6045249355087376E-2</v>
      </c>
      <c r="M83" s="143">
        <f t="shared" si="18"/>
        <v>6.6045249355087376E-2</v>
      </c>
      <c r="N83" s="143">
        <f t="shared" si="19"/>
        <v>1.1511554524962657E-2</v>
      </c>
      <c r="O83" s="143">
        <f t="shared" si="20"/>
        <v>0.14908491165073492</v>
      </c>
      <c r="P83" s="819">
        <f>M83*'Table ES-1 Refresh ''13'!$D$9/Industrial!$M$3</f>
        <v>6.2219141332869099E-2</v>
      </c>
      <c r="Q83" s="819">
        <f>N83*'Table ES-1 Refresh ''13'!$G$9/Industrial!$N$3</f>
        <v>1.0385603781720742E-2</v>
      </c>
      <c r="R83" s="819">
        <f>O83*'Table ES-1 Refresh ''13'!$J$9/Industrial!$O$3</f>
        <v>0.12856776397729039</v>
      </c>
    </row>
    <row r="84" spans="1:18">
      <c r="A84" s="35">
        <v>426</v>
      </c>
      <c r="B84" s="41" t="s">
        <v>259</v>
      </c>
      <c r="C84" s="918">
        <v>7.9296366265113175E-2</v>
      </c>
      <c r="D84" s="918">
        <v>1.3821197630499122E-2</v>
      </c>
      <c r="E84" s="246">
        <v>4</v>
      </c>
      <c r="F84" s="246">
        <v>2</v>
      </c>
      <c r="G84" s="244"/>
      <c r="H84" s="245">
        <f t="shared" si="16"/>
        <v>7.9296366265113175E-2</v>
      </c>
      <c r="I84" s="245">
        <f t="shared" si="17"/>
        <v>1.3821197630499122E-2</v>
      </c>
      <c r="J84" s="140">
        <v>1.3033389365560671E-2</v>
      </c>
      <c r="K84" s="143">
        <v>1</v>
      </c>
      <c r="L84" s="143">
        <v>7.9296366265113175E-2</v>
      </c>
      <c r="M84" s="143">
        <f t="shared" si="18"/>
        <v>7.9296366265113175E-2</v>
      </c>
      <c r="N84" s="143">
        <f t="shared" si="19"/>
        <v>1.3821197630499122E-2</v>
      </c>
      <c r="O84" s="143">
        <f t="shared" si="20"/>
        <v>0.1676127137092607</v>
      </c>
      <c r="P84" s="819">
        <f>M84*'Table ES-1 Refresh ''13'!$D$9/Industrial!$M$3</f>
        <v>7.4702599626902469E-2</v>
      </c>
      <c r="Q84" s="819">
        <f>N84*'Table ES-1 Refresh ''13'!$G$9/Industrial!$N$3</f>
        <v>1.2469339572509829E-2</v>
      </c>
      <c r="R84" s="819">
        <f>O84*'Table ES-1 Refresh ''13'!$J$9/Industrial!$O$3</f>
        <v>0.14454575970940747</v>
      </c>
    </row>
    <row r="85" spans="1:18">
      <c r="A85" s="35">
        <v>427</v>
      </c>
      <c r="B85" s="41" t="s">
        <v>260</v>
      </c>
      <c r="C85" s="918">
        <v>2.0428128546653657</v>
      </c>
      <c r="D85" s="918">
        <v>0.35671120455791411</v>
      </c>
      <c r="E85" s="246">
        <v>4</v>
      </c>
      <c r="F85" s="246">
        <v>1</v>
      </c>
      <c r="G85" s="244"/>
      <c r="H85" s="245">
        <f t="shared" si="16"/>
        <v>2.0428128546653657</v>
      </c>
      <c r="I85" s="245">
        <f t="shared" si="17"/>
        <v>0.35671120455791411</v>
      </c>
      <c r="J85" s="140">
        <v>0.33637866589811299</v>
      </c>
      <c r="K85" s="143">
        <v>1</v>
      </c>
      <c r="L85" s="143">
        <v>2.0428128546653657</v>
      </c>
      <c r="M85" s="143">
        <f t="shared" si="18"/>
        <v>2.0428128546653657</v>
      </c>
      <c r="N85" s="143">
        <f t="shared" si="19"/>
        <v>0.35671120455791411</v>
      </c>
      <c r="O85" s="143">
        <f t="shared" si="20"/>
        <v>1.1514739315990509E-2</v>
      </c>
      <c r="P85" s="819">
        <f>M85*'Table ES-1 Refresh ''13'!$D$9/Industrial!$M$3</f>
        <v>1.9244694048722777</v>
      </c>
      <c r="Q85" s="819">
        <f>N85*'Table ES-1 Refresh ''13'!$G$9/Industrial!$N$3</f>
        <v>0.32182110826173166</v>
      </c>
      <c r="R85" s="819">
        <f>O85*'Table ES-1 Refresh ''13'!$J$9/Industrial!$O$3</f>
        <v>9.9300745477618954E-3</v>
      </c>
    </row>
    <row r="86" spans="1:18">
      <c r="A86" s="35">
        <v>428</v>
      </c>
      <c r="B86" s="41" t="s">
        <v>261</v>
      </c>
      <c r="C86" s="918">
        <v>0.99012608340420971</v>
      </c>
      <c r="D86" s="918">
        <v>2.889242473851452E-2</v>
      </c>
      <c r="E86" s="246">
        <v>4</v>
      </c>
      <c r="F86" s="246">
        <v>1</v>
      </c>
      <c r="G86" s="244"/>
      <c r="H86" s="245">
        <f t="shared" si="16"/>
        <v>0.99012608340420971</v>
      </c>
      <c r="I86" s="245">
        <f t="shared" si="17"/>
        <v>2.889242473851452E-2</v>
      </c>
      <c r="J86" s="140">
        <v>0.14908491165073492</v>
      </c>
      <c r="K86" s="143">
        <v>1</v>
      </c>
      <c r="L86" s="143">
        <v>0.99012608340420971</v>
      </c>
      <c r="M86" s="143">
        <f t="shared" si="18"/>
        <v>0.99012608340420971</v>
      </c>
      <c r="N86" s="143">
        <f t="shared" si="19"/>
        <v>2.889242473851452E-2</v>
      </c>
      <c r="O86" s="143">
        <f>K86*J90</f>
        <v>0.23808782369831846</v>
      </c>
      <c r="P86" s="819">
        <f>M86*'Table ES-1 Refresh ''13'!$D$9/Industrial!$M$3</f>
        <v>0.93276647937950941</v>
      </c>
      <c r="Q86" s="819">
        <f>N86*'Table ES-1 Refresh ''13'!$G$9/Industrial!$N$3</f>
        <v>2.6066442631767123E-2</v>
      </c>
      <c r="R86" s="819">
        <f>O86*'Table ES-1 Refresh ''13'!$J$9/Industrial!$O$3</f>
        <v>0.20532204623646924</v>
      </c>
    </row>
    <row r="87" spans="1:18">
      <c r="A87" s="35">
        <v>429</v>
      </c>
      <c r="B87" s="41" t="s">
        <v>262</v>
      </c>
      <c r="C87" s="918">
        <v>1.0505680847160337</v>
      </c>
      <c r="D87" s="918">
        <v>0.17774412906602408</v>
      </c>
      <c r="E87" s="246">
        <v>4</v>
      </c>
      <c r="F87" s="246">
        <v>2</v>
      </c>
      <c r="G87" s="244"/>
      <c r="H87" s="245">
        <f t="shared" si="16"/>
        <v>1.0505680847160337</v>
      </c>
      <c r="I87" s="245">
        <f t="shared" si="17"/>
        <v>0.17774412906602408</v>
      </c>
      <c r="J87" s="140">
        <v>0.1676127137092607</v>
      </c>
      <c r="K87" s="143">
        <v>1</v>
      </c>
      <c r="L87" s="143">
        <v>1.0505680847160337</v>
      </c>
      <c r="M87" s="143">
        <f t="shared" si="18"/>
        <v>1.0505680847160337</v>
      </c>
      <c r="N87" s="143">
        <f t="shared" si="19"/>
        <v>0.17774412906602408</v>
      </c>
      <c r="O87" s="143">
        <f>K87*J91</f>
        <v>4.2787944909091019E-2</v>
      </c>
      <c r="P87" s="819">
        <f>M87*'Table ES-1 Refresh ''13'!$D$9/Industrial!$M$3</f>
        <v>0.98970697788293671</v>
      </c>
      <c r="Q87" s="819">
        <f>N87*'Table ES-1 Refresh ''13'!$G$9/Industrial!$N$3</f>
        <v>0.16035888941009446</v>
      </c>
      <c r="R87" s="819">
        <f>O87*'Table ES-1 Refresh ''13'!$J$9/Industrial!$O$3</f>
        <v>3.689944435848079E-2</v>
      </c>
    </row>
    <row r="88" spans="1:18">
      <c r="A88" s="35">
        <v>430</v>
      </c>
      <c r="B88" s="41" t="s">
        <v>263</v>
      </c>
      <c r="C88" s="918">
        <v>0.10680460652007831</v>
      </c>
      <c r="D88" s="918">
        <v>1.3342687504044623E-2</v>
      </c>
      <c r="E88" s="246">
        <v>4</v>
      </c>
      <c r="F88" s="246">
        <v>2</v>
      </c>
      <c r="G88" s="244"/>
      <c r="H88" s="245">
        <f t="shared" si="16"/>
        <v>0.10680460652007831</v>
      </c>
      <c r="I88" s="245">
        <f t="shared" si="17"/>
        <v>1.3342687504044623E-2</v>
      </c>
      <c r="J88" s="140">
        <v>1.1514739315990509E-2</v>
      </c>
      <c r="K88" s="143">
        <v>1</v>
      </c>
      <c r="L88" s="143">
        <v>0.10680460652007831</v>
      </c>
      <c r="M88" s="143">
        <f t="shared" si="18"/>
        <v>0.10680460652007831</v>
      </c>
      <c r="N88" s="143">
        <f t="shared" si="19"/>
        <v>1.3342687504044623E-2</v>
      </c>
      <c r="O88" s="143">
        <f>K88*J92</f>
        <v>5.1420517378660706E-2</v>
      </c>
      <c r="P88" s="819">
        <f>M88*'Table ES-1 Refresh ''13'!$D$9/Industrial!$M$3</f>
        <v>0.10061724307143292</v>
      </c>
      <c r="Q88" s="819">
        <f>N88*'Table ES-1 Refresh ''13'!$G$9/Industrial!$N$3</f>
        <v>1.2037632754102206E-2</v>
      </c>
      <c r="R88" s="819">
        <f>O88*'Table ES-1 Refresh ''13'!$J$9/Industrial!$O$3</f>
        <v>4.4343997449035069E-2</v>
      </c>
    </row>
    <row r="89" spans="1:18">
      <c r="A89" s="402">
        <v>500</v>
      </c>
      <c r="B89" s="403" t="s">
        <v>264</v>
      </c>
      <c r="C89" s="918"/>
      <c r="D89" s="918"/>
      <c r="E89" s="246"/>
      <c r="F89" s="246"/>
      <c r="G89" s="244"/>
      <c r="H89" s="245"/>
      <c r="I89" s="245"/>
      <c r="J89" s="140"/>
      <c r="K89" s="143"/>
      <c r="L89" s="143"/>
      <c r="M89" s="143"/>
      <c r="N89" s="143"/>
      <c r="O89" s="143"/>
      <c r="P89" s="819">
        <f>M89*'Table ES-1 Refresh ''13'!$D$9/Industrial!$M$3</f>
        <v>0</v>
      </c>
      <c r="Q89" s="819">
        <f>N89*'Table ES-1 Refresh ''13'!$G$9/Industrial!$N$3</f>
        <v>0</v>
      </c>
      <c r="R89" s="819">
        <f>O89*'Table ES-1 Refresh ''13'!$J$9/Industrial!$O$3</f>
        <v>0</v>
      </c>
    </row>
    <row r="90" spans="1:18">
      <c r="A90" s="35">
        <v>501</v>
      </c>
      <c r="B90" s="41" t="s">
        <v>265</v>
      </c>
      <c r="C90" s="918">
        <v>1.9649679660985908</v>
      </c>
      <c r="D90" s="918">
        <v>0.26751440864979603</v>
      </c>
      <c r="E90" s="246">
        <v>5</v>
      </c>
      <c r="F90" s="246">
        <v>2</v>
      </c>
      <c r="G90" s="244"/>
      <c r="H90" s="245">
        <f t="shared" ref="H90:H100" si="21">IF(AND(F90=2,E90&gt;10),C90*10/E90,C90)</f>
        <v>1.9649679660985908</v>
      </c>
      <c r="I90" s="245">
        <f t="shared" ref="I90:I100" si="22">IF(AND(F90=2,E90&gt;10),D90*10/E90,D90)</f>
        <v>0.26751440864979603</v>
      </c>
      <c r="J90" s="140">
        <v>0.23808782369831846</v>
      </c>
      <c r="K90" s="143">
        <v>1</v>
      </c>
      <c r="L90" s="143">
        <v>1.9649679660985908</v>
      </c>
      <c r="M90" s="143">
        <f t="shared" ref="M90:M100" si="23">L90*K90</f>
        <v>1.9649679660985908</v>
      </c>
      <c r="N90" s="143">
        <f t="shared" ref="N90:N100" si="24">K90*I90</f>
        <v>0.26751440864979603</v>
      </c>
      <c r="O90" s="143">
        <f t="shared" ref="O90:O96" si="25">K90*J94</f>
        <v>2.6461049702258786E-2</v>
      </c>
      <c r="P90" s="819">
        <f>M90*'Table ES-1 Refresh ''13'!$D$9/Industrial!$M$3</f>
        <v>1.8511341964951058</v>
      </c>
      <c r="Q90" s="819">
        <f>N90*'Table ES-1 Refresh ''13'!$G$9/Industrial!$N$3</f>
        <v>0.24134869431521216</v>
      </c>
      <c r="R90" s="819">
        <f>O90*'Table ES-1 Refresh ''13'!$J$9/Industrial!$O$3</f>
        <v>2.2819465464629981E-2</v>
      </c>
    </row>
    <row r="91" spans="1:18">
      <c r="A91" s="35">
        <v>502</v>
      </c>
      <c r="B91" s="41" t="s">
        <v>266</v>
      </c>
      <c r="C91" s="918">
        <v>0.14633304603957842</v>
      </c>
      <c r="D91" s="918">
        <v>2.139397245454551E-2</v>
      </c>
      <c r="E91" s="246">
        <v>5</v>
      </c>
      <c r="F91" s="246">
        <v>2</v>
      </c>
      <c r="G91" s="244"/>
      <c r="H91" s="245">
        <f t="shared" si="21"/>
        <v>0.14633304603957842</v>
      </c>
      <c r="I91" s="245">
        <f t="shared" si="22"/>
        <v>2.139397245454551E-2</v>
      </c>
      <c r="J91" s="140">
        <v>4.2787944909091019E-2</v>
      </c>
      <c r="K91" s="143">
        <v>1</v>
      </c>
      <c r="L91" s="143">
        <v>0.14633304603957842</v>
      </c>
      <c r="M91" s="143">
        <f t="shared" si="23"/>
        <v>0.14633304603957842</v>
      </c>
      <c r="N91" s="143">
        <f t="shared" si="24"/>
        <v>2.139397245454551E-2</v>
      </c>
      <c r="O91" s="143">
        <f t="shared" si="25"/>
        <v>5.2495795883731255E-4</v>
      </c>
      <c r="P91" s="819">
        <f>M91*'Table ES-1 Refresh ''13'!$D$9/Industrial!$M$3</f>
        <v>0.13785573621283401</v>
      </c>
      <c r="Q91" s="819">
        <f>N91*'Table ES-1 Refresh ''13'!$G$9/Industrial!$N$3</f>
        <v>1.9301417610292561E-2</v>
      </c>
      <c r="R91" s="819">
        <f>O91*'Table ES-1 Refresh ''13'!$J$9/Industrial!$O$3</f>
        <v>4.5271295533858279E-4</v>
      </c>
    </row>
    <row r="92" spans="1:18">
      <c r="A92" s="35">
        <v>503</v>
      </c>
      <c r="B92" s="41" t="s">
        <v>267</v>
      </c>
      <c r="C92" s="918">
        <v>0.31616583114995378</v>
      </c>
      <c r="D92" s="918">
        <v>5.4702678062405009E-2</v>
      </c>
      <c r="E92" s="246">
        <v>5</v>
      </c>
      <c r="F92" s="246">
        <v>2</v>
      </c>
      <c r="G92" s="244"/>
      <c r="H92" s="245">
        <f t="shared" si="21"/>
        <v>0.31616583114995378</v>
      </c>
      <c r="I92" s="245">
        <f t="shared" si="22"/>
        <v>5.4702678062405009E-2</v>
      </c>
      <c r="J92" s="140">
        <v>5.1420517378660706E-2</v>
      </c>
      <c r="K92" s="143">
        <v>1</v>
      </c>
      <c r="L92" s="143">
        <v>0.31616583114995378</v>
      </c>
      <c r="M92" s="143">
        <f t="shared" si="23"/>
        <v>0.31616583114995378</v>
      </c>
      <c r="N92" s="143">
        <f t="shared" si="24"/>
        <v>5.4702678062405009E-2</v>
      </c>
      <c r="O92" s="143">
        <f t="shared" si="25"/>
        <v>7.2201979276840167E-3</v>
      </c>
      <c r="P92" s="819">
        <f>M92*'Table ES-1 Refresh ''13'!$D$9/Industrial!$M$3</f>
        <v>0.29784983363724293</v>
      </c>
      <c r="Q92" s="819">
        <f>N92*'Table ES-1 Refresh ''13'!$G$9/Industrial!$N$3</f>
        <v>4.9352182533054435E-2</v>
      </c>
      <c r="R92" s="819">
        <f>O92*'Table ES-1 Refresh ''13'!$J$9/Industrial!$O$3</f>
        <v>6.2265503112113475E-3</v>
      </c>
    </row>
    <row r="93" spans="1:18">
      <c r="A93" s="35">
        <v>504</v>
      </c>
      <c r="B93" s="41" t="s">
        <v>268</v>
      </c>
      <c r="C93" s="918">
        <v>0.36898711743922641</v>
      </c>
      <c r="D93" s="918">
        <v>4.2473457765224744E-2</v>
      </c>
      <c r="E93" s="246">
        <v>5</v>
      </c>
      <c r="F93" s="246">
        <v>2</v>
      </c>
      <c r="G93" s="244"/>
      <c r="H93" s="245">
        <f t="shared" si="21"/>
        <v>0.36898711743922641</v>
      </c>
      <c r="I93" s="245">
        <f t="shared" si="22"/>
        <v>4.2473457765224744E-2</v>
      </c>
      <c r="J93" s="140">
        <v>4.1623988609920247E-2</v>
      </c>
      <c r="K93" s="143">
        <v>1</v>
      </c>
      <c r="L93" s="143">
        <v>0.36898711743922641</v>
      </c>
      <c r="M93" s="143">
        <f t="shared" si="23"/>
        <v>0.36898711743922641</v>
      </c>
      <c r="N93" s="143">
        <f t="shared" si="24"/>
        <v>4.2473457765224744E-2</v>
      </c>
      <c r="O93" s="143">
        <f t="shared" si="25"/>
        <v>2.721492576120596E-2</v>
      </c>
      <c r="P93" s="819">
        <f>M93*'Table ES-1 Refresh ''13'!$D$9/Industrial!$M$3</f>
        <v>0.34761109745421481</v>
      </c>
      <c r="Q93" s="819">
        <f>N93*'Table ES-1 Refresh ''13'!$G$9/Industrial!$N$3</f>
        <v>3.8319108217115906E-2</v>
      </c>
      <c r="R93" s="819">
        <f>O93*'Table ES-1 Refresh ''13'!$J$9/Industrial!$O$3</f>
        <v>2.3469592685028493E-2</v>
      </c>
    </row>
    <row r="94" spans="1:18">
      <c r="A94" s="35">
        <v>505</v>
      </c>
      <c r="B94" s="41" t="s">
        <v>269</v>
      </c>
      <c r="C94" s="918">
        <v>0.16099151418694779</v>
      </c>
      <c r="D94" s="918">
        <v>2.8060498093593626E-2</v>
      </c>
      <c r="E94" s="246">
        <v>5</v>
      </c>
      <c r="F94" s="246">
        <v>2</v>
      </c>
      <c r="G94" s="244"/>
      <c r="H94" s="245">
        <f t="shared" si="21"/>
        <v>0.16099151418694779</v>
      </c>
      <c r="I94" s="245">
        <f t="shared" si="22"/>
        <v>2.8060498093593626E-2</v>
      </c>
      <c r="J94" s="140">
        <v>2.6461049702258786E-2</v>
      </c>
      <c r="K94" s="143">
        <v>1</v>
      </c>
      <c r="L94" s="143">
        <v>0.16099151418694779</v>
      </c>
      <c r="M94" s="143">
        <f t="shared" si="23"/>
        <v>0.16099151418694779</v>
      </c>
      <c r="N94" s="143">
        <f t="shared" si="24"/>
        <v>2.8060498093593626E-2</v>
      </c>
      <c r="O94" s="143">
        <f t="shared" si="25"/>
        <v>0.61120068167512431</v>
      </c>
      <c r="P94" s="819">
        <f>M94*'Table ES-1 Refresh ''13'!$D$9/Industrial!$M$3</f>
        <v>0.15166501561279561</v>
      </c>
      <c r="Q94" s="819">
        <f>N94*'Table ES-1 Refresh ''13'!$G$9/Industrial!$N$3</f>
        <v>2.5315887136341302E-2</v>
      </c>
      <c r="R94" s="819">
        <f>O94*'Table ES-1 Refresh ''13'!$J$9/Industrial!$O$3</f>
        <v>0.52708690714764894</v>
      </c>
    </row>
    <row r="95" spans="1:18">
      <c r="A95" s="35">
        <v>506</v>
      </c>
      <c r="B95" s="41" t="s">
        <v>270</v>
      </c>
      <c r="C95" s="918">
        <v>3.1938935767349451E-3</v>
      </c>
      <c r="D95" s="918">
        <v>5.5668924585080865E-4</v>
      </c>
      <c r="E95" s="246">
        <v>5</v>
      </c>
      <c r="F95" s="246">
        <v>2</v>
      </c>
      <c r="G95" s="244"/>
      <c r="H95" s="245">
        <f t="shared" si="21"/>
        <v>3.1938935767349451E-3</v>
      </c>
      <c r="I95" s="245">
        <f t="shared" si="22"/>
        <v>5.5668924585080865E-4</v>
      </c>
      <c r="J95" s="140">
        <v>5.2495795883731255E-4</v>
      </c>
      <c r="K95" s="143">
        <v>1</v>
      </c>
      <c r="L95" s="143">
        <v>3.1938935767349451E-3</v>
      </c>
      <c r="M95" s="143">
        <f t="shared" si="23"/>
        <v>3.1938935767349451E-3</v>
      </c>
      <c r="N95" s="143">
        <f t="shared" si="24"/>
        <v>5.5668924585080865E-4</v>
      </c>
      <c r="O95" s="143">
        <f t="shared" si="25"/>
        <v>0.18104406271645734</v>
      </c>
      <c r="P95" s="819">
        <f>M95*'Table ES-1 Refresh ''13'!$D$9/Industrial!$M$3</f>
        <v>3.0088661606015596E-3</v>
      </c>
      <c r="Q95" s="819">
        <f>N95*'Table ES-1 Refresh ''13'!$G$9/Industrial!$N$3</f>
        <v>5.0223920013706244E-4</v>
      </c>
      <c r="R95" s="819">
        <f>O95*'Table ES-1 Refresh ''13'!$J$9/Industrial!$O$3</f>
        <v>0.15612867906679609</v>
      </c>
    </row>
    <row r="96" spans="1:18">
      <c r="A96" s="35">
        <v>507</v>
      </c>
      <c r="B96" s="41" t="s">
        <v>271</v>
      </c>
      <c r="C96" s="918">
        <v>4.3928363016078137E-2</v>
      </c>
      <c r="D96" s="918">
        <v>7.6566255860912166E-3</v>
      </c>
      <c r="E96" s="246">
        <v>5</v>
      </c>
      <c r="F96" s="246">
        <v>2</v>
      </c>
      <c r="G96" s="244"/>
      <c r="H96" s="245">
        <f t="shared" si="21"/>
        <v>4.3928363016078137E-2</v>
      </c>
      <c r="I96" s="245">
        <f t="shared" si="22"/>
        <v>7.6566255860912166E-3</v>
      </c>
      <c r="J96" s="140">
        <v>7.2201979276840167E-3</v>
      </c>
      <c r="K96" s="143">
        <v>1</v>
      </c>
      <c r="L96" s="143">
        <v>4.3928363016078137E-2</v>
      </c>
      <c r="M96" s="143">
        <f t="shared" si="23"/>
        <v>4.3928363016078137E-2</v>
      </c>
      <c r="N96" s="143">
        <f t="shared" si="24"/>
        <v>7.6566255860912166E-3</v>
      </c>
      <c r="O96" s="143">
        <f t="shared" si="25"/>
        <v>5.2716470533900883E-2</v>
      </c>
      <c r="P96" s="819">
        <f>M96*'Table ES-1 Refresh ''13'!$D$9/Industrial!$M$3</f>
        <v>4.1383521959682215E-2</v>
      </c>
      <c r="Q96" s="819">
        <f>N96*'Table ES-1 Refresh ''13'!$G$9/Industrial!$N$3</f>
        <v>6.9077273160365526E-3</v>
      </c>
      <c r="R96" s="819">
        <f>O96*'Table ES-1 Refresh ''13'!$J$9/Industrial!$O$3</f>
        <v>4.5461600817100128E-2</v>
      </c>
    </row>
    <row r="97" spans="1:18">
      <c r="A97" s="35">
        <v>508</v>
      </c>
      <c r="B97" s="41" t="s">
        <v>272</v>
      </c>
      <c r="C97" s="918">
        <v>0.16557816700702932</v>
      </c>
      <c r="D97" s="918">
        <v>2.8859942482721064E-2</v>
      </c>
      <c r="E97" s="246">
        <v>5</v>
      </c>
      <c r="F97" s="246">
        <v>1</v>
      </c>
      <c r="G97" s="244"/>
      <c r="H97" s="245">
        <f t="shared" si="21"/>
        <v>0.16557816700702932</v>
      </c>
      <c r="I97" s="245">
        <f t="shared" si="22"/>
        <v>2.8859942482721064E-2</v>
      </c>
      <c r="J97" s="140">
        <v>2.721492576120596E-2</v>
      </c>
      <c r="K97" s="143">
        <v>1</v>
      </c>
      <c r="L97" s="143">
        <v>0.16557816700702932</v>
      </c>
      <c r="M97" s="143">
        <f t="shared" si="23"/>
        <v>0.16557816700702932</v>
      </c>
      <c r="N97" s="143">
        <f t="shared" si="24"/>
        <v>2.8859942482721064E-2</v>
      </c>
      <c r="O97" s="143">
        <f>K97*J102</f>
        <v>0.29756195026180104</v>
      </c>
      <c r="P97" s="819">
        <f>M97*'Table ES-1 Refresh ''13'!$D$9/Industrial!$M$3</f>
        <v>0.15598595622312089</v>
      </c>
      <c r="Q97" s="819">
        <f>N97*'Table ES-1 Refresh ''13'!$G$9/Industrial!$N$3</f>
        <v>2.6037137481200723E-2</v>
      </c>
      <c r="R97" s="819">
        <f>O97*'Table ES-1 Refresh ''13'!$J$9/Industrial!$O$3</f>
        <v>0.25661131073751325</v>
      </c>
    </row>
    <row r="98" spans="1:18">
      <c r="A98" s="35">
        <v>509</v>
      </c>
      <c r="B98" s="41" t="s">
        <v>273</v>
      </c>
      <c r="C98" s="918">
        <v>4.3306301456748439</v>
      </c>
      <c r="D98" s="918">
        <v>0.64814494345188156</v>
      </c>
      <c r="E98" s="246">
        <v>5</v>
      </c>
      <c r="F98" s="246">
        <v>2</v>
      </c>
      <c r="G98" s="244"/>
      <c r="H98" s="245">
        <f t="shared" si="21"/>
        <v>4.3306301456748439</v>
      </c>
      <c r="I98" s="245">
        <f t="shared" si="22"/>
        <v>0.64814494345188156</v>
      </c>
      <c r="J98" s="140">
        <v>0.61120068167512431</v>
      </c>
      <c r="K98" s="143">
        <v>1</v>
      </c>
      <c r="L98" s="143">
        <v>4.3306301456748439</v>
      </c>
      <c r="M98" s="143">
        <f t="shared" si="23"/>
        <v>4.3306301456748439</v>
      </c>
      <c r="N98" s="143">
        <f t="shared" si="24"/>
        <v>0.64814494345188156</v>
      </c>
      <c r="O98" s="143">
        <f>K98*J103</f>
        <v>0.51450307478626511</v>
      </c>
      <c r="P98" s="819">
        <f>M98*'Table ES-1 Refresh ''13'!$D$9/Industrial!$M$3</f>
        <v>4.0797497431716705</v>
      </c>
      <c r="Q98" s="819">
        <f>N98*'Table ES-1 Refresh ''13'!$G$9/Industrial!$N$3</f>
        <v>0.58474957150401674</v>
      </c>
      <c r="R98" s="819">
        <f>O98*'Table ES-1 Refresh ''13'!$J$9/Industrial!$O$3</f>
        <v>0.44369687819031978</v>
      </c>
    </row>
    <row r="99" spans="1:18">
      <c r="A99" s="35">
        <v>510</v>
      </c>
      <c r="B99" s="41" t="s">
        <v>274</v>
      </c>
      <c r="C99" s="918">
        <v>1.1035479307444731</v>
      </c>
      <c r="D99" s="918">
        <v>0.19198734116273314</v>
      </c>
      <c r="E99" s="246">
        <v>5</v>
      </c>
      <c r="F99" s="246">
        <v>1</v>
      </c>
      <c r="G99" s="244"/>
      <c r="H99" s="245">
        <f t="shared" si="21"/>
        <v>1.1035479307444731</v>
      </c>
      <c r="I99" s="245">
        <f t="shared" si="22"/>
        <v>0.19198734116273314</v>
      </c>
      <c r="J99" s="140">
        <v>0.18104406271645734</v>
      </c>
      <c r="K99" s="143">
        <v>1</v>
      </c>
      <c r="L99" s="143">
        <v>1.1035479307444731</v>
      </c>
      <c r="M99" s="143">
        <f t="shared" si="23"/>
        <v>1.1035479307444731</v>
      </c>
      <c r="N99" s="143">
        <f t="shared" si="24"/>
        <v>0.19198734116273314</v>
      </c>
      <c r="O99" s="143">
        <f>K99*J105</f>
        <v>0.10393159170047259</v>
      </c>
      <c r="P99" s="819">
        <f>M99*'Table ES-1 Refresh ''13'!$D$9/Industrial!$M$3</f>
        <v>1.0396176158171577</v>
      </c>
      <c r="Q99" s="819">
        <f>N99*'Table ES-1 Refresh ''13'!$G$9/Industrial!$N$3</f>
        <v>0.17320896600875543</v>
      </c>
      <c r="R99" s="819">
        <f>O99*'Table ES-1 Refresh ''13'!$J$9/Industrial!$O$3</f>
        <v>8.9628468793908289E-2</v>
      </c>
    </row>
    <row r="100" spans="1:18">
      <c r="A100" s="35">
        <v>511</v>
      </c>
      <c r="B100" s="41" t="s">
        <v>275</v>
      </c>
      <c r="C100" s="918">
        <v>0.31990441634872563</v>
      </c>
      <c r="D100" s="918">
        <v>1.0216370258507922E-2</v>
      </c>
      <c r="E100" s="246">
        <v>5</v>
      </c>
      <c r="F100" s="246">
        <v>1</v>
      </c>
      <c r="G100" s="244"/>
      <c r="H100" s="245">
        <f t="shared" si="21"/>
        <v>0.31990441634872563</v>
      </c>
      <c r="I100" s="245">
        <f t="shared" si="22"/>
        <v>1.0216370258507922E-2</v>
      </c>
      <c r="J100" s="140">
        <v>5.2716470533900883E-2</v>
      </c>
      <c r="K100" s="143">
        <v>1</v>
      </c>
      <c r="L100" s="143">
        <v>0.31990441634872563</v>
      </c>
      <c r="M100" s="143">
        <f t="shared" si="23"/>
        <v>0.31990441634872563</v>
      </c>
      <c r="N100" s="143">
        <f t="shared" si="24"/>
        <v>1.0216370258507922E-2</v>
      </c>
      <c r="O100" s="143">
        <f>K100*J106</f>
        <v>2.6395656455804602E-4</v>
      </c>
      <c r="P100" s="819">
        <f>M100*'Table ES-1 Refresh ''13'!$D$9/Industrial!$M$3</f>
        <v>0.30137183655401201</v>
      </c>
      <c r="Q100" s="819">
        <f>N100*'Table ES-1 Refresh ''13'!$G$9/Industrial!$N$3</f>
        <v>9.2171021178882352E-3</v>
      </c>
      <c r="R100" s="819">
        <f>O100*'Table ES-1 Refresh ''13'!$J$9/Industrial!$O$3</f>
        <v>2.2763071672778483E-4</v>
      </c>
    </row>
    <row r="101" spans="1:18">
      <c r="A101" s="402">
        <v>550</v>
      </c>
      <c r="B101" s="403" t="s">
        <v>276</v>
      </c>
      <c r="C101" s="918"/>
      <c r="D101" s="918"/>
      <c r="E101" s="246"/>
      <c r="F101" s="246"/>
      <c r="G101" s="244"/>
      <c r="H101" s="245"/>
      <c r="I101" s="245"/>
      <c r="J101" s="140"/>
      <c r="K101" s="143"/>
      <c r="L101" s="143"/>
      <c r="M101" s="143"/>
      <c r="N101" s="143"/>
      <c r="O101" s="143"/>
      <c r="P101" s="819">
        <f>M101*'Table ES-1 Refresh ''13'!$D$9/Industrial!$M$3</f>
        <v>0</v>
      </c>
      <c r="Q101" s="819">
        <f>N101*'Table ES-1 Refresh ''13'!$G$9/Industrial!$N$3</f>
        <v>0</v>
      </c>
      <c r="R101" s="819">
        <f>O101*'Table ES-1 Refresh ''13'!$J$9/Industrial!$O$3</f>
        <v>0</v>
      </c>
    </row>
    <row r="102" spans="1:18">
      <c r="A102" s="35">
        <v>551</v>
      </c>
      <c r="B102" s="41" t="s">
        <v>277</v>
      </c>
      <c r="C102" s="918">
        <v>3.2380377014115984</v>
      </c>
      <c r="D102" s="918">
        <v>0.55104064863296487</v>
      </c>
      <c r="E102" s="246">
        <v>6</v>
      </c>
      <c r="F102" s="246">
        <v>1</v>
      </c>
      <c r="G102" s="244"/>
      <c r="H102" s="245">
        <f>IF(AND(F102=2,E102&gt;10),C102*10/E102,C102)</f>
        <v>3.2380377014115984</v>
      </c>
      <c r="I102" s="245">
        <f>IF(AND(F102=2,E102&gt;10),D102*10/E102,D102)</f>
        <v>0.55104064863296487</v>
      </c>
      <c r="J102" s="140">
        <v>0.29756195026180104</v>
      </c>
      <c r="K102" s="143">
        <v>1</v>
      </c>
      <c r="L102" s="143">
        <v>3.2380377014115984</v>
      </c>
      <c r="M102" s="143">
        <f t="shared" ref="M102:M103" si="26">L102*K102</f>
        <v>3.2380377014115984</v>
      </c>
      <c r="N102" s="143">
        <f t="shared" ref="N102:N103" si="27">K102*I102</f>
        <v>0.55104064863296487</v>
      </c>
      <c r="O102" s="143">
        <f>K102*J108</f>
        <v>0.22819042410695756</v>
      </c>
      <c r="P102" s="819">
        <f>M102*'Table ES-1 Refresh ''13'!$D$9/Industrial!$M$3</f>
        <v>3.0504529448001554</v>
      </c>
      <c r="Q102" s="819">
        <f>N102*'Table ES-1 Refresh ''13'!$G$9/Industrial!$N$3</f>
        <v>0.497143094958579</v>
      </c>
      <c r="R102" s="819">
        <f>O102*'Table ES-1 Refresh ''13'!$J$9/Industrial!$O$3</f>
        <v>0.19678673222942802</v>
      </c>
    </row>
    <row r="103" spans="1:18">
      <c r="A103" s="35">
        <v>552</v>
      </c>
      <c r="B103" s="41" t="s">
        <v>278</v>
      </c>
      <c r="C103" s="918">
        <v>5.598768095801077</v>
      </c>
      <c r="D103" s="918">
        <v>0.95278347182641687</v>
      </c>
      <c r="E103" s="246">
        <v>6</v>
      </c>
      <c r="F103" s="246">
        <v>1</v>
      </c>
      <c r="G103" s="244"/>
      <c r="H103" s="245">
        <f>IF(AND(F103=2,E103&gt;10),C103*10/E103,C103)</f>
        <v>5.598768095801077</v>
      </c>
      <c r="I103" s="245">
        <f>IF(AND(F103=2,E103&gt;10),D103*10/E103,D103)</f>
        <v>0.95278347182641687</v>
      </c>
      <c r="J103" s="140">
        <v>0.51450307478626511</v>
      </c>
      <c r="K103" s="143">
        <v>1</v>
      </c>
      <c r="L103" s="143">
        <v>5.598768095801077</v>
      </c>
      <c r="M103" s="143">
        <f t="shared" si="26"/>
        <v>5.598768095801077</v>
      </c>
      <c r="N103" s="143">
        <f t="shared" si="27"/>
        <v>0.95278347182641687</v>
      </c>
      <c r="O103" s="143">
        <f>K103*J109</f>
        <v>0</v>
      </c>
      <c r="P103" s="819">
        <f>M103*'Table ES-1 Refresh ''13'!$D$9/Industrial!$M$3</f>
        <v>5.2744224125754275</v>
      </c>
      <c r="Q103" s="819">
        <f>N103*'Table ES-1 Refresh ''13'!$G$9/Industrial!$N$3</f>
        <v>0.85959125734962827</v>
      </c>
      <c r="R103" s="819">
        <f>O103*'Table ES-1 Refresh ''13'!$J$9/Industrial!$O$3</f>
        <v>0</v>
      </c>
    </row>
    <row r="104" spans="1:18">
      <c r="A104" s="402">
        <v>600</v>
      </c>
      <c r="B104" s="403" t="s">
        <v>279</v>
      </c>
      <c r="C104" s="918"/>
      <c r="D104" s="918"/>
      <c r="E104" s="246"/>
      <c r="F104" s="246"/>
      <c r="G104" s="244"/>
      <c r="H104" s="245"/>
      <c r="I104" s="245"/>
      <c r="J104" s="140"/>
      <c r="K104" s="143"/>
      <c r="L104" s="143"/>
      <c r="M104" s="143"/>
      <c r="N104" s="143"/>
      <c r="O104" s="143"/>
      <c r="P104" s="819">
        <f>M104*'Table ES-1 Refresh ''13'!$D$9/Industrial!$M$3</f>
        <v>0</v>
      </c>
      <c r="Q104" s="819">
        <f>N104*'Table ES-1 Refresh ''13'!$G$9/Industrial!$N$3</f>
        <v>0</v>
      </c>
      <c r="R104" s="819">
        <f>O104*'Table ES-1 Refresh ''13'!$J$9/Industrial!$O$3</f>
        <v>0</v>
      </c>
    </row>
    <row r="105" spans="1:18">
      <c r="A105" s="35">
        <v>601</v>
      </c>
      <c r="B105" s="41" t="s">
        <v>280</v>
      </c>
      <c r="C105" s="918">
        <v>1.33351946164715</v>
      </c>
      <c r="D105" s="918">
        <v>0.12085068802380533</v>
      </c>
      <c r="E105" s="246">
        <v>7</v>
      </c>
      <c r="F105" s="246">
        <v>1</v>
      </c>
      <c r="G105" s="244"/>
      <c r="H105" s="245">
        <f t="shared" ref="H105:H111" si="28">IF(AND(F105=2,E105&gt;10),C105*10/E105,C105)</f>
        <v>1.33351946164715</v>
      </c>
      <c r="I105" s="245">
        <f t="shared" ref="I105:I111" si="29">IF(AND(F105=2,E105&gt;10),D105*10/E105,D105)</f>
        <v>0.12085068802380533</v>
      </c>
      <c r="J105" s="140">
        <v>0.10393159170047259</v>
      </c>
      <c r="K105" s="143">
        <v>1</v>
      </c>
      <c r="L105" s="143">
        <v>1.33351946164715</v>
      </c>
      <c r="M105" s="143">
        <f t="shared" ref="M105:M111" si="30">L105*K105</f>
        <v>1.33351946164715</v>
      </c>
      <c r="N105" s="143">
        <f t="shared" ref="N105:N111" si="31">K105*I105</f>
        <v>0.12085068802380533</v>
      </c>
      <c r="O105" s="143">
        <f>K105*J111</f>
        <v>0</v>
      </c>
      <c r="P105" s="819">
        <f>M105*'Table ES-1 Refresh ''13'!$D$9/Industrial!$M$3</f>
        <v>1.2562665243077691</v>
      </c>
      <c r="Q105" s="819">
        <f>N105*'Table ES-1 Refresh ''13'!$G$9/Industrial!$N$3</f>
        <v>0.10903022348909543</v>
      </c>
      <c r="R105" s="819">
        <f>O105*'Table ES-1 Refresh ''13'!$J$9/Industrial!$O$3</f>
        <v>0</v>
      </c>
    </row>
    <row r="106" spans="1:18">
      <c r="A106" s="35">
        <v>602</v>
      </c>
      <c r="B106" s="41" t="s">
        <v>281</v>
      </c>
      <c r="C106" s="918">
        <v>3.294240699159943E-3</v>
      </c>
      <c r="D106" s="918">
        <v>2.9328507173116225E-4</v>
      </c>
      <c r="E106" s="246">
        <v>7</v>
      </c>
      <c r="F106" s="246">
        <v>2</v>
      </c>
      <c r="G106" s="244"/>
      <c r="H106" s="245">
        <f t="shared" si="28"/>
        <v>3.294240699159943E-3</v>
      </c>
      <c r="I106" s="245">
        <f t="shared" si="29"/>
        <v>2.9328507173116225E-4</v>
      </c>
      <c r="J106" s="174">
        <v>2.6395656455804602E-4</v>
      </c>
      <c r="K106" s="143">
        <v>1</v>
      </c>
      <c r="L106" s="143">
        <v>3.294240699159943E-3</v>
      </c>
      <c r="M106" s="143">
        <f t="shared" si="30"/>
        <v>3.294240699159943E-3</v>
      </c>
      <c r="N106" s="143">
        <f t="shared" si="31"/>
        <v>2.9328507173116225E-4</v>
      </c>
      <c r="O106" s="143">
        <f t="shared" ref="O106:O111" si="32">K106*J113</f>
        <v>6.7786621587784951E-2</v>
      </c>
      <c r="P106" s="819">
        <f>M106*'Table ES-1 Refresh ''13'!$D$9/Industrial!$M$3</f>
        <v>3.1034000120666342E-3</v>
      </c>
      <c r="Q106" s="819">
        <f>N106*'Table ES-1 Refresh ''13'!$G$9/Industrial!$N$3</f>
        <v>2.6459871631483921E-4</v>
      </c>
      <c r="R106" s="819">
        <f>O106*'Table ES-1 Refresh ''13'!$J$9/Industrial!$O$3</f>
        <v>5.8457789380681899E-2</v>
      </c>
    </row>
    <row r="107" spans="1:18">
      <c r="A107" s="35">
        <v>603</v>
      </c>
      <c r="B107" s="41" t="s">
        <v>282</v>
      </c>
      <c r="C107" s="918">
        <v>0.8912376206561694</v>
      </c>
      <c r="D107" s="918">
        <v>0.14536220223666196</v>
      </c>
      <c r="E107" s="246">
        <v>7</v>
      </c>
      <c r="F107" s="246">
        <v>2</v>
      </c>
      <c r="G107" s="244"/>
      <c r="H107" s="245">
        <f t="shared" si="28"/>
        <v>0.8912376206561694</v>
      </c>
      <c r="I107" s="245">
        <f t="shared" si="29"/>
        <v>0.14536220223666196</v>
      </c>
      <c r="J107" s="174">
        <v>0.11628976178932958</v>
      </c>
      <c r="K107" s="143">
        <v>1</v>
      </c>
      <c r="L107" s="143">
        <v>0.8912376206561694</v>
      </c>
      <c r="M107" s="143">
        <f t="shared" si="30"/>
        <v>0.8912376206561694</v>
      </c>
      <c r="N107" s="143">
        <f t="shared" si="31"/>
        <v>0.14536220223666196</v>
      </c>
      <c r="O107" s="143">
        <f t="shared" si="32"/>
        <v>1.3403471570736299E-2</v>
      </c>
      <c r="P107" s="819">
        <f>M107*'Table ES-1 Refresh ''13'!$D$9/Industrial!$M$3</f>
        <v>0.83960678507915709</v>
      </c>
      <c r="Q107" s="819">
        <f>N107*'Table ES-1 Refresh ''13'!$G$9/Industrial!$N$3</f>
        <v>0.13114425458304721</v>
      </c>
      <c r="R107" s="819">
        <f>O107*'Table ES-1 Refresh ''13'!$J$9/Industrial!$O$3</f>
        <v>1.1558878429091863E-2</v>
      </c>
    </row>
    <row r="108" spans="1:18">
      <c r="A108" s="35">
        <v>604</v>
      </c>
      <c r="B108" s="41" t="s">
        <v>283</v>
      </c>
      <c r="C108" s="918">
        <v>1.9736682282589628</v>
      </c>
      <c r="D108" s="918">
        <v>0.2672019017645873</v>
      </c>
      <c r="E108" s="246">
        <v>7</v>
      </c>
      <c r="F108" s="246">
        <v>2</v>
      </c>
      <c r="G108" s="244"/>
      <c r="H108" s="245">
        <f t="shared" si="28"/>
        <v>1.9736682282589628</v>
      </c>
      <c r="I108" s="245">
        <f t="shared" si="29"/>
        <v>0.2672019017645873</v>
      </c>
      <c r="J108" s="139">
        <v>0.22819042410695756</v>
      </c>
      <c r="K108" s="143">
        <v>1</v>
      </c>
      <c r="L108" s="143">
        <v>1.9736682282589628</v>
      </c>
      <c r="M108" s="143">
        <f t="shared" si="30"/>
        <v>1.9736682282589628</v>
      </c>
      <c r="N108" s="143">
        <f t="shared" si="31"/>
        <v>0.2672019017645873</v>
      </c>
      <c r="O108" s="143">
        <f t="shared" si="32"/>
        <v>2.8175352012471781E-3</v>
      </c>
      <c r="P108" s="819">
        <f>M108*'Table ES-1 Refresh ''13'!$D$9/Industrial!$M$3</f>
        <v>1.8593304384091731</v>
      </c>
      <c r="Q108" s="819">
        <f>N108*'Table ES-1 Refresh ''13'!$G$9/Industrial!$N$3</f>
        <v>0.24106675388033871</v>
      </c>
      <c r="R108" s="819">
        <f>O108*'Table ES-1 Refresh ''13'!$J$9/Industrial!$O$3</f>
        <v>2.4297844546488606E-3</v>
      </c>
    </row>
    <row r="109" spans="1:18">
      <c r="A109" s="35">
        <v>605</v>
      </c>
      <c r="B109" s="41" t="s">
        <v>256</v>
      </c>
      <c r="C109" s="918">
        <v>7.7728584836046924E-3</v>
      </c>
      <c r="D109" s="918">
        <v>9.7103322730188245E-4</v>
      </c>
      <c r="E109" s="246">
        <v>7</v>
      </c>
      <c r="F109" s="246">
        <v>1</v>
      </c>
      <c r="G109" s="244"/>
      <c r="H109" s="245">
        <f t="shared" si="28"/>
        <v>7.7728584836046924E-3</v>
      </c>
      <c r="I109" s="245">
        <f t="shared" si="29"/>
        <v>9.7103322730188245E-4</v>
      </c>
      <c r="J109" s="139">
        <v>0</v>
      </c>
      <c r="K109" s="143">
        <v>1</v>
      </c>
      <c r="L109" s="143">
        <v>7.7728584836046924E-3</v>
      </c>
      <c r="M109" s="143">
        <f t="shared" si="30"/>
        <v>7.7728584836046924E-3</v>
      </c>
      <c r="N109" s="143">
        <f t="shared" si="31"/>
        <v>9.7103322730188245E-4</v>
      </c>
      <c r="O109" s="143">
        <f t="shared" si="32"/>
        <v>1.2645921687157191E-2</v>
      </c>
      <c r="P109" s="819">
        <f>M109*'Table ES-1 Refresh ''13'!$D$9/Industrial!$M$3</f>
        <v>7.3225642309508272E-3</v>
      </c>
      <c r="Q109" s="819">
        <f>N109*'Table ES-1 Refresh ''13'!$G$9/Industrial!$N$3</f>
        <v>8.7605599537180162E-4</v>
      </c>
      <c r="R109" s="819">
        <f>O109*'Table ES-1 Refresh ''13'!$J$9/Industrial!$O$3</f>
        <v>1.0905582977831202E-2</v>
      </c>
    </row>
    <row r="110" spans="1:18">
      <c r="A110" s="35">
        <v>606</v>
      </c>
      <c r="B110" s="41" t="s">
        <v>202</v>
      </c>
      <c r="C110" s="918">
        <v>6.6382683972246478E-5</v>
      </c>
      <c r="D110" s="918">
        <v>5.9100266217560295E-6</v>
      </c>
      <c r="E110" s="246">
        <v>7</v>
      </c>
      <c r="F110" s="246">
        <v>1</v>
      </c>
      <c r="G110" s="244"/>
      <c r="H110" s="245">
        <f t="shared" si="28"/>
        <v>6.6382683972246478E-5</v>
      </c>
      <c r="I110" s="245">
        <f t="shared" si="29"/>
        <v>5.9100266217560295E-6</v>
      </c>
      <c r="J110" s="139">
        <v>0</v>
      </c>
      <c r="K110" s="143">
        <v>1</v>
      </c>
      <c r="L110" s="143">
        <v>6.6382683972246478E-5</v>
      </c>
      <c r="M110" s="143">
        <f t="shared" si="30"/>
        <v>6.6382683972246478E-5</v>
      </c>
      <c r="N110" s="143">
        <f t="shared" si="31"/>
        <v>5.9100266217560295E-6</v>
      </c>
      <c r="O110" s="143">
        <f t="shared" si="32"/>
        <v>2.4208055926126702E-2</v>
      </c>
      <c r="P110" s="819">
        <f>M110*'Table ES-1 Refresh ''13'!$D$9/Industrial!$M$3</f>
        <v>6.2537027817372281E-5</v>
      </c>
      <c r="Q110" s="819">
        <f>N110*'Table ES-1 Refresh ''13'!$G$9/Industrial!$N$3</f>
        <v>5.331964045331991E-6</v>
      </c>
      <c r="R110" s="819">
        <f>O110*'Table ES-1 Refresh ''13'!$J$9/Industrial!$O$3</f>
        <v>2.0876529933161487E-2</v>
      </c>
    </row>
    <row r="111" spans="1:18">
      <c r="A111" s="35">
        <v>607</v>
      </c>
      <c r="B111" s="41" t="s">
        <v>203</v>
      </c>
      <c r="C111" s="918">
        <v>3.8010469577066334E-4</v>
      </c>
      <c r="D111" s="918">
        <v>3.3840585174264528E-5</v>
      </c>
      <c r="E111" s="246">
        <v>7</v>
      </c>
      <c r="F111" s="246">
        <v>1</v>
      </c>
      <c r="G111" s="244"/>
      <c r="H111" s="245">
        <f t="shared" si="28"/>
        <v>3.8010469577066334E-4</v>
      </c>
      <c r="I111" s="245">
        <f t="shared" si="29"/>
        <v>3.3840585174264528E-5</v>
      </c>
      <c r="J111" s="139">
        <v>0</v>
      </c>
      <c r="K111" s="143">
        <v>1</v>
      </c>
      <c r="L111" s="143">
        <v>3.8010469577066334E-4</v>
      </c>
      <c r="M111" s="143">
        <f t="shared" si="30"/>
        <v>3.8010469577066334E-4</v>
      </c>
      <c r="N111" s="143">
        <f t="shared" si="31"/>
        <v>3.3840585174264528E-5</v>
      </c>
      <c r="O111" s="143">
        <f t="shared" si="32"/>
        <v>8.8627476161181815E-3</v>
      </c>
      <c r="P111" s="819">
        <f>M111*'Table ES-1 Refresh ''13'!$D$9/Industrial!$M$3</f>
        <v>3.5808461650724927E-4</v>
      </c>
      <c r="Q111" s="819">
        <f>N111*'Table ES-1 Refresh ''13'!$G$9/Industrial!$N$3</f>
        <v>3.0530621090258414E-5</v>
      </c>
      <c r="R111" s="819">
        <f>O111*'Table ES-1 Refresh ''13'!$J$9/Industrial!$O$3</f>
        <v>7.643051406629439E-3</v>
      </c>
    </row>
    <row r="112" spans="1:18">
      <c r="A112" s="402">
        <v>700</v>
      </c>
      <c r="B112" s="403" t="s">
        <v>163</v>
      </c>
      <c r="C112" s="918"/>
      <c r="D112" s="918"/>
      <c r="E112" s="246"/>
      <c r="F112" s="246"/>
      <c r="G112" s="244"/>
      <c r="H112" s="245"/>
      <c r="I112" s="245"/>
      <c r="K112" s="143"/>
      <c r="L112" s="143"/>
      <c r="M112" s="143"/>
      <c r="N112" s="143"/>
      <c r="O112" s="143"/>
      <c r="P112" s="819">
        <f>M112*'Table ES-1 Refresh ''13'!$D$9/Industrial!$M$3</f>
        <v>0</v>
      </c>
      <c r="Q112" s="819">
        <f>N112*'Table ES-1 Refresh ''13'!$G$9/Industrial!$N$3</f>
        <v>0</v>
      </c>
      <c r="R112" s="819">
        <f>O112*'Table ES-1 Refresh ''13'!$J$9/Industrial!$O$3</f>
        <v>0</v>
      </c>
    </row>
    <row r="113" spans="1:18">
      <c r="A113" s="36">
        <v>701</v>
      </c>
      <c r="B113" s="42" t="s">
        <v>162</v>
      </c>
      <c r="C113" s="918">
        <v>8.4616094575680858</v>
      </c>
      <c r="D113" s="918">
        <v>0.30812100721720431</v>
      </c>
      <c r="E113" s="246">
        <v>8</v>
      </c>
      <c r="F113" s="246">
        <v>2</v>
      </c>
      <c r="G113" s="244"/>
      <c r="H113" s="245">
        <f t="shared" ref="H113:H123" si="33">IF(AND(F113=2,E113&gt;10),C113*10/E113,C113)</f>
        <v>8.4616094575680858</v>
      </c>
      <c r="I113" s="245">
        <f t="shared" ref="I113:I123" si="34">IF(AND(F113=2,E113&gt;10),D113*10/E113,D113)</f>
        <v>0.30812100721720431</v>
      </c>
      <c r="J113" s="139">
        <v>6.7786621587784951E-2</v>
      </c>
      <c r="K113" s="143">
        <v>1</v>
      </c>
      <c r="L113" s="143">
        <v>8.4616094575680858</v>
      </c>
      <c r="M113" s="143">
        <f t="shared" ref="M113:M123" si="35">L113*K113</f>
        <v>8.4616094575680858</v>
      </c>
      <c r="N113" s="143">
        <f t="shared" ref="N113:N123" si="36">K113*I113</f>
        <v>0.30812100721720431</v>
      </c>
      <c r="O113" s="143">
        <f>K113*J120</f>
        <v>1.7746043098171474E-2</v>
      </c>
      <c r="P113" s="819">
        <f>M113*'Table ES-1 Refresh ''13'!$D$9/Industrial!$M$3</f>
        <v>7.9714147479922719</v>
      </c>
      <c r="Q113" s="819">
        <f>N113*'Table ES-1 Refresh ''13'!$G$9/Industrial!$N$3</f>
        <v>0.27798354174003115</v>
      </c>
      <c r="R113" s="819">
        <f>O113*'Table ES-1 Refresh ''13'!$J$9/Industrial!$O$3</f>
        <v>1.5303822870564017E-2</v>
      </c>
    </row>
    <row r="114" spans="1:18">
      <c r="A114" s="36">
        <v>702</v>
      </c>
      <c r="B114" s="42" t="s">
        <v>161</v>
      </c>
      <c r="C114" s="918">
        <v>1.6733579345544576</v>
      </c>
      <c r="D114" s="918">
        <v>0.30462435388037046</v>
      </c>
      <c r="E114" s="246">
        <v>8</v>
      </c>
      <c r="F114" s="246">
        <v>1</v>
      </c>
      <c r="G114" s="244"/>
      <c r="H114" s="245">
        <f t="shared" si="33"/>
        <v>1.6733579345544576</v>
      </c>
      <c r="I114" s="245">
        <f t="shared" si="34"/>
        <v>0.30462435388037046</v>
      </c>
      <c r="J114" s="139">
        <v>1.3403471570736299E-2</v>
      </c>
      <c r="K114" s="143">
        <v>1</v>
      </c>
      <c r="L114" s="143">
        <v>1.6733579345544576</v>
      </c>
      <c r="M114" s="143">
        <f t="shared" si="35"/>
        <v>1.6733579345544576</v>
      </c>
      <c r="N114" s="143">
        <f t="shared" si="36"/>
        <v>0.30462435388037046</v>
      </c>
      <c r="O114" s="143">
        <f>K114*J121</f>
        <v>9.9946635665433513E-3</v>
      </c>
      <c r="P114" s="819">
        <f>M114*'Table ES-1 Refresh ''13'!$D$9/Industrial!$M$3</f>
        <v>1.5764176053111061</v>
      </c>
      <c r="Q114" s="819">
        <f>N114*'Table ES-1 Refresh ''13'!$G$9/Industrial!$N$3</f>
        <v>0.27482889776561054</v>
      </c>
      <c r="R114" s="819">
        <f>O114*'Table ES-1 Refresh ''13'!$J$9/Industrial!$O$3</f>
        <v>8.6191924603755462E-3</v>
      </c>
    </row>
    <row r="115" spans="1:18">
      <c r="A115" s="36">
        <v>703</v>
      </c>
      <c r="B115" s="42" t="s">
        <v>160</v>
      </c>
      <c r="C115" s="918">
        <v>0.34853605163753809</v>
      </c>
      <c r="D115" s="918">
        <v>1.2691600005617918E-2</v>
      </c>
      <c r="E115" s="246">
        <v>8</v>
      </c>
      <c r="F115" s="246">
        <v>1</v>
      </c>
      <c r="G115" s="244"/>
      <c r="H115" s="245">
        <f t="shared" si="33"/>
        <v>0.34853605163753809</v>
      </c>
      <c r="I115" s="245">
        <f t="shared" si="34"/>
        <v>1.2691600005617918E-2</v>
      </c>
      <c r="J115" s="139">
        <v>2.8175352012471781E-3</v>
      </c>
      <c r="K115" s="143">
        <v>1</v>
      </c>
      <c r="L115" s="143">
        <v>0.34853605163753809</v>
      </c>
      <c r="M115" s="143">
        <f t="shared" si="35"/>
        <v>0.34853605163753809</v>
      </c>
      <c r="N115" s="143">
        <f t="shared" si="36"/>
        <v>1.2691600005617918E-2</v>
      </c>
      <c r="O115" s="143">
        <f>K115*J122</f>
        <v>5.959628656722081E-3</v>
      </c>
      <c r="P115" s="819">
        <f>M115*'Table ES-1 Refresh ''13'!$D$9/Industrial!$M$3</f>
        <v>0.32834479494270746</v>
      </c>
      <c r="Q115" s="819">
        <f>N115*'Table ES-1 Refresh ''13'!$G$9/Industrial!$N$3</f>
        <v>1.1450228440355672E-2</v>
      </c>
      <c r="R115" s="819">
        <f>O115*'Table ES-1 Refresh ''13'!$J$9/Industrial!$O$3</f>
        <v>5.139461277776888E-3</v>
      </c>
    </row>
    <row r="116" spans="1:18">
      <c r="A116" s="36">
        <v>704</v>
      </c>
      <c r="B116" s="42" t="s">
        <v>159</v>
      </c>
      <c r="C116" s="918">
        <v>1.7366595708188703</v>
      </c>
      <c r="D116" s="918">
        <v>0.31614804217892978</v>
      </c>
      <c r="E116" s="246">
        <v>8</v>
      </c>
      <c r="F116" s="246">
        <v>1</v>
      </c>
      <c r="G116" s="244"/>
      <c r="H116" s="245">
        <f t="shared" si="33"/>
        <v>1.7366595708188703</v>
      </c>
      <c r="I116" s="245">
        <f t="shared" si="34"/>
        <v>0.31614804217892978</v>
      </c>
      <c r="J116" s="139">
        <v>1.2645921687157191E-2</v>
      </c>
      <c r="K116" s="143">
        <v>1</v>
      </c>
      <c r="L116" s="143">
        <v>1.7366595708188703</v>
      </c>
      <c r="M116" s="143">
        <f t="shared" si="35"/>
        <v>1.7366595708188703</v>
      </c>
      <c r="N116" s="143">
        <f t="shared" si="36"/>
        <v>0.31614804217892978</v>
      </c>
      <c r="O116" s="143">
        <f>K116*J123</f>
        <v>3.7115442546405142E-2</v>
      </c>
      <c r="P116" s="819">
        <f>M116*'Table ES-1 Refresh ''13'!$D$9/Industrial!$M$3</f>
        <v>1.6360520754932375</v>
      </c>
      <c r="Q116" s="819">
        <f>N116*'Table ES-1 Refresh ''13'!$G$9/Industrial!$N$3</f>
        <v>0.28522544851063486</v>
      </c>
      <c r="R116" s="819">
        <f>O116*'Table ES-1 Refresh ''13'!$J$9/Industrial!$O$3</f>
        <v>3.200759489597467E-2</v>
      </c>
    </row>
    <row r="117" spans="1:18">
      <c r="A117" s="36">
        <v>705</v>
      </c>
      <c r="B117" s="42" t="s">
        <v>158</v>
      </c>
      <c r="C117" s="918">
        <v>2.9678586200700856</v>
      </c>
      <c r="D117" s="918">
        <v>0.10807167824163706</v>
      </c>
      <c r="E117" s="246">
        <v>8</v>
      </c>
      <c r="F117" s="246">
        <v>1</v>
      </c>
      <c r="G117" s="244"/>
      <c r="H117" s="245">
        <f t="shared" si="33"/>
        <v>2.9678586200700856</v>
      </c>
      <c r="I117" s="245">
        <f t="shared" si="34"/>
        <v>0.10807167824163706</v>
      </c>
      <c r="J117" s="139">
        <v>2.4208055926126702E-2</v>
      </c>
      <c r="K117" s="143">
        <v>1</v>
      </c>
      <c r="L117" s="143">
        <v>2.9678586200700856</v>
      </c>
      <c r="M117" s="143">
        <f t="shared" si="35"/>
        <v>2.9678586200700856</v>
      </c>
      <c r="N117" s="143">
        <f t="shared" si="36"/>
        <v>0.10807167824163706</v>
      </c>
      <c r="O117" s="143">
        <f t="shared" ref="O117:O123" si="37">K117*J126</f>
        <v>0</v>
      </c>
      <c r="P117" s="819">
        <f>M117*'Table ES-1 Refresh ''13'!$D$9/Industrial!$M$3</f>
        <v>2.7959257742417867</v>
      </c>
      <c r="Q117" s="819">
        <f>N117*'Table ES-1 Refresh ''13'!$G$9/Industrial!$N$3</f>
        <v>9.7501134864919042E-2</v>
      </c>
      <c r="R117" s="819">
        <f>O117*'Table ES-1 Refresh ''13'!$J$9/Industrial!$O$3</f>
        <v>0</v>
      </c>
    </row>
    <row r="118" spans="1:18">
      <c r="A118" s="36">
        <v>706</v>
      </c>
      <c r="B118" s="42" t="s">
        <v>284</v>
      </c>
      <c r="C118" s="918">
        <v>1.0965025246094828</v>
      </c>
      <c r="D118" s="918">
        <v>0.19961143279545451</v>
      </c>
      <c r="E118" s="246">
        <v>8</v>
      </c>
      <c r="F118" s="246">
        <v>1</v>
      </c>
      <c r="G118" s="244"/>
      <c r="H118" s="245">
        <f t="shared" si="33"/>
        <v>1.0965025246094828</v>
      </c>
      <c r="I118" s="245">
        <f t="shared" si="34"/>
        <v>0.19961143279545451</v>
      </c>
      <c r="J118" s="139">
        <v>8.8627476161181815E-3</v>
      </c>
      <c r="K118" s="143">
        <v>1</v>
      </c>
      <c r="L118" s="143">
        <v>1.0965025246094828</v>
      </c>
      <c r="M118" s="143">
        <f t="shared" si="35"/>
        <v>1.0965025246094828</v>
      </c>
      <c r="N118" s="143">
        <f t="shared" si="36"/>
        <v>0.19961143279545451</v>
      </c>
      <c r="O118" s="143">
        <f t="shared" si="37"/>
        <v>0</v>
      </c>
      <c r="P118" s="819">
        <f>M118*'Table ES-1 Refresh ''13'!$D$9/Industrial!$M$3</f>
        <v>1.0329803614447257</v>
      </c>
      <c r="Q118" s="819">
        <f>N118*'Table ES-1 Refresh ''13'!$G$9/Industrial!$N$3</f>
        <v>0.18008734153321426</v>
      </c>
      <c r="R118" s="819">
        <f>O118*'Table ES-1 Refresh ''13'!$J$9/Industrial!$O$3</f>
        <v>0</v>
      </c>
    </row>
    <row r="119" spans="1:18">
      <c r="A119" s="36">
        <v>707</v>
      </c>
      <c r="B119" s="42" t="s">
        <v>285</v>
      </c>
      <c r="C119" s="918">
        <v>3.7308338336215545</v>
      </c>
      <c r="D119" s="918">
        <v>0.67917385486540016</v>
      </c>
      <c r="E119" s="246">
        <v>8</v>
      </c>
      <c r="F119" s="246">
        <v>1</v>
      </c>
      <c r="G119" s="244"/>
      <c r="H119" s="245">
        <f t="shared" si="33"/>
        <v>3.7308338336215545</v>
      </c>
      <c r="I119" s="245">
        <f t="shared" si="34"/>
        <v>0.67917385486540016</v>
      </c>
      <c r="J119" s="139">
        <v>2.9883649614077606E-2</v>
      </c>
      <c r="K119" s="143">
        <v>1</v>
      </c>
      <c r="L119" s="143">
        <v>3.7308338336215545</v>
      </c>
      <c r="M119" s="143">
        <f t="shared" si="35"/>
        <v>3.7308338336215545</v>
      </c>
      <c r="N119" s="143">
        <f t="shared" si="36"/>
        <v>0.67917385486540016</v>
      </c>
      <c r="O119" s="143">
        <f t="shared" si="37"/>
        <v>0</v>
      </c>
      <c r="P119" s="819">
        <f>M119*'Table ES-1 Refresh ''13'!$D$9/Industrial!$M$3</f>
        <v>3.5147006007278971</v>
      </c>
      <c r="Q119" s="819">
        <f>N119*'Table ES-1 Refresh ''13'!$G$9/Industrial!$N$3</f>
        <v>0.61274353001067305</v>
      </c>
      <c r="R119" s="819">
        <f>O119*'Table ES-1 Refresh ''13'!$J$9/Industrial!$O$3</f>
        <v>0</v>
      </c>
    </row>
    <row r="120" spans="1:18">
      <c r="A120" s="36">
        <v>708</v>
      </c>
      <c r="B120" s="42" t="s">
        <v>286</v>
      </c>
      <c r="C120" s="918">
        <v>2.215506317865354</v>
      </c>
      <c r="D120" s="918">
        <v>0.40331916132207896</v>
      </c>
      <c r="E120" s="246">
        <v>8</v>
      </c>
      <c r="F120" s="246">
        <v>1</v>
      </c>
      <c r="G120" s="244"/>
      <c r="H120" s="245">
        <f t="shared" si="33"/>
        <v>2.215506317865354</v>
      </c>
      <c r="I120" s="245">
        <f t="shared" si="34"/>
        <v>0.40331916132207896</v>
      </c>
      <c r="J120" s="139">
        <v>1.7746043098171474E-2</v>
      </c>
      <c r="K120" s="143">
        <v>1</v>
      </c>
      <c r="L120" s="143">
        <v>2.215506317865354</v>
      </c>
      <c r="M120" s="143">
        <f t="shared" si="35"/>
        <v>2.215506317865354</v>
      </c>
      <c r="N120" s="143">
        <f t="shared" si="36"/>
        <v>0.40331916132207896</v>
      </c>
      <c r="O120" s="143">
        <f t="shared" si="37"/>
        <v>0</v>
      </c>
      <c r="P120" s="819">
        <f>M120*'Table ES-1 Refresh ''13'!$D$9/Industrial!$M$3</f>
        <v>2.0871584566818013</v>
      </c>
      <c r="Q120" s="819">
        <f>N120*'Table ES-1 Refresh ''13'!$G$9/Industrial!$N$3</f>
        <v>0.36387031812114096</v>
      </c>
      <c r="R120" s="819">
        <f>O120*'Table ES-1 Refresh ''13'!$J$9/Industrial!$O$3</f>
        <v>0</v>
      </c>
    </row>
    <row r="121" spans="1:18">
      <c r="A121" s="36">
        <v>709</v>
      </c>
      <c r="B121" s="42" t="s">
        <v>287</v>
      </c>
      <c r="C121" s="918">
        <v>1.2365434750765025</v>
      </c>
      <c r="D121" s="918">
        <v>0.22510503528250789</v>
      </c>
      <c r="E121" s="246">
        <v>8</v>
      </c>
      <c r="F121" s="246">
        <v>1</v>
      </c>
      <c r="G121" s="244"/>
      <c r="H121" s="245">
        <f t="shared" si="33"/>
        <v>1.2365434750765025</v>
      </c>
      <c r="I121" s="245">
        <f t="shared" si="34"/>
        <v>0.22510503528250789</v>
      </c>
      <c r="J121" s="139">
        <v>9.9946635665433513E-3</v>
      </c>
      <c r="K121" s="143">
        <v>1</v>
      </c>
      <c r="L121" s="143">
        <v>1.2365434750765025</v>
      </c>
      <c r="M121" s="143">
        <f t="shared" si="35"/>
        <v>1.2365434750765025</v>
      </c>
      <c r="N121" s="143">
        <f t="shared" si="36"/>
        <v>0.22510503528250789</v>
      </c>
      <c r="O121" s="143">
        <f t="shared" si="37"/>
        <v>0</v>
      </c>
      <c r="P121" s="819">
        <f>M121*'Table ES-1 Refresh ''13'!$D$9/Industrial!$M$3</f>
        <v>1.1649085133493509</v>
      </c>
      <c r="Q121" s="819">
        <f>N121*'Table ES-1 Refresh ''13'!$G$9/Industrial!$N$3</f>
        <v>0.20308740236992265</v>
      </c>
      <c r="R121" s="819">
        <f>O121*'Table ES-1 Refresh ''13'!$J$9/Industrial!$O$3</f>
        <v>0</v>
      </c>
    </row>
    <row r="122" spans="1:18">
      <c r="A122" s="36">
        <v>710</v>
      </c>
      <c r="B122" s="42" t="s">
        <v>288</v>
      </c>
      <c r="C122" s="918">
        <v>0.7440304276866696</v>
      </c>
      <c r="D122" s="918">
        <v>0.13544610583459277</v>
      </c>
      <c r="E122" s="246">
        <v>8</v>
      </c>
      <c r="F122" s="246">
        <v>1</v>
      </c>
      <c r="G122" s="244"/>
      <c r="H122" s="245">
        <f t="shared" si="33"/>
        <v>0.7440304276866696</v>
      </c>
      <c r="I122" s="245">
        <f t="shared" si="34"/>
        <v>0.13544610583459277</v>
      </c>
      <c r="J122" s="139">
        <v>5.959628656722081E-3</v>
      </c>
      <c r="K122" s="143">
        <v>1</v>
      </c>
      <c r="L122" s="143">
        <v>0.7440304276866696</v>
      </c>
      <c r="M122" s="143">
        <f t="shared" si="35"/>
        <v>0.7440304276866696</v>
      </c>
      <c r="N122" s="143">
        <f t="shared" si="36"/>
        <v>0.13544610583459277</v>
      </c>
      <c r="O122" s="143">
        <f t="shared" si="37"/>
        <v>0</v>
      </c>
      <c r="P122" s="819">
        <f>M122*'Table ES-1 Refresh ''13'!$D$9/Industrial!$M$3</f>
        <v>0.70092754268064639</v>
      </c>
      <c r="Q122" s="819">
        <f>N122*'Table ES-1 Refresh ''13'!$G$9/Industrial!$N$3</f>
        <v>0.12219805638975226</v>
      </c>
      <c r="R122" s="819">
        <f>O122*'Table ES-1 Refresh ''13'!$J$9/Industrial!$O$3</f>
        <v>0</v>
      </c>
    </row>
    <row r="123" spans="1:18">
      <c r="A123" s="36">
        <v>711</v>
      </c>
      <c r="B123" s="42" t="s">
        <v>156</v>
      </c>
      <c r="C123" s="918">
        <v>4.5919363590558895</v>
      </c>
      <c r="D123" s="918">
        <v>0.83593339068480044</v>
      </c>
      <c r="E123" s="246">
        <v>8</v>
      </c>
      <c r="F123" s="246">
        <v>1</v>
      </c>
      <c r="G123" s="244"/>
      <c r="H123" s="245">
        <f t="shared" si="33"/>
        <v>4.5919363590558895</v>
      </c>
      <c r="I123" s="245">
        <f t="shared" si="34"/>
        <v>0.83593339068480044</v>
      </c>
      <c r="J123" s="139">
        <v>3.7115442546405142E-2</v>
      </c>
      <c r="K123" s="143">
        <v>1</v>
      </c>
      <c r="L123" s="143">
        <v>4.5919363590558895</v>
      </c>
      <c r="M123" s="143">
        <f t="shared" si="35"/>
        <v>4.5919363590558895</v>
      </c>
      <c r="N123" s="143">
        <f t="shared" si="36"/>
        <v>0.83593339068480044</v>
      </c>
      <c r="O123" s="143">
        <f t="shared" si="37"/>
        <v>0</v>
      </c>
      <c r="P123" s="819">
        <f>M123*'Table ES-1 Refresh ''13'!$D$9/Industrial!$M$3</f>
        <v>4.3259180653488016</v>
      </c>
      <c r="Q123" s="819">
        <f>N123*'Table ES-1 Refresh ''13'!$G$9/Industrial!$N$3</f>
        <v>0.75417033943909229</v>
      </c>
      <c r="R123" s="819">
        <f>O123*'Table ES-1 Refresh ''13'!$J$9/Industrial!$O$3</f>
        <v>0</v>
      </c>
    </row>
    <row r="124" spans="1:18">
      <c r="A124" s="409"/>
      <c r="B124" s="410" t="s">
        <v>310</v>
      </c>
      <c r="C124" s="918"/>
      <c r="D124" s="918"/>
      <c r="E124" s="246"/>
      <c r="F124" s="246"/>
      <c r="G124" s="244"/>
      <c r="H124" s="245"/>
      <c r="I124" s="245"/>
      <c r="K124" s="143"/>
      <c r="L124" s="143"/>
      <c r="M124" s="143"/>
      <c r="N124" s="143"/>
      <c r="O124" s="143"/>
      <c r="P124" s="819">
        <f>M124*'Table ES-1 Refresh ''13'!$D$9/Industrial!$M$3</f>
        <v>0</v>
      </c>
      <c r="Q124" s="819">
        <f>N124*'Table ES-1 Refresh ''13'!$G$9/Industrial!$N$3</f>
        <v>0</v>
      </c>
      <c r="R124" s="819">
        <f>O124*'Table ES-1 Refresh ''13'!$J$9/Industrial!$O$3</f>
        <v>0</v>
      </c>
    </row>
    <row r="125" spans="1:18">
      <c r="A125" s="402" t="s">
        <v>441</v>
      </c>
      <c r="B125" s="404" t="s">
        <v>440</v>
      </c>
      <c r="C125" s="918"/>
      <c r="D125" s="918"/>
      <c r="E125" s="246"/>
      <c r="F125" s="246"/>
      <c r="G125" s="244"/>
      <c r="H125" s="245"/>
      <c r="I125" s="245"/>
      <c r="K125" s="143">
        <v>1</v>
      </c>
      <c r="L125" s="143">
        <v>10</v>
      </c>
      <c r="M125" s="143">
        <v>10</v>
      </c>
      <c r="N125" s="143">
        <v>0</v>
      </c>
      <c r="O125" s="143">
        <v>0.43</v>
      </c>
      <c r="P125" s="819">
        <f>M125*'Table ES-1 Refresh ''13'!$D$9/Industrial!$M$3</f>
        <v>9.4206838403096214</v>
      </c>
      <c r="Q125" s="819">
        <f>N125*'Table ES-1 Refresh ''13'!$G$9/Industrial!$N$3</f>
        <v>0</v>
      </c>
      <c r="R125" s="819">
        <f>O125*'Table ES-1 Refresh ''13'!$J$9/Industrial!$O$3</f>
        <v>0.37082316310956032</v>
      </c>
    </row>
    <row r="126" spans="1:18">
      <c r="A126" s="407">
        <v>722</v>
      </c>
      <c r="B126" s="408" t="s">
        <v>152</v>
      </c>
      <c r="C126" s="918">
        <v>24.395410346910761</v>
      </c>
      <c r="D126" s="918">
        <v>4.3938718712092832</v>
      </c>
      <c r="E126" s="246">
        <v>8</v>
      </c>
      <c r="F126" s="246">
        <v>2</v>
      </c>
      <c r="G126" s="244"/>
      <c r="H126" s="245">
        <f t="shared" ref="H126:H135" si="38">IF(AND(F126=2,E126&gt;10),C126*10/E126,C126)</f>
        <v>24.395410346910761</v>
      </c>
      <c r="I126" s="245">
        <f t="shared" ref="I126:I135" si="39">IF(AND(F126=2,E126&gt;10),D126*10/E126,D126)</f>
        <v>4.3938718712092832</v>
      </c>
      <c r="J126" s="139">
        <v>0</v>
      </c>
      <c r="K126" s="143">
        <v>0.92</v>
      </c>
      <c r="L126" s="143">
        <v>24.395410346910761</v>
      </c>
      <c r="M126" s="143">
        <f t="shared" ref="M126:M135" si="40">L126*K126</f>
        <v>22.443777519157901</v>
      </c>
      <c r="N126" s="143">
        <f t="shared" ref="N126:N135" si="41">K126*I126</f>
        <v>4.0423621215125412</v>
      </c>
      <c r="O126" s="143">
        <f>K126*J134</f>
        <v>0</v>
      </c>
      <c r="P126" s="819">
        <f>M126*'Table ES-1 Refresh ''13'!$D$9/Industrial!$M$3</f>
        <v>21.143573219023519</v>
      </c>
      <c r="Q126" s="819">
        <f>N126*'Table ES-1 Refresh ''13'!$G$9/Industrial!$N$3</f>
        <v>3.6469767176298475</v>
      </c>
      <c r="R126" s="819">
        <f>O126*'Table ES-1 Refresh ''13'!$J$9/Industrial!$O$3</f>
        <v>0</v>
      </c>
    </row>
    <row r="127" spans="1:18">
      <c r="A127" s="400">
        <v>723</v>
      </c>
      <c r="B127" s="401" t="s">
        <v>146</v>
      </c>
      <c r="C127" s="918">
        <v>3.8944140504424678</v>
      </c>
      <c r="D127" s="918">
        <v>0.70072835352915952</v>
      </c>
      <c r="E127" s="246">
        <v>8</v>
      </c>
      <c r="F127" s="246">
        <v>2</v>
      </c>
      <c r="G127" s="244"/>
      <c r="H127" s="245">
        <f t="shared" si="38"/>
        <v>3.8944140504424678</v>
      </c>
      <c r="I127" s="245">
        <f t="shared" si="39"/>
        <v>0.70072835352915952</v>
      </c>
      <c r="J127" s="139">
        <v>0</v>
      </c>
      <c r="K127" s="143">
        <f>(11.2-13)/(10.3-13)</f>
        <v>0.66666666666666707</v>
      </c>
      <c r="L127" s="143">
        <v>3.8944140504424678</v>
      </c>
      <c r="M127" s="143">
        <f t="shared" si="40"/>
        <v>2.5962760336283135</v>
      </c>
      <c r="N127" s="143">
        <f t="shared" si="41"/>
        <v>0.46715223568610664</v>
      </c>
      <c r="O127" s="143">
        <f>K127*J135</f>
        <v>0</v>
      </c>
      <c r="P127" s="819">
        <f>M127*'Table ES-1 Refresh ''13'!$D$9/Industrial!$M$3</f>
        <v>2.4458695674985411</v>
      </c>
      <c r="Q127" s="819">
        <f>N127*'Table ES-1 Refresh ''13'!$G$9/Industrial!$N$3</f>
        <v>0.42145984845575557</v>
      </c>
      <c r="R127" s="819">
        <f>O127*'Table ES-1 Refresh ''13'!$J$9/Industrial!$O$3</f>
        <v>0</v>
      </c>
    </row>
    <row r="128" spans="1:18">
      <c r="A128" s="407">
        <v>724</v>
      </c>
      <c r="B128" s="408" t="s">
        <v>151</v>
      </c>
      <c r="C128" s="918">
        <v>1.3713485385668567</v>
      </c>
      <c r="D128" s="918">
        <v>0.2469485375038861</v>
      </c>
      <c r="E128" s="246">
        <v>8</v>
      </c>
      <c r="F128" s="246">
        <v>1</v>
      </c>
      <c r="G128" s="244"/>
      <c r="H128" s="245">
        <f t="shared" si="38"/>
        <v>1.3713485385668567</v>
      </c>
      <c r="I128" s="245">
        <f t="shared" si="39"/>
        <v>0.2469485375038861</v>
      </c>
      <c r="J128" s="139">
        <v>0</v>
      </c>
      <c r="K128" s="143">
        <v>0.92</v>
      </c>
      <c r="L128" s="143">
        <v>1.3713485385668567</v>
      </c>
      <c r="M128" s="143">
        <f t="shared" si="40"/>
        <v>1.2616406554815083</v>
      </c>
      <c r="N128" s="143">
        <f t="shared" si="41"/>
        <v>0.22719265450357523</v>
      </c>
      <c r="O128" s="143">
        <f>K128*J137</f>
        <v>0</v>
      </c>
      <c r="P128" s="819">
        <f>M128*'Table ES-1 Refresh ''13'!$D$9/Industrial!$M$3</f>
        <v>1.1885517735372282</v>
      </c>
      <c r="Q128" s="819">
        <f>N128*'Table ES-1 Refresh ''13'!$G$9/Industrial!$N$3</f>
        <v>0.20497083054029658</v>
      </c>
      <c r="R128" s="819">
        <f>O128*'Table ES-1 Refresh ''13'!$J$9/Industrial!$O$3</f>
        <v>0</v>
      </c>
    </row>
    <row r="129" spans="1:18">
      <c r="A129" s="407">
        <v>725</v>
      </c>
      <c r="B129" s="408" t="s">
        <v>150</v>
      </c>
      <c r="C129" s="918">
        <v>2.6843829660317313</v>
      </c>
      <c r="D129" s="918">
        <v>0.4834856417500687</v>
      </c>
      <c r="E129" s="246">
        <v>8</v>
      </c>
      <c r="F129" s="246">
        <v>1</v>
      </c>
      <c r="G129" s="244"/>
      <c r="H129" s="245">
        <f t="shared" si="38"/>
        <v>2.6843829660317313</v>
      </c>
      <c r="I129" s="245">
        <f t="shared" si="39"/>
        <v>0.4834856417500687</v>
      </c>
      <c r="J129" s="139">
        <v>0</v>
      </c>
      <c r="K129" s="143">
        <v>0.92</v>
      </c>
      <c r="L129" s="143">
        <v>2.6843829660317313</v>
      </c>
      <c r="M129" s="143">
        <f t="shared" si="40"/>
        <v>2.469632328749193</v>
      </c>
      <c r="N129" s="143">
        <f t="shared" si="41"/>
        <v>0.44480679041006321</v>
      </c>
      <c r="O129" s="143">
        <f>K129*J138</f>
        <v>5.3676481929658149</v>
      </c>
      <c r="P129" s="819">
        <f>M129*'Table ES-1 Refresh ''13'!$D$9/Industrial!$M$3</f>
        <v>2.326562537095374</v>
      </c>
      <c r="Q129" s="819">
        <f>N129*'Table ES-1 Refresh ''13'!$G$9/Industrial!$N$3</f>
        <v>0.40130002204309623</v>
      </c>
      <c r="R129" s="819">
        <f>O129*'Table ES-1 Refresh ''13'!$J$9/Industrial!$O$3</f>
        <v>4.6289494915695322</v>
      </c>
    </row>
    <row r="130" spans="1:18">
      <c r="A130" s="407">
        <v>726</v>
      </c>
      <c r="B130" s="408" t="s">
        <v>149</v>
      </c>
      <c r="C130" s="918">
        <v>1.0302962997057019</v>
      </c>
      <c r="D130" s="918">
        <v>0.18728451829473122</v>
      </c>
      <c r="E130" s="246">
        <v>8</v>
      </c>
      <c r="F130" s="246">
        <v>1</v>
      </c>
      <c r="G130" s="244"/>
      <c r="H130" s="245">
        <f t="shared" si="38"/>
        <v>1.0302962997057019</v>
      </c>
      <c r="I130" s="245">
        <f t="shared" si="39"/>
        <v>0.18728451829473122</v>
      </c>
      <c r="J130" s="139">
        <v>0</v>
      </c>
      <c r="K130" s="143">
        <v>0.92</v>
      </c>
      <c r="L130" s="143">
        <v>1.0302962997057019</v>
      </c>
      <c r="M130" s="143">
        <f t="shared" si="40"/>
        <v>0.94787259572924576</v>
      </c>
      <c r="N130" s="143">
        <f t="shared" si="41"/>
        <v>0.17230175683115273</v>
      </c>
      <c r="O130" s="143">
        <f>K130*J139</f>
        <v>0.74391547448765705</v>
      </c>
      <c r="P130" s="819">
        <f>M130*'Table ES-1 Refresh ''13'!$D$9/Industrial!$M$3</f>
        <v>0.892960804525884</v>
      </c>
      <c r="Q130" s="819">
        <f>N130*'Table ES-1 Refresh ''13'!$G$9/Industrial!$N$3</f>
        <v>0.15544883824876402</v>
      </c>
      <c r="R130" s="819">
        <f>O130*'Table ES-1 Refresh ''13'!$J$9/Industrial!$O$3</f>
        <v>0.64153741705968004</v>
      </c>
    </row>
    <row r="131" spans="1:18">
      <c r="A131" s="407">
        <v>727</v>
      </c>
      <c r="B131" s="408" t="s">
        <v>145</v>
      </c>
      <c r="C131" s="918">
        <v>5.5797735003486677</v>
      </c>
      <c r="D131" s="918">
        <v>1.0144756468877756</v>
      </c>
      <c r="E131" s="246">
        <v>8</v>
      </c>
      <c r="F131" s="246">
        <v>1</v>
      </c>
      <c r="G131" s="244"/>
      <c r="H131" s="245">
        <f t="shared" si="38"/>
        <v>5.5797735003486677</v>
      </c>
      <c r="I131" s="245">
        <f t="shared" si="39"/>
        <v>1.0144756468877756</v>
      </c>
      <c r="J131" s="139">
        <v>0</v>
      </c>
      <c r="K131" s="143">
        <v>0.92</v>
      </c>
      <c r="L131" s="143">
        <v>5.5797735003486677</v>
      </c>
      <c r="M131" s="143">
        <f t="shared" si="40"/>
        <v>5.1333916203207748</v>
      </c>
      <c r="N131" s="143">
        <f t="shared" si="41"/>
        <v>0.93331759513675361</v>
      </c>
      <c r="O131" s="143">
        <f>K131*J140</f>
        <v>0.95751746748990285</v>
      </c>
      <c r="P131" s="819">
        <f>M131*'Table ES-1 Refresh ''13'!$D$9/Industrial!$M$3</f>
        <v>4.8360059483536748</v>
      </c>
      <c r="Q131" s="819">
        <f>N131*'Table ES-1 Refresh ''13'!$G$9/Industrial!$N$3</f>
        <v>0.84202934752030989</v>
      </c>
      <c r="R131" s="819">
        <f>O131*'Table ES-1 Refresh ''13'!$J$9/Industrial!$O$3</f>
        <v>0.82574338610991005</v>
      </c>
    </row>
    <row r="132" spans="1:18">
      <c r="A132" s="407">
        <v>728</v>
      </c>
      <c r="B132" s="408" t="s">
        <v>144</v>
      </c>
      <c r="C132" s="918">
        <v>3.2069153788471683</v>
      </c>
      <c r="D132" s="918">
        <v>0.58261260855360275</v>
      </c>
      <c r="E132" s="246">
        <v>8</v>
      </c>
      <c r="F132" s="246">
        <v>1</v>
      </c>
      <c r="G132" s="244"/>
      <c r="H132" s="245">
        <f t="shared" si="38"/>
        <v>3.2069153788471683</v>
      </c>
      <c r="I132" s="245">
        <f t="shared" si="39"/>
        <v>0.58261260855360275</v>
      </c>
      <c r="J132" s="139">
        <v>0</v>
      </c>
      <c r="K132" s="143">
        <v>0.92</v>
      </c>
      <c r="L132" s="143">
        <v>3.2069153788471683</v>
      </c>
      <c r="M132" s="143">
        <f t="shared" si="40"/>
        <v>2.9503621485393947</v>
      </c>
      <c r="N132" s="143">
        <f t="shared" si="41"/>
        <v>0.53600359986931456</v>
      </c>
      <c r="O132" s="143">
        <f>K132*J141</f>
        <v>0.50686654311803714</v>
      </c>
      <c r="P132" s="819">
        <f>M132*'Table ES-1 Refresh ''13'!$D$9/Industrial!$M$3</f>
        <v>2.7794429015806248</v>
      </c>
      <c r="Q132" s="819">
        <f>N132*'Table ES-1 Refresh ''13'!$G$9/Industrial!$N$3</f>
        <v>0.48357682724321222</v>
      </c>
      <c r="R132" s="819">
        <f>O132*'Table ES-1 Refresh ''13'!$J$9/Industrial!$O$3</f>
        <v>0.43711129021729966</v>
      </c>
    </row>
    <row r="133" spans="1:18">
      <c r="A133" s="407">
        <v>729</v>
      </c>
      <c r="B133" s="408" t="s">
        <v>143</v>
      </c>
      <c r="C133" s="918">
        <v>1.7105957251081689</v>
      </c>
      <c r="D133" s="918">
        <v>0.31091475525633333</v>
      </c>
      <c r="E133" s="246">
        <v>8</v>
      </c>
      <c r="F133" s="246">
        <v>1</v>
      </c>
      <c r="G133" s="244"/>
      <c r="H133" s="245">
        <f t="shared" si="38"/>
        <v>1.7105957251081689</v>
      </c>
      <c r="I133" s="245">
        <f t="shared" si="39"/>
        <v>0.31091475525633333</v>
      </c>
      <c r="J133" s="139">
        <v>0</v>
      </c>
      <c r="K133" s="143">
        <v>0.92</v>
      </c>
      <c r="L133" s="143">
        <v>1.7105957251081689</v>
      </c>
      <c r="M133" s="143">
        <f t="shared" si="40"/>
        <v>1.5737480670995154</v>
      </c>
      <c r="N133" s="143">
        <f t="shared" si="41"/>
        <v>0.28604157483582665</v>
      </c>
      <c r="O133" s="143">
        <f>K133*J143</f>
        <v>0.87264300150820961</v>
      </c>
      <c r="P133" s="819">
        <f>M133*'Table ES-1 Refresh ''13'!$D$9/Industrial!$M$3</f>
        <v>1.4825782984442906</v>
      </c>
      <c r="Q133" s="819">
        <f>N133*'Table ES-1 Refresh ''13'!$G$9/Industrial!$N$3</f>
        <v>0.25806370937151557</v>
      </c>
      <c r="R133" s="819">
        <f>O133*'Table ES-1 Refresh ''13'!$J$9/Industrial!$O$3</f>
        <v>0.75254939089463968</v>
      </c>
    </row>
    <row r="134" spans="1:18">
      <c r="A134" s="407">
        <v>730</v>
      </c>
      <c r="B134" s="408" t="s">
        <v>141</v>
      </c>
      <c r="C134" s="918">
        <v>1.1269822868644981</v>
      </c>
      <c r="D134" s="918">
        <v>0.20484962084061012</v>
      </c>
      <c r="E134" s="246">
        <v>8</v>
      </c>
      <c r="F134" s="246">
        <v>1</v>
      </c>
      <c r="G134" s="244"/>
      <c r="H134" s="245">
        <f t="shared" si="38"/>
        <v>1.1269822868644981</v>
      </c>
      <c r="I134" s="245">
        <f t="shared" si="39"/>
        <v>0.20484962084061012</v>
      </c>
      <c r="J134" s="139">
        <v>0</v>
      </c>
      <c r="K134" s="143">
        <v>0.92</v>
      </c>
      <c r="L134" s="143">
        <v>1.1269822868644981</v>
      </c>
      <c r="M134" s="143">
        <f t="shared" si="40"/>
        <v>1.0368237039153383</v>
      </c>
      <c r="N134" s="143">
        <f t="shared" si="41"/>
        <v>0.18846165117336131</v>
      </c>
      <c r="O134" s="143">
        <f>K134*J144</f>
        <v>4.5461246960785805E-3</v>
      </c>
      <c r="P134" s="819">
        <f>M134*'Table ES-1 Refresh ''13'!$D$9/Industrial!$M$3</f>
        <v>0.9767588312725195</v>
      </c>
      <c r="Q134" s="819">
        <f>N134*'Table ES-1 Refresh ''13'!$G$9/Industrial!$N$3</f>
        <v>0.17002812547089474</v>
      </c>
      <c r="R134" s="819">
        <f>O134*'Table ES-1 Refresh ''13'!$J$9/Industrial!$O$3</f>
        <v>3.9204845109077858E-3</v>
      </c>
    </row>
    <row r="135" spans="1:18">
      <c r="A135" s="407">
        <v>731</v>
      </c>
      <c r="B135" s="408" t="s">
        <v>140</v>
      </c>
      <c r="C135" s="918">
        <v>6.7723327808586449</v>
      </c>
      <c r="D135" s="918">
        <v>1.2308189854391625</v>
      </c>
      <c r="E135" s="246">
        <v>8</v>
      </c>
      <c r="F135" s="246">
        <v>1</v>
      </c>
      <c r="G135" s="244"/>
      <c r="H135" s="245">
        <f t="shared" si="38"/>
        <v>6.7723327808586449</v>
      </c>
      <c r="I135" s="245">
        <f t="shared" si="39"/>
        <v>1.2308189854391625</v>
      </c>
      <c r="J135" s="139">
        <v>0</v>
      </c>
      <c r="K135" s="143">
        <v>0.92</v>
      </c>
      <c r="L135" s="143">
        <v>6.7723327808586449</v>
      </c>
      <c r="M135" s="143">
        <f t="shared" si="40"/>
        <v>6.230546158389954</v>
      </c>
      <c r="N135" s="143">
        <f t="shared" si="41"/>
        <v>1.1323534666040296</v>
      </c>
      <c r="O135" s="143">
        <f>K135*J145</f>
        <v>0</v>
      </c>
      <c r="P135" s="819">
        <f>M135*'Table ES-1 Refresh ''13'!$D$9/Industrial!$M$3</f>
        <v>5.8696005510647424</v>
      </c>
      <c r="Q135" s="819">
        <f>N135*'Table ES-1 Refresh ''13'!$G$9/Industrial!$N$3</f>
        <v>1.0215974236586045</v>
      </c>
      <c r="R135" s="819">
        <f>O135*'Table ES-1 Refresh ''13'!$J$9/Industrial!$O$3</f>
        <v>0</v>
      </c>
    </row>
    <row r="136" spans="1:18">
      <c r="A136" s="402">
        <v>800</v>
      </c>
      <c r="B136" s="403" t="s">
        <v>300</v>
      </c>
      <c r="C136" s="918"/>
      <c r="D136" s="918"/>
      <c r="E136" s="246"/>
      <c r="F136" s="246"/>
      <c r="G136" s="244"/>
      <c r="H136" s="245"/>
      <c r="I136" s="245"/>
      <c r="K136" s="143"/>
      <c r="L136" s="143"/>
      <c r="M136" s="143"/>
      <c r="N136" s="143"/>
      <c r="O136" s="143"/>
      <c r="P136" s="819">
        <f>M136*'Table ES-1 Refresh ''13'!$D$9/Industrial!$M$3</f>
        <v>0</v>
      </c>
      <c r="Q136" s="819">
        <f>N136*'Table ES-1 Refresh ''13'!$G$9/Industrial!$N$3</f>
        <v>0</v>
      </c>
      <c r="R136" s="819">
        <f>O136*'Table ES-1 Refresh ''13'!$J$9/Industrial!$O$3</f>
        <v>0</v>
      </c>
    </row>
    <row r="137" spans="1:18">
      <c r="A137" s="400">
        <v>801</v>
      </c>
      <c r="B137" s="401" t="s">
        <v>186</v>
      </c>
      <c r="C137" s="918">
        <v>45.226673195894776</v>
      </c>
      <c r="D137" s="918">
        <v>6.555505853646574</v>
      </c>
      <c r="E137" s="246">
        <v>9</v>
      </c>
      <c r="F137" s="246">
        <v>1</v>
      </c>
      <c r="G137" s="244"/>
      <c r="H137" s="245">
        <f>IF(AND(F137=2,E137&gt;10),C137*10/E137,C137)</f>
        <v>45.226673195894776</v>
      </c>
      <c r="I137" s="245">
        <f>IF(AND(F137=2,E137&gt;10),D137*10/E137,D137)</f>
        <v>6.555505853646574</v>
      </c>
      <c r="J137" s="139">
        <v>0</v>
      </c>
      <c r="K137" s="143">
        <v>0.67</v>
      </c>
      <c r="L137" s="143">
        <v>45.226673195894776</v>
      </c>
      <c r="M137" s="143">
        <f t="shared" ref="M137:M141" si="42">L137*K137</f>
        <v>30.301871041249502</v>
      </c>
      <c r="N137" s="143">
        <f t="shared" ref="N137:N141" si="43">K137*I137</f>
        <v>4.3921889219432044</v>
      </c>
      <c r="O137" s="143">
        <f>K137*J147</f>
        <v>0</v>
      </c>
      <c r="P137" s="819">
        <f>M137*'Table ES-1 Refresh ''13'!$D$9/Industrial!$M$3</f>
        <v>28.546434684944522</v>
      </c>
      <c r="Q137" s="819">
        <f>N137*'Table ES-1 Refresh ''13'!$G$9/Industrial!$N$3</f>
        <v>3.9625867886781583</v>
      </c>
      <c r="R137" s="819">
        <f>O137*'Table ES-1 Refresh ''13'!$J$9/Industrial!$O$3</f>
        <v>0</v>
      </c>
    </row>
    <row r="138" spans="1:18">
      <c r="A138" s="407">
        <v>802</v>
      </c>
      <c r="B138" s="408" t="s">
        <v>175</v>
      </c>
      <c r="C138" s="918">
        <v>6.4128178555350468</v>
      </c>
      <c r="D138" s="918">
        <v>0.90854356923260515</v>
      </c>
      <c r="E138" s="246">
        <v>9</v>
      </c>
      <c r="F138" s="246">
        <v>1</v>
      </c>
      <c r="G138" s="244"/>
      <c r="H138" s="245">
        <f>IF(AND(F138=2,E138&gt;10),C138*10/E138,C138)</f>
        <v>6.4128178555350468</v>
      </c>
      <c r="I138" s="245">
        <f>IF(AND(F138=2,E138&gt;10),D138*10/E138,D138)</f>
        <v>0.90854356923260515</v>
      </c>
      <c r="J138" s="139">
        <v>5.8344002097454508</v>
      </c>
      <c r="K138" s="143">
        <v>0.61</v>
      </c>
      <c r="L138" s="143">
        <v>3.42</v>
      </c>
      <c r="M138" s="143">
        <f t="shared" si="42"/>
        <v>2.0861999999999998</v>
      </c>
      <c r="N138" s="143">
        <f t="shared" si="43"/>
        <v>0.55421157723188919</v>
      </c>
      <c r="O138" s="143">
        <f>K138*J148</f>
        <v>0</v>
      </c>
      <c r="P138" s="819">
        <f>M138*'Table ES-1 Refresh ''13'!$D$9/Industrial!$M$3</f>
        <v>1.9653430627653929</v>
      </c>
      <c r="Q138" s="819">
        <f>N138*'Table ES-1 Refresh ''13'!$G$9/Industrial!$N$3</f>
        <v>0.50000387349002262</v>
      </c>
      <c r="R138" s="819">
        <f>O138*'Table ES-1 Refresh ''13'!$J$9/Industrial!$O$3</f>
        <v>0</v>
      </c>
    </row>
    <row r="139" spans="1:18">
      <c r="A139" s="407">
        <v>803</v>
      </c>
      <c r="B139" s="408" t="s">
        <v>177</v>
      </c>
      <c r="C139" s="918">
        <v>8.2633808565590741</v>
      </c>
      <c r="D139" s="918">
        <v>1.169415568502568</v>
      </c>
      <c r="E139" s="246">
        <v>9</v>
      </c>
      <c r="F139" s="246">
        <v>1</v>
      </c>
      <c r="G139" s="244"/>
      <c r="H139" s="245">
        <f>IF(AND(F139=2,E139&gt;10),C139*10/E139,C139)</f>
        <v>8.2633808565590741</v>
      </c>
      <c r="I139" s="245">
        <f>IF(AND(F139=2,E139&gt;10),D139*10/E139,D139)</f>
        <v>1.169415568502568</v>
      </c>
      <c r="J139" s="139">
        <v>0.80860377661701854</v>
      </c>
      <c r="K139" s="143">
        <v>0.61</v>
      </c>
      <c r="L139" s="143">
        <v>4.41</v>
      </c>
      <c r="M139" s="143">
        <f t="shared" si="42"/>
        <v>2.6901000000000002</v>
      </c>
      <c r="N139" s="143">
        <f t="shared" si="43"/>
        <v>0.7133434967865665</v>
      </c>
      <c r="O139" s="143">
        <f>K139*J149</f>
        <v>0</v>
      </c>
      <c r="P139" s="819">
        <f>M139*'Table ES-1 Refresh ''13'!$D$9/Industrial!$M$3</f>
        <v>2.5342581598816913</v>
      </c>
      <c r="Q139" s="819">
        <f>N139*'Table ES-1 Refresh ''13'!$G$9/Industrial!$N$3</f>
        <v>0.64357102264748178</v>
      </c>
      <c r="R139" s="819">
        <f>O139*'Table ES-1 Refresh ''13'!$J$9/Industrial!$O$3</f>
        <v>0</v>
      </c>
    </row>
    <row r="140" spans="1:18">
      <c r="A140" s="407">
        <v>804</v>
      </c>
      <c r="B140" s="408" t="s">
        <v>170</v>
      </c>
      <c r="C140" s="918">
        <v>4.4791594304413023</v>
      </c>
      <c r="D140" s="918">
        <v>0.61903583673429052</v>
      </c>
      <c r="E140" s="246">
        <v>9</v>
      </c>
      <c r="F140" s="246">
        <v>1</v>
      </c>
      <c r="G140" s="244"/>
      <c r="H140" s="245">
        <f>IF(AND(F140=2,E140&gt;10),C140*10/E140,C140)</f>
        <v>4.4791594304413023</v>
      </c>
      <c r="I140" s="245">
        <f>IF(AND(F140=2,E140&gt;10),D140*10/E140,D140)</f>
        <v>0.61903583673429052</v>
      </c>
      <c r="J140" s="139">
        <v>1.0407798559672856</v>
      </c>
      <c r="K140" s="143">
        <v>1</v>
      </c>
      <c r="L140" s="143">
        <v>4.4791594304413023</v>
      </c>
      <c r="M140" s="143">
        <f t="shared" si="42"/>
        <v>4.4791594304413023</v>
      </c>
      <c r="N140" s="143">
        <f t="shared" si="43"/>
        <v>0.61903583673429052</v>
      </c>
      <c r="O140" s="143">
        <f>K140*J150</f>
        <v>0</v>
      </c>
      <c r="P140" s="819">
        <f>M140*'Table ES-1 Refresh ''13'!$D$9/Industrial!$M$3</f>
        <v>4.2196744864528819</v>
      </c>
      <c r="Q140" s="819">
        <f>N140*'Table ES-1 Refresh ''13'!$G$9/Industrial!$N$3</f>
        <v>0.55848764066286405</v>
      </c>
      <c r="R140" s="819">
        <f>O140*'Table ES-1 Refresh ''13'!$J$9/Industrial!$O$3</f>
        <v>0</v>
      </c>
    </row>
    <row r="141" spans="1:18">
      <c r="A141" s="407">
        <v>805</v>
      </c>
      <c r="B141" s="408" t="s">
        <v>180</v>
      </c>
      <c r="C141" s="918">
        <v>7.3960874524434335</v>
      </c>
      <c r="D141" s="918">
        <v>0.21363175712598156</v>
      </c>
      <c r="E141" s="246">
        <v>10</v>
      </c>
      <c r="F141" s="246">
        <v>1</v>
      </c>
      <c r="G141" s="244"/>
      <c r="H141" s="245">
        <f>IF(AND(F141=2,E141&gt;10),C141*10/E141,C141)</f>
        <v>7.3960874524434335</v>
      </c>
      <c r="I141" s="245">
        <f>IF(AND(F141=2,E141&gt;10),D141*10/E141,D141)</f>
        <v>0.21363175712598156</v>
      </c>
      <c r="J141" s="139">
        <v>0.55094189469351862</v>
      </c>
      <c r="K141" s="143">
        <v>0.94</v>
      </c>
      <c r="L141" s="143">
        <v>7.3960874524434335</v>
      </c>
      <c r="M141" s="143">
        <f t="shared" si="42"/>
        <v>6.9523222052968272</v>
      </c>
      <c r="N141" s="143">
        <f t="shared" si="43"/>
        <v>0.20081385169842267</v>
      </c>
      <c r="O141" s="143">
        <f>K141*J151</f>
        <v>0</v>
      </c>
      <c r="P141" s="819">
        <f>M141*'Table ES-1 Refresh ''13'!$D$9/Industrial!$M$3</f>
        <v>6.5495629452065574</v>
      </c>
      <c r="Q141" s="819">
        <f>N141*'Table ES-1 Refresh ''13'!$G$9/Industrial!$N$3</f>
        <v>0.18117215125885114</v>
      </c>
      <c r="R141" s="819">
        <f>O141*'Table ES-1 Refresh ''13'!$J$9/Industrial!$O$3</f>
        <v>0</v>
      </c>
    </row>
    <row r="142" spans="1:18">
      <c r="A142" s="402">
        <v>900</v>
      </c>
      <c r="B142" s="403" t="s">
        <v>290</v>
      </c>
      <c r="C142" s="919"/>
      <c r="D142" s="919"/>
      <c r="E142" s="153"/>
      <c r="F142" s="153"/>
      <c r="K142" s="143"/>
      <c r="L142" s="143"/>
      <c r="M142" s="143"/>
      <c r="N142" s="143"/>
      <c r="O142" s="143"/>
      <c r="P142" s="819">
        <f>M142*'Table ES-1 Refresh ''13'!$D$9/Industrial!$M$3</f>
        <v>0</v>
      </c>
      <c r="Q142" s="819">
        <f>N142*'Table ES-1 Refresh ''13'!$G$9/Industrial!$N$3</f>
        <v>0</v>
      </c>
      <c r="R142" s="819">
        <f>O142*'Table ES-1 Refresh ''13'!$J$9/Industrial!$O$3</f>
        <v>0</v>
      </c>
    </row>
    <row r="143" spans="1:18">
      <c r="A143" s="35">
        <v>901</v>
      </c>
      <c r="B143" s="41" t="s">
        <v>291</v>
      </c>
      <c r="C143" s="918">
        <v>3.8178514091377701E-2</v>
      </c>
      <c r="D143" s="918">
        <v>5.5521796483617254E-3</v>
      </c>
      <c r="E143" s="246">
        <v>10</v>
      </c>
      <c r="F143" s="246">
        <v>2</v>
      </c>
      <c r="G143" s="244"/>
      <c r="H143" s="245">
        <f>IF(AND(F143=2,E143&gt;10),C143*10/E143,C143)</f>
        <v>3.8178514091377701E-2</v>
      </c>
      <c r="I143" s="245">
        <f>IF(AND(F143=2,E143&gt;10),D143*10/E143,D143)</f>
        <v>5.5521796483617254E-3</v>
      </c>
      <c r="J143" s="139">
        <v>0.94852500163935827</v>
      </c>
      <c r="K143" s="143">
        <v>1</v>
      </c>
      <c r="L143" s="143">
        <v>3.8178514091377701E-2</v>
      </c>
      <c r="M143" s="143">
        <f t="shared" ref="M143:M144" si="44">L143*K143</f>
        <v>3.8178514091377701E-2</v>
      </c>
      <c r="N143" s="143">
        <f t="shared" ref="N143:N144" si="45">K143*I143</f>
        <v>5.5521796483617254E-3</v>
      </c>
      <c r="O143" s="143">
        <f>K143*J153</f>
        <v>0</v>
      </c>
      <c r="P143" s="819">
        <f>M143*'Table ES-1 Refresh ''13'!$D$9/Industrial!$M$3</f>
        <v>3.5966771074767506E-2</v>
      </c>
      <c r="Q143" s="819">
        <f>N143*'Table ES-1 Refresh ''13'!$G$9/Industrial!$N$3</f>
        <v>5.0091182583357945E-3</v>
      </c>
      <c r="R143" s="819">
        <f>O143*'Table ES-1 Refresh ''13'!$J$9/Industrial!$O$3</f>
        <v>0</v>
      </c>
    </row>
    <row r="144" spans="1:18">
      <c r="A144" s="35">
        <v>902</v>
      </c>
      <c r="B144" s="41" t="s">
        <v>292</v>
      </c>
      <c r="C144" s="918">
        <v>1.1369979101393504E-2</v>
      </c>
      <c r="D144" s="918">
        <v>2.9005236547298046E-3</v>
      </c>
      <c r="E144" s="246">
        <v>10</v>
      </c>
      <c r="F144" s="246">
        <v>2</v>
      </c>
      <c r="G144" s="244"/>
      <c r="H144" s="245">
        <f>IF(AND(F144=2,E144&gt;10),C144*10/E144,C144)</f>
        <v>1.1369979101393504E-2</v>
      </c>
      <c r="I144" s="245">
        <f>IF(AND(F144=2,E144&gt;10),D144*10/E144,D144)</f>
        <v>2.9005236547298046E-3</v>
      </c>
      <c r="J144" s="139">
        <v>4.9414398870419353E-3</v>
      </c>
      <c r="K144" s="143">
        <v>1</v>
      </c>
      <c r="L144" s="143">
        <v>1.1369979101393504E-2</v>
      </c>
      <c r="M144" s="143">
        <f t="shared" si="44"/>
        <v>1.1369979101393504E-2</v>
      </c>
      <c r="N144" s="143">
        <f t="shared" si="45"/>
        <v>2.9005236547298046E-3</v>
      </c>
      <c r="O144" s="143">
        <f>K144*J154</f>
        <v>0</v>
      </c>
      <c r="P144" s="819">
        <f>M144*'Table ES-1 Refresh ''13'!$D$9/Industrial!$M$3</f>
        <v>1.0711297838515588E-2</v>
      </c>
      <c r="Q144" s="819">
        <f>N144*'Table ES-1 Refresh ''13'!$G$9/Industrial!$N$3</f>
        <v>2.6168220262701705E-3</v>
      </c>
      <c r="R144" s="819">
        <f>O144*'Table ES-1 Refresh ''13'!$J$9/Industrial!$O$3</f>
        <v>0</v>
      </c>
    </row>
    <row r="145" spans="1:18">
      <c r="C145" s="919"/>
      <c r="D145" s="919"/>
      <c r="E145" s="153"/>
      <c r="F145" s="153"/>
      <c r="P145" s="819">
        <f>M145*'Table ES-1 Refresh ''13'!$D$9/Industrial!$M$3</f>
        <v>0</v>
      </c>
      <c r="Q145" s="819">
        <f>N145*'Table ES-1 Refresh ''13'!$G$9/Industrial!$N$3</f>
        <v>0</v>
      </c>
      <c r="R145" s="819">
        <f>O145*'Table ES-1 Refresh ''13'!$J$9/Industrial!$O$3</f>
        <v>0</v>
      </c>
    </row>
    <row r="146" spans="1:18">
      <c r="C146" s="919"/>
      <c r="D146" s="919"/>
      <c r="E146" s="153"/>
      <c r="F146" s="153"/>
      <c r="P146" s="819">
        <f>M146*'Table ES-1 Refresh ''13'!$D$9/Industrial!$M$3</f>
        <v>0</v>
      </c>
      <c r="Q146" s="819">
        <f>N146*'Table ES-1 Refresh ''13'!$G$9/Industrial!$N$3</f>
        <v>0</v>
      </c>
      <c r="R146" s="819">
        <f>O146*'Table ES-1 Refresh ''13'!$J$9/Industrial!$O$3</f>
        <v>0</v>
      </c>
    </row>
    <row r="147" spans="1:18">
      <c r="C147" s="919"/>
      <c r="D147" s="919"/>
      <c r="E147" s="153"/>
      <c r="F147" s="153"/>
      <c r="P147" s="819">
        <f>M147*'Table ES-1 Refresh ''13'!$D$9/Industrial!$M$3</f>
        <v>0</v>
      </c>
      <c r="Q147" s="819">
        <f>N147*'Table ES-1 Refresh ''13'!$G$9/Industrial!$N$3</f>
        <v>0</v>
      </c>
      <c r="R147" s="819">
        <f>O147*'Table ES-1 Refresh ''13'!$J$9/Industrial!$O$3</f>
        <v>0</v>
      </c>
    </row>
    <row r="148" spans="1:18">
      <c r="B148" s="186" t="s">
        <v>446</v>
      </c>
      <c r="C148" s="919"/>
      <c r="D148" s="919"/>
      <c r="E148" s="153"/>
      <c r="F148" s="153"/>
      <c r="P148" s="819">
        <f>M148*'Table ES-1 Refresh ''13'!$D$9/Industrial!$M$3</f>
        <v>0</v>
      </c>
      <c r="Q148" s="819">
        <f>N148*'Table ES-1 Refresh ''13'!$G$9/Industrial!$N$3</f>
        <v>0</v>
      </c>
      <c r="R148" s="819">
        <f>O148*'Table ES-1 Refresh ''13'!$J$9/Industrial!$O$3</f>
        <v>0</v>
      </c>
    </row>
    <row r="149" spans="1:18">
      <c r="A149" s="247">
        <v>806</v>
      </c>
      <c r="B149" s="42" t="s">
        <v>541</v>
      </c>
      <c r="C149" s="919"/>
      <c r="D149" s="919"/>
      <c r="E149" s="153"/>
      <c r="F149" s="153"/>
      <c r="K149" s="143">
        <v>1</v>
      </c>
      <c r="L149" s="143"/>
      <c r="M149" s="143">
        <f>'Duke Ind - Calcs'!G20</f>
        <v>21.302205997947535</v>
      </c>
      <c r="N149" s="143">
        <f>'Duke Ind - Calcs'!H20</f>
        <v>8.2076136255566805</v>
      </c>
      <c r="O149" s="143">
        <f>'Duke Ind - Calcs'!I20</f>
        <v>7.8772947997439218</v>
      </c>
      <c r="P149" s="819">
        <f>M149*'Table ES-1 Refresh ''13'!$D$9/Industrial!$M$3</f>
        <v>20.068134780781101</v>
      </c>
      <c r="Q149" s="819">
        <f>N149*'Table ES-1 Refresh ''13'!$G$9/Industrial!$N$3</f>
        <v>7.4048229475558749</v>
      </c>
      <c r="R149" s="819">
        <f>O149*'Table ES-1 Refresh ''13'!$J$9/Industrial!$O$3</f>
        <v>6.793217149738445</v>
      </c>
    </row>
    <row r="150" spans="1:18">
      <c r="A150" s="247">
        <v>807</v>
      </c>
      <c r="B150" s="248" t="s">
        <v>555</v>
      </c>
      <c r="C150" s="919"/>
      <c r="D150" s="919"/>
      <c r="E150" s="153"/>
      <c r="F150" s="153"/>
      <c r="K150" s="143">
        <v>1</v>
      </c>
      <c r="L150" s="143"/>
      <c r="M150" s="143">
        <f>'Duke Ind - Calcs'!G27</f>
        <v>1.1772603773584904</v>
      </c>
      <c r="N150" s="143">
        <f>'Duke Ind - Calcs'!H27</f>
        <v>0.91231953833334034</v>
      </c>
      <c r="O150" s="143">
        <f>'Duke Ind - Calcs'!I27</f>
        <v>0.88907995024022002</v>
      </c>
      <c r="P150" s="819">
        <f>M150*'Table ES-1 Refresh ''13'!$D$9/Industrial!$M$3</f>
        <v>1.1090597812817937</v>
      </c>
      <c r="Q150" s="819">
        <f>N150*'Table ES-1 Refresh ''13'!$G$9/Industrial!$N$3</f>
        <v>0.82308512085887875</v>
      </c>
      <c r="R150" s="819">
        <f>O150*'Table ES-1 Refresh ''13'!$J$9/Industrial!$O$3</f>
        <v>0.76672427768690432</v>
      </c>
    </row>
    <row r="151" spans="1:18">
      <c r="A151" s="247">
        <v>808</v>
      </c>
      <c r="B151" s="248" t="s">
        <v>590</v>
      </c>
      <c r="C151" s="919"/>
      <c r="D151" s="919"/>
      <c r="E151" s="153"/>
      <c r="F151" s="153"/>
      <c r="K151" s="143">
        <v>1</v>
      </c>
      <c r="L151" s="143"/>
      <c r="M151" s="143">
        <f>'Duke Ind - Calcs'!G35</f>
        <v>1.3861421628922155</v>
      </c>
      <c r="N151" s="143">
        <f>'Duke Ind - Calcs'!H35</f>
        <v>0.97953544213132926</v>
      </c>
      <c r="O151" s="143">
        <f>'Duke Ind - Calcs'!I35</f>
        <v>1.026548889779282</v>
      </c>
      <c r="P151" s="819">
        <f>M151*'Table ES-1 Refresh ''13'!$D$9/Industrial!$M$3</f>
        <v>1.305840707433052</v>
      </c>
      <c r="Q151" s="819">
        <f>N151*'Table ES-1 Refresh ''13'!$G$9/Industrial!$N$3</f>
        <v>0.88372660443630502</v>
      </c>
      <c r="R151" s="819">
        <f>O151*'Table ES-1 Refresh ''13'!$J$9/Industrial!$O$3</f>
        <v>0.88527466603386218</v>
      </c>
    </row>
    <row r="152" spans="1:18">
      <c r="A152" s="247">
        <v>732</v>
      </c>
      <c r="B152" s="249" t="s">
        <v>536</v>
      </c>
      <c r="C152" s="919"/>
      <c r="D152" s="919"/>
      <c r="E152" s="153"/>
      <c r="F152" s="153"/>
      <c r="K152" s="143">
        <v>1</v>
      </c>
      <c r="L152" s="143"/>
      <c r="M152" s="143">
        <f>'Duke Ind - Calcs'!G57</f>
        <v>8.2828676960400092</v>
      </c>
      <c r="N152" s="143">
        <f>'Duke Ind - Calcs'!H57</f>
        <v>2.0055607077712256</v>
      </c>
      <c r="O152" s="143">
        <f>'Duke Ind - Calcs'!I57</f>
        <v>0</v>
      </c>
      <c r="P152" s="819">
        <f>M152*'Table ES-1 Refresh ''13'!$D$9/Industrial!$M$3</f>
        <v>7.8030277855506691</v>
      </c>
      <c r="Q152" s="819">
        <f>N152*'Table ES-1 Refresh ''13'!$G$9/Industrial!$N$3</f>
        <v>1.80939584014757</v>
      </c>
      <c r="R152" s="819">
        <f>O152*'Table ES-1 Refresh ''13'!$J$9/Industrial!$O$3</f>
        <v>0</v>
      </c>
    </row>
    <row r="153" spans="1:18">
      <c r="A153" s="247">
        <v>733</v>
      </c>
      <c r="B153" s="250" t="s">
        <v>587</v>
      </c>
      <c r="C153" s="919"/>
      <c r="D153" s="919"/>
      <c r="E153" s="153"/>
      <c r="F153" s="153"/>
      <c r="K153" s="143">
        <v>1</v>
      </c>
      <c r="L153" s="143"/>
      <c r="M153" s="143">
        <f>'Duke Ind - Calcs'!G60</f>
        <v>19.500104138778237</v>
      </c>
      <c r="N153" s="143">
        <f>'Duke Ind - Calcs'!H60</f>
        <v>3.8098225445031919</v>
      </c>
      <c r="O153" s="143">
        <f>'Duke Ind - Calcs'!I60</f>
        <v>0</v>
      </c>
      <c r="P153" s="819">
        <f>M153*'Table ES-1 Refresh ''13'!$D$9/Industrial!$M$3</f>
        <v>18.370431594454288</v>
      </c>
      <c r="Q153" s="819">
        <f>N153*'Table ES-1 Refresh ''13'!$G$9/Industrial!$N$3</f>
        <v>3.4371819496729219</v>
      </c>
      <c r="R153" s="819">
        <f>O153*'Table ES-1 Refresh ''13'!$J$9/Industrial!$O$3</f>
        <v>0</v>
      </c>
    </row>
  </sheetData>
  <mergeCells count="4">
    <mergeCell ref="K6:O6"/>
    <mergeCell ref="H7:J7"/>
    <mergeCell ref="M7:O7"/>
    <mergeCell ref="P4:R4"/>
  </mergeCells>
  <pageMargins left="0.7" right="0.7" top="0.75" bottom="0.75" header="0.3" footer="0.3"/>
  <pageSetup paperSize="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2"/>
  <sheetViews>
    <sheetView topLeftCell="A115" zoomScale="85" zoomScaleNormal="85" workbookViewId="0"/>
  </sheetViews>
  <sheetFormatPr defaultRowHeight="15"/>
  <cols>
    <col min="1" max="1" width="11" customWidth="1"/>
    <col min="2" max="2" width="43.28515625" bestFit="1" customWidth="1"/>
    <col min="3" max="3" width="23.85546875" customWidth="1"/>
    <col min="4" max="4" width="9.85546875" customWidth="1"/>
    <col min="5" max="5" width="11.140625" bestFit="1" customWidth="1"/>
    <col min="6" max="6" width="24.7109375" customWidth="1"/>
  </cols>
  <sheetData>
    <row r="1" spans="1:11">
      <c r="A1" s="52" t="s">
        <v>86</v>
      </c>
      <c r="B1" s="52" t="s">
        <v>87</v>
      </c>
    </row>
    <row r="2" spans="1:11">
      <c r="A2" s="45">
        <v>100</v>
      </c>
      <c r="B2" s="53" t="s">
        <v>188</v>
      </c>
      <c r="E2" s="2" t="s">
        <v>88</v>
      </c>
      <c r="F2" s="3"/>
      <c r="G2" s="4"/>
    </row>
    <row r="3" spans="1:11">
      <c r="A3" s="46"/>
      <c r="B3" s="54" t="s">
        <v>318</v>
      </c>
      <c r="C3" s="15" t="s">
        <v>320</v>
      </c>
      <c r="E3" s="2"/>
      <c r="F3" s="3"/>
      <c r="G3" s="4"/>
    </row>
    <row r="4" spans="1:11">
      <c r="A4" s="47">
        <v>101</v>
      </c>
      <c r="B4" s="55" t="s">
        <v>189</v>
      </c>
      <c r="E4" s="7"/>
      <c r="F4" s="5"/>
      <c r="G4" s="6"/>
    </row>
    <row r="5" spans="1:11">
      <c r="A5" s="47">
        <v>102</v>
      </c>
      <c r="B5" s="55" t="s">
        <v>190</v>
      </c>
      <c r="E5" s="12"/>
      <c r="F5" s="1" t="s">
        <v>294</v>
      </c>
      <c r="G5" s="6"/>
      <c r="H5" s="9"/>
      <c r="I5" s="9"/>
      <c r="J5" s="9"/>
      <c r="K5" s="9"/>
    </row>
    <row r="6" spans="1:11">
      <c r="A6" s="47">
        <v>103</v>
      </c>
      <c r="B6" s="55" t="s">
        <v>191</v>
      </c>
      <c r="E6" s="11"/>
      <c r="F6" s="1" t="s">
        <v>293</v>
      </c>
      <c r="G6" s="4"/>
    </row>
    <row r="7" spans="1:11">
      <c r="A7" s="47">
        <v>104</v>
      </c>
      <c r="B7" s="55" t="s">
        <v>192</v>
      </c>
      <c r="E7" s="13"/>
      <c r="F7" s="1" t="s">
        <v>298</v>
      </c>
      <c r="G7" s="6"/>
    </row>
    <row r="8" spans="1:11" ht="45">
      <c r="A8" s="48">
        <v>105</v>
      </c>
      <c r="B8" s="56" t="s">
        <v>193</v>
      </c>
      <c r="C8" s="15" t="s">
        <v>317</v>
      </c>
      <c r="E8" s="14"/>
      <c r="F8" s="1" t="s">
        <v>299</v>
      </c>
      <c r="G8" s="6"/>
    </row>
    <row r="9" spans="1:11" ht="45">
      <c r="A9" s="48">
        <v>106</v>
      </c>
      <c r="B9" s="56" t="s">
        <v>194</v>
      </c>
      <c r="C9" s="15" t="s">
        <v>317</v>
      </c>
      <c r="E9" s="8"/>
      <c r="F9" s="8"/>
      <c r="G9" s="8"/>
    </row>
    <row r="10" spans="1:11">
      <c r="A10" s="47">
        <v>107</v>
      </c>
      <c r="B10" s="55" t="s">
        <v>195</v>
      </c>
      <c r="E10" s="8"/>
      <c r="F10" s="8"/>
      <c r="G10" s="8"/>
    </row>
    <row r="11" spans="1:11" ht="45">
      <c r="A11" s="48">
        <v>108</v>
      </c>
      <c r="B11" s="56" t="s">
        <v>196</v>
      </c>
      <c r="C11" s="15" t="s">
        <v>317</v>
      </c>
    </row>
    <row r="12" spans="1:11" ht="45">
      <c r="A12" s="48">
        <v>109</v>
      </c>
      <c r="B12" s="56" t="s">
        <v>197</v>
      </c>
      <c r="C12" s="15" t="s">
        <v>317</v>
      </c>
    </row>
    <row r="13" spans="1:11">
      <c r="A13" s="47">
        <v>110</v>
      </c>
      <c r="B13" s="55" t="s">
        <v>198</v>
      </c>
      <c r="C13" s="17"/>
    </row>
    <row r="14" spans="1:11" ht="45">
      <c r="A14" s="48">
        <v>111</v>
      </c>
      <c r="B14" s="56" t="s">
        <v>199</v>
      </c>
      <c r="C14" s="15" t="s">
        <v>317</v>
      </c>
    </row>
    <row r="15" spans="1:11" ht="45">
      <c r="A15" s="48">
        <v>112</v>
      </c>
      <c r="B15" s="56" t="s">
        <v>200</v>
      </c>
      <c r="C15" s="15" t="s">
        <v>317</v>
      </c>
    </row>
    <row r="16" spans="1:11">
      <c r="A16" s="47">
        <v>113</v>
      </c>
      <c r="B16" s="55" t="s">
        <v>201</v>
      </c>
    </row>
    <row r="17" spans="1:4">
      <c r="A17" s="49">
        <v>114</v>
      </c>
      <c r="B17" s="57" t="s">
        <v>202</v>
      </c>
      <c r="C17" s="10"/>
      <c r="D17" s="10"/>
    </row>
    <row r="18" spans="1:4">
      <c r="A18" s="49">
        <v>115</v>
      </c>
      <c r="B18" s="57" t="s">
        <v>203</v>
      </c>
      <c r="C18" s="10"/>
      <c r="D18" s="10"/>
    </row>
    <row r="19" spans="1:4">
      <c r="A19" s="45">
        <v>200</v>
      </c>
      <c r="B19" s="53" t="s">
        <v>204</v>
      </c>
    </row>
    <row r="20" spans="1:4">
      <c r="A20" s="46"/>
      <c r="B20" s="54" t="s">
        <v>319</v>
      </c>
      <c r="C20" s="15" t="s">
        <v>320</v>
      </c>
    </row>
    <row r="21" spans="1:4">
      <c r="A21" s="47">
        <v>201</v>
      </c>
      <c r="B21" s="55" t="s">
        <v>205</v>
      </c>
    </row>
    <row r="22" spans="1:4">
      <c r="A22" s="47">
        <v>202</v>
      </c>
      <c r="B22" s="55" t="s">
        <v>206</v>
      </c>
    </row>
    <row r="23" spans="1:4">
      <c r="A23" s="47">
        <v>203</v>
      </c>
      <c r="B23" s="55" t="s">
        <v>207</v>
      </c>
    </row>
    <row r="24" spans="1:4">
      <c r="A24" s="47">
        <v>204</v>
      </c>
      <c r="B24" s="55" t="s">
        <v>208</v>
      </c>
    </row>
    <row r="25" spans="1:4" ht="45">
      <c r="A25" s="48">
        <v>205</v>
      </c>
      <c r="B25" s="56" t="s">
        <v>209</v>
      </c>
      <c r="C25" s="15" t="s">
        <v>317</v>
      </c>
    </row>
    <row r="26" spans="1:4" ht="45">
      <c r="A26" s="48">
        <v>206</v>
      </c>
      <c r="B26" s="56" t="s">
        <v>210</v>
      </c>
      <c r="C26" s="15" t="s">
        <v>317</v>
      </c>
    </row>
    <row r="27" spans="1:4">
      <c r="A27" s="47">
        <v>207</v>
      </c>
      <c r="B27" s="55" t="s">
        <v>211</v>
      </c>
      <c r="C27" s="17"/>
    </row>
    <row r="28" spans="1:4" ht="45">
      <c r="A28" s="48">
        <v>208</v>
      </c>
      <c r="B28" s="56" t="s">
        <v>212</v>
      </c>
      <c r="C28" s="15" t="s">
        <v>317</v>
      </c>
    </row>
    <row r="29" spans="1:4" ht="45">
      <c r="A29" s="48">
        <v>209</v>
      </c>
      <c r="B29" s="56" t="s">
        <v>213</v>
      </c>
      <c r="C29" s="15" t="s">
        <v>317</v>
      </c>
    </row>
    <row r="30" spans="1:4">
      <c r="A30" s="47">
        <v>210</v>
      </c>
      <c r="B30" s="55" t="s">
        <v>214</v>
      </c>
      <c r="C30" s="17"/>
    </row>
    <row r="31" spans="1:4" ht="45">
      <c r="A31" s="48">
        <v>211</v>
      </c>
      <c r="B31" s="56" t="s">
        <v>215</v>
      </c>
      <c r="C31" s="15" t="s">
        <v>317</v>
      </c>
    </row>
    <row r="32" spans="1:4" ht="45">
      <c r="A32" s="48">
        <v>212</v>
      </c>
      <c r="B32" s="56" t="s">
        <v>216</v>
      </c>
      <c r="C32" s="15" t="s">
        <v>317</v>
      </c>
    </row>
    <row r="33" spans="1:3">
      <c r="A33" s="47">
        <v>213</v>
      </c>
      <c r="B33" s="55" t="s">
        <v>217</v>
      </c>
    </row>
    <row r="34" spans="1:3">
      <c r="A34" s="49">
        <v>214</v>
      </c>
      <c r="B34" s="57" t="s">
        <v>218</v>
      </c>
    </row>
    <row r="35" spans="1:3">
      <c r="A35" s="49">
        <v>215</v>
      </c>
      <c r="B35" s="57" t="s">
        <v>202</v>
      </c>
    </row>
    <row r="36" spans="1:3">
      <c r="A36" s="49">
        <v>216</v>
      </c>
      <c r="B36" s="57" t="s">
        <v>203</v>
      </c>
    </row>
    <row r="37" spans="1:3">
      <c r="A37" s="45">
        <v>300</v>
      </c>
      <c r="B37" s="53" t="s">
        <v>219</v>
      </c>
    </row>
    <row r="38" spans="1:3">
      <c r="A38" s="46"/>
      <c r="B38" s="54" t="s">
        <v>321</v>
      </c>
      <c r="C38" s="15" t="s">
        <v>320</v>
      </c>
    </row>
    <row r="39" spans="1:3">
      <c r="A39" s="47">
        <v>301</v>
      </c>
      <c r="B39" s="55" t="s">
        <v>220</v>
      </c>
    </row>
    <row r="40" spans="1:3">
      <c r="A40" s="47">
        <v>302</v>
      </c>
      <c r="B40" s="55" t="s">
        <v>221</v>
      </c>
    </row>
    <row r="41" spans="1:3">
      <c r="A41" s="47">
        <v>303</v>
      </c>
      <c r="B41" s="55" t="s">
        <v>222</v>
      </c>
    </row>
    <row r="42" spans="1:3">
      <c r="A42" s="47">
        <v>304</v>
      </c>
      <c r="B42" s="55" t="s">
        <v>223</v>
      </c>
    </row>
    <row r="43" spans="1:3" ht="45">
      <c r="A43" s="48">
        <v>305</v>
      </c>
      <c r="B43" s="56" t="s">
        <v>224</v>
      </c>
      <c r="C43" s="15" t="s">
        <v>317</v>
      </c>
    </row>
    <row r="44" spans="1:3" ht="45">
      <c r="A44" s="48">
        <v>306</v>
      </c>
      <c r="B44" s="56" t="s">
        <v>225</v>
      </c>
      <c r="C44" s="15" t="s">
        <v>317</v>
      </c>
    </row>
    <row r="45" spans="1:3">
      <c r="A45" s="47">
        <v>307</v>
      </c>
      <c r="B45" s="55" t="s">
        <v>226</v>
      </c>
      <c r="C45" s="17"/>
    </row>
    <row r="46" spans="1:3" ht="45">
      <c r="A46" s="48">
        <v>308</v>
      </c>
      <c r="B46" s="56" t="s">
        <v>227</v>
      </c>
      <c r="C46" s="15" t="s">
        <v>317</v>
      </c>
    </row>
    <row r="47" spans="1:3" ht="45">
      <c r="A47" s="48">
        <v>309</v>
      </c>
      <c r="B47" s="56" t="s">
        <v>228</v>
      </c>
      <c r="C47" s="15" t="s">
        <v>317</v>
      </c>
    </row>
    <row r="48" spans="1:3">
      <c r="A48" s="47">
        <v>310</v>
      </c>
      <c r="B48" s="55" t="s">
        <v>229</v>
      </c>
      <c r="C48" s="17"/>
    </row>
    <row r="49" spans="1:3" ht="45">
      <c r="A49" s="48">
        <v>311</v>
      </c>
      <c r="B49" s="56" t="s">
        <v>230</v>
      </c>
      <c r="C49" s="15" t="s">
        <v>317</v>
      </c>
    </row>
    <row r="50" spans="1:3" ht="45">
      <c r="A50" s="48">
        <v>312</v>
      </c>
      <c r="B50" s="56" t="s">
        <v>231</v>
      </c>
      <c r="C50" s="15" t="s">
        <v>317</v>
      </c>
    </row>
    <row r="51" spans="1:3">
      <c r="A51" s="47">
        <v>313</v>
      </c>
      <c r="B51" s="55" t="s">
        <v>232</v>
      </c>
    </row>
    <row r="52" spans="1:3">
      <c r="A52" s="49">
        <v>314</v>
      </c>
      <c r="B52" s="57" t="s">
        <v>202</v>
      </c>
    </row>
    <row r="53" spans="1:3">
      <c r="A53" s="49">
        <v>315</v>
      </c>
      <c r="B53" s="57" t="s">
        <v>203</v>
      </c>
    </row>
    <row r="54" spans="1:3">
      <c r="A54" s="49">
        <v>400</v>
      </c>
      <c r="B54" s="57" t="s">
        <v>233</v>
      </c>
    </row>
    <row r="55" spans="1:3">
      <c r="A55" s="49">
        <v>401</v>
      </c>
      <c r="B55" s="57" t="s">
        <v>234</v>
      </c>
    </row>
    <row r="56" spans="1:3">
      <c r="A56" s="49">
        <v>402</v>
      </c>
      <c r="B56" s="57" t="s">
        <v>235</v>
      </c>
    </row>
    <row r="57" spans="1:3">
      <c r="A57" s="49">
        <v>403</v>
      </c>
      <c r="B57" s="57" t="s">
        <v>236</v>
      </c>
    </row>
    <row r="58" spans="1:3">
      <c r="A58" s="49">
        <v>404</v>
      </c>
      <c r="B58" s="57" t="s">
        <v>237</v>
      </c>
    </row>
    <row r="59" spans="1:3">
      <c r="A59" s="49">
        <v>405</v>
      </c>
      <c r="B59" s="57" t="s">
        <v>238</v>
      </c>
    </row>
    <row r="60" spans="1:3">
      <c r="A60" s="49">
        <v>406</v>
      </c>
      <c r="B60" s="57" t="s">
        <v>239</v>
      </c>
    </row>
    <row r="61" spans="1:3">
      <c r="A61" s="49">
        <v>407</v>
      </c>
      <c r="B61" s="57" t="s">
        <v>240</v>
      </c>
    </row>
    <row r="62" spans="1:3">
      <c r="A62" s="49">
        <v>408</v>
      </c>
      <c r="B62" s="57" t="s">
        <v>241</v>
      </c>
    </row>
    <row r="63" spans="1:3">
      <c r="A63" s="49">
        <v>409</v>
      </c>
      <c r="B63" s="57" t="s">
        <v>242</v>
      </c>
    </row>
    <row r="64" spans="1:3">
      <c r="A64" s="49">
        <v>410</v>
      </c>
      <c r="B64" s="57" t="s">
        <v>243</v>
      </c>
    </row>
    <row r="65" spans="1:2">
      <c r="A65" s="49">
        <v>411</v>
      </c>
      <c r="B65" s="57" t="s">
        <v>244</v>
      </c>
    </row>
    <row r="66" spans="1:2">
      <c r="A66" s="49">
        <v>412</v>
      </c>
      <c r="B66" s="57" t="s">
        <v>245</v>
      </c>
    </row>
    <row r="67" spans="1:2">
      <c r="A67" s="49">
        <v>413</v>
      </c>
      <c r="B67" s="57" t="s">
        <v>246</v>
      </c>
    </row>
    <row r="68" spans="1:2">
      <c r="A68" s="49">
        <v>414</v>
      </c>
      <c r="B68" s="57" t="s">
        <v>247</v>
      </c>
    </row>
    <row r="69" spans="1:2">
      <c r="A69" s="49">
        <v>415</v>
      </c>
      <c r="B69" s="57" t="s">
        <v>248</v>
      </c>
    </row>
    <row r="70" spans="1:2">
      <c r="A70" s="49">
        <v>416</v>
      </c>
      <c r="B70" s="57" t="s">
        <v>249</v>
      </c>
    </row>
    <row r="71" spans="1:2">
      <c r="A71" s="49">
        <v>417</v>
      </c>
      <c r="B71" s="57" t="s">
        <v>250</v>
      </c>
    </row>
    <row r="72" spans="1:2">
      <c r="A72" s="49">
        <v>418</v>
      </c>
      <c r="B72" s="57" t="s">
        <v>251</v>
      </c>
    </row>
    <row r="73" spans="1:2">
      <c r="A73" s="49">
        <v>419</v>
      </c>
      <c r="B73" s="57" t="s">
        <v>252</v>
      </c>
    </row>
    <row r="74" spans="1:2">
      <c r="A74" s="49">
        <v>420</v>
      </c>
      <c r="B74" s="57" t="s">
        <v>253</v>
      </c>
    </row>
    <row r="75" spans="1:2">
      <c r="A75" s="49">
        <v>421</v>
      </c>
      <c r="B75" s="57" t="s">
        <v>254</v>
      </c>
    </row>
    <row r="76" spans="1:2">
      <c r="A76" s="49">
        <v>422</v>
      </c>
      <c r="B76" s="57" t="s">
        <v>255</v>
      </c>
    </row>
    <row r="77" spans="1:2">
      <c r="A77" s="49">
        <v>423</v>
      </c>
      <c r="B77" s="57" t="s">
        <v>256</v>
      </c>
    </row>
    <row r="78" spans="1:2">
      <c r="A78" s="49">
        <v>424</v>
      </c>
      <c r="B78" s="57" t="s">
        <v>257</v>
      </c>
    </row>
    <row r="79" spans="1:2">
      <c r="A79" s="49">
        <v>425</v>
      </c>
      <c r="B79" s="57" t="s">
        <v>258</v>
      </c>
    </row>
    <row r="80" spans="1:2">
      <c r="A80" s="49">
        <v>426</v>
      </c>
      <c r="B80" s="57" t="s">
        <v>259</v>
      </c>
    </row>
    <row r="81" spans="1:2">
      <c r="A81" s="49">
        <v>427</v>
      </c>
      <c r="B81" s="57" t="s">
        <v>260</v>
      </c>
    </row>
    <row r="82" spans="1:2">
      <c r="A82" s="49">
        <v>428</v>
      </c>
      <c r="B82" s="57" t="s">
        <v>261</v>
      </c>
    </row>
    <row r="83" spans="1:2">
      <c r="A83" s="49">
        <v>429</v>
      </c>
      <c r="B83" s="57" t="s">
        <v>262</v>
      </c>
    </row>
    <row r="84" spans="1:2">
      <c r="A84" s="49">
        <v>430</v>
      </c>
      <c r="B84" s="57" t="s">
        <v>263</v>
      </c>
    </row>
    <row r="85" spans="1:2">
      <c r="A85" s="49">
        <v>500</v>
      </c>
      <c r="B85" s="57" t="s">
        <v>264</v>
      </c>
    </row>
    <row r="86" spans="1:2">
      <c r="A86" s="49">
        <v>501</v>
      </c>
      <c r="B86" s="57" t="s">
        <v>265</v>
      </c>
    </row>
    <row r="87" spans="1:2">
      <c r="A87" s="49">
        <v>502</v>
      </c>
      <c r="B87" s="57" t="s">
        <v>266</v>
      </c>
    </row>
    <row r="88" spans="1:2">
      <c r="A88" s="49">
        <v>503</v>
      </c>
      <c r="B88" s="57" t="s">
        <v>267</v>
      </c>
    </row>
    <row r="89" spans="1:2">
      <c r="A89" s="49">
        <v>504</v>
      </c>
      <c r="B89" s="57" t="s">
        <v>268</v>
      </c>
    </row>
    <row r="90" spans="1:2">
      <c r="A90" s="49">
        <v>505</v>
      </c>
      <c r="B90" s="57" t="s">
        <v>269</v>
      </c>
    </row>
    <row r="91" spans="1:2">
      <c r="A91" s="49">
        <v>506</v>
      </c>
      <c r="B91" s="57" t="s">
        <v>270</v>
      </c>
    </row>
    <row r="92" spans="1:2">
      <c r="A92" s="49">
        <v>507</v>
      </c>
      <c r="B92" s="57" t="s">
        <v>271</v>
      </c>
    </row>
    <row r="93" spans="1:2">
      <c r="A93" s="49">
        <v>508</v>
      </c>
      <c r="B93" s="57" t="s">
        <v>272</v>
      </c>
    </row>
    <row r="94" spans="1:2">
      <c r="A94" s="49">
        <v>509</v>
      </c>
      <c r="B94" s="57" t="s">
        <v>273</v>
      </c>
    </row>
    <row r="95" spans="1:2">
      <c r="A95" s="49">
        <v>510</v>
      </c>
      <c r="B95" s="57" t="s">
        <v>274</v>
      </c>
    </row>
    <row r="96" spans="1:2">
      <c r="A96" s="49">
        <v>511</v>
      </c>
      <c r="B96" s="57" t="s">
        <v>275</v>
      </c>
    </row>
    <row r="97" spans="1:2">
      <c r="A97" s="49">
        <v>550</v>
      </c>
      <c r="B97" s="57" t="s">
        <v>276</v>
      </c>
    </row>
    <row r="98" spans="1:2">
      <c r="A98" s="49">
        <v>551</v>
      </c>
      <c r="B98" s="57" t="s">
        <v>277</v>
      </c>
    </row>
    <row r="99" spans="1:2">
      <c r="A99" s="49">
        <v>552</v>
      </c>
      <c r="B99" s="57" t="s">
        <v>278</v>
      </c>
    </row>
    <row r="100" spans="1:2">
      <c r="A100" s="49">
        <v>600</v>
      </c>
      <c r="B100" s="57" t="s">
        <v>279</v>
      </c>
    </row>
    <row r="101" spans="1:2">
      <c r="A101" s="49">
        <v>601</v>
      </c>
      <c r="B101" s="57" t="s">
        <v>280</v>
      </c>
    </row>
    <row r="102" spans="1:2">
      <c r="A102" s="49">
        <v>602</v>
      </c>
      <c r="B102" s="57" t="s">
        <v>281</v>
      </c>
    </row>
    <row r="103" spans="1:2">
      <c r="A103" s="49">
        <v>603</v>
      </c>
      <c r="B103" s="57" t="s">
        <v>282</v>
      </c>
    </row>
    <row r="104" spans="1:2">
      <c r="A104" s="49">
        <v>604</v>
      </c>
      <c r="B104" s="57" t="s">
        <v>283</v>
      </c>
    </row>
    <row r="105" spans="1:2">
      <c r="A105" s="49">
        <v>605</v>
      </c>
      <c r="B105" s="57" t="s">
        <v>256</v>
      </c>
    </row>
    <row r="106" spans="1:2">
      <c r="A106" s="49">
        <v>606</v>
      </c>
      <c r="B106" s="57" t="s">
        <v>202</v>
      </c>
    </row>
    <row r="107" spans="1:2">
      <c r="A107" s="49">
        <v>607</v>
      </c>
      <c r="B107" s="57" t="s">
        <v>203</v>
      </c>
    </row>
    <row r="108" spans="1:2">
      <c r="A108" s="47">
        <v>700</v>
      </c>
      <c r="B108" s="55" t="s">
        <v>163</v>
      </c>
    </row>
    <row r="109" spans="1:2">
      <c r="A109" s="47">
        <v>701</v>
      </c>
      <c r="B109" s="55" t="s">
        <v>162</v>
      </c>
    </row>
    <row r="110" spans="1:2">
      <c r="A110" s="47">
        <v>702</v>
      </c>
      <c r="B110" s="55" t="s">
        <v>161</v>
      </c>
    </row>
    <row r="111" spans="1:2">
      <c r="A111" s="47">
        <v>703</v>
      </c>
      <c r="B111" s="55" t="s">
        <v>160</v>
      </c>
    </row>
    <row r="112" spans="1:2">
      <c r="A112" s="47">
        <v>704</v>
      </c>
      <c r="B112" s="55" t="s">
        <v>159</v>
      </c>
    </row>
    <row r="113" spans="1:6">
      <c r="A113" s="47">
        <v>705</v>
      </c>
      <c r="B113" s="55" t="s">
        <v>158</v>
      </c>
    </row>
    <row r="114" spans="1:6">
      <c r="A114" s="47">
        <v>706</v>
      </c>
      <c r="B114" s="55" t="s">
        <v>284</v>
      </c>
    </row>
    <row r="115" spans="1:6">
      <c r="A115" s="47">
        <v>707</v>
      </c>
      <c r="B115" s="55" t="s">
        <v>285</v>
      </c>
    </row>
    <row r="116" spans="1:6">
      <c r="A116" s="47">
        <v>708</v>
      </c>
      <c r="B116" s="55" t="s">
        <v>286</v>
      </c>
    </row>
    <row r="117" spans="1:6">
      <c r="A117" s="47">
        <v>709</v>
      </c>
      <c r="B117" s="55" t="s">
        <v>287</v>
      </c>
    </row>
    <row r="118" spans="1:6">
      <c r="A118" s="47">
        <v>710</v>
      </c>
      <c r="B118" s="55" t="s">
        <v>288</v>
      </c>
    </row>
    <row r="119" spans="1:6">
      <c r="A119" s="47">
        <v>711</v>
      </c>
      <c r="B119" s="55" t="s">
        <v>156</v>
      </c>
    </row>
    <row r="120" spans="1:6">
      <c r="A120" s="45">
        <v>720</v>
      </c>
      <c r="B120" s="53" t="s">
        <v>154</v>
      </c>
    </row>
    <row r="121" spans="1:6">
      <c r="A121" s="45">
        <v>721</v>
      </c>
      <c r="B121" s="53" t="s">
        <v>153</v>
      </c>
    </row>
    <row r="122" spans="1:6" ht="105">
      <c r="A122" s="46"/>
      <c r="B122" s="58" t="s">
        <v>310</v>
      </c>
      <c r="C122" s="15" t="s">
        <v>307</v>
      </c>
      <c r="D122" s="18" t="s">
        <v>304</v>
      </c>
      <c r="E122" s="18" t="s">
        <v>303</v>
      </c>
      <c r="F122" s="16" t="s">
        <v>308</v>
      </c>
    </row>
    <row r="123" spans="1:6">
      <c r="A123" s="50">
        <v>722</v>
      </c>
      <c r="B123" s="59" t="s">
        <v>152</v>
      </c>
    </row>
    <row r="124" spans="1:6">
      <c r="A124" s="51">
        <v>723</v>
      </c>
      <c r="B124" s="60" t="s">
        <v>146</v>
      </c>
    </row>
    <row r="125" spans="1:6">
      <c r="A125" s="50">
        <v>724</v>
      </c>
      <c r="B125" s="59" t="s">
        <v>151</v>
      </c>
    </row>
    <row r="126" spans="1:6">
      <c r="A126" s="50">
        <v>725</v>
      </c>
      <c r="B126" s="59" t="s">
        <v>150</v>
      </c>
    </row>
    <row r="127" spans="1:6">
      <c r="A127" s="50">
        <v>726</v>
      </c>
      <c r="B127" s="59" t="s">
        <v>149</v>
      </c>
    </row>
    <row r="128" spans="1:6">
      <c r="A128" s="50">
        <v>727</v>
      </c>
      <c r="B128" s="59" t="s">
        <v>145</v>
      </c>
    </row>
    <row r="129" spans="1:2">
      <c r="A129" s="50">
        <v>728</v>
      </c>
      <c r="B129" s="59" t="s">
        <v>144</v>
      </c>
    </row>
    <row r="130" spans="1:2">
      <c r="A130" s="50">
        <v>729</v>
      </c>
      <c r="B130" s="59" t="s">
        <v>143</v>
      </c>
    </row>
    <row r="131" spans="1:2">
      <c r="A131" s="50">
        <v>730</v>
      </c>
      <c r="B131" s="59" t="s">
        <v>141</v>
      </c>
    </row>
    <row r="132" spans="1:2">
      <c r="A132" s="50">
        <v>731</v>
      </c>
      <c r="B132" s="59" t="s">
        <v>140</v>
      </c>
    </row>
    <row r="133" spans="1:2">
      <c r="A133" s="45">
        <v>800</v>
      </c>
      <c r="B133" s="53" t="s">
        <v>289</v>
      </c>
    </row>
    <row r="134" spans="1:2">
      <c r="A134" s="46">
        <v>800</v>
      </c>
      <c r="B134" s="54" t="s">
        <v>300</v>
      </c>
    </row>
    <row r="135" spans="1:2">
      <c r="A135" s="51">
        <v>801</v>
      </c>
      <c r="B135" s="60" t="s">
        <v>186</v>
      </c>
    </row>
    <row r="136" spans="1:2">
      <c r="A136" s="50">
        <v>802</v>
      </c>
      <c r="B136" s="59" t="s">
        <v>175</v>
      </c>
    </row>
    <row r="137" spans="1:2">
      <c r="A137" s="50">
        <v>803</v>
      </c>
      <c r="B137" s="59" t="s">
        <v>177</v>
      </c>
    </row>
    <row r="138" spans="1:2">
      <c r="A138" s="50">
        <v>804</v>
      </c>
      <c r="B138" s="59" t="s">
        <v>170</v>
      </c>
    </row>
    <row r="139" spans="1:2">
      <c r="A139" s="50">
        <v>805</v>
      </c>
      <c r="B139" s="59" t="s">
        <v>180</v>
      </c>
    </row>
    <row r="140" spans="1:2">
      <c r="A140" s="49">
        <v>900</v>
      </c>
      <c r="B140" s="57" t="s">
        <v>290</v>
      </c>
    </row>
    <row r="141" spans="1:2">
      <c r="A141" s="49">
        <v>901</v>
      </c>
      <c r="B141" s="57" t="s">
        <v>291</v>
      </c>
    </row>
    <row r="142" spans="1:2">
      <c r="A142" s="49">
        <v>902</v>
      </c>
      <c r="B142" s="57" t="s">
        <v>292</v>
      </c>
    </row>
  </sheetData>
  <hyperlinks>
    <hyperlink ref="F122" r:id="rId1"/>
  </hyperlinks>
  <pageMargins left="0.7" right="0.7" top="0.75" bottom="0.75" header="0.3" footer="0.3"/>
  <pageSetup scale="99" fitToHeight="12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6"/>
  <sheetViews>
    <sheetView zoomScale="80" zoomScaleNormal="80" workbookViewId="0"/>
  </sheetViews>
  <sheetFormatPr defaultRowHeight="15.75"/>
  <cols>
    <col min="1" max="1" width="7.140625" style="414" customWidth="1"/>
    <col min="2" max="2" width="5.7109375" style="262" customWidth="1"/>
    <col min="3" max="3" width="42.28515625" style="262" customWidth="1"/>
    <col min="4" max="4" width="7.7109375" style="262" customWidth="1"/>
    <col min="5" max="5" width="21" style="262" customWidth="1"/>
    <col min="6" max="6" width="8.7109375" style="255" bestFit="1" customWidth="1"/>
    <col min="7" max="7" width="17.5703125" style="255" customWidth="1"/>
    <col min="8" max="9" width="9.140625" style="255"/>
    <col min="10" max="10" width="9.5703125" style="255" bestFit="1" customWidth="1"/>
    <col min="11" max="11" width="13.85546875" style="255" bestFit="1" customWidth="1"/>
    <col min="12" max="12" width="19.42578125" style="255" bestFit="1" customWidth="1"/>
    <col min="13" max="14" width="13" style="255" bestFit="1" customWidth="1"/>
    <col min="15" max="51" width="9.140625" style="255"/>
    <col min="52" max="16384" width="9.140625" style="262"/>
  </cols>
  <sheetData>
    <row r="1" spans="1:51" s="414" customFormat="1" ht="16.5" thickBot="1">
      <c r="A1" s="411"/>
      <c r="B1" s="412"/>
      <c r="C1" s="411"/>
      <c r="D1" s="413" t="s">
        <v>386</v>
      </c>
      <c r="E1" s="251" t="s">
        <v>331</v>
      </c>
      <c r="F1" s="412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1"/>
      <c r="AC1" s="411"/>
      <c r="AD1" s="411"/>
      <c r="AE1" s="411"/>
      <c r="AF1" s="411"/>
      <c r="AG1" s="411"/>
      <c r="AH1" s="411"/>
      <c r="AI1" s="411"/>
      <c r="AJ1" s="411"/>
      <c r="AK1" s="411"/>
      <c r="AL1" s="411"/>
      <c r="AM1" s="411"/>
      <c r="AN1" s="411"/>
      <c r="AO1" s="411"/>
      <c r="AP1" s="411"/>
      <c r="AQ1" s="411"/>
      <c r="AR1" s="411"/>
      <c r="AS1" s="411"/>
      <c r="AT1" s="411"/>
      <c r="AU1" s="411"/>
      <c r="AV1" s="411"/>
      <c r="AW1" s="411"/>
      <c r="AX1" s="411"/>
      <c r="AY1" s="411"/>
    </row>
    <row r="2" spans="1:51" s="257" customFormat="1" ht="16.5" thickBot="1">
      <c r="A2" s="466" t="s">
        <v>332</v>
      </c>
      <c r="B2" s="252" t="s">
        <v>333</v>
      </c>
      <c r="C2" s="252"/>
      <c r="D2" s="253"/>
      <c r="E2" s="254"/>
      <c r="F2" s="255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</row>
    <row r="3" spans="1:51">
      <c r="A3" s="467" t="s">
        <v>334</v>
      </c>
      <c r="B3" s="415" t="s">
        <v>862</v>
      </c>
      <c r="C3" s="415"/>
      <c r="D3" s="416"/>
      <c r="E3" s="417"/>
    </row>
    <row r="4" spans="1:51">
      <c r="A4" s="467" t="s">
        <v>335</v>
      </c>
      <c r="B4" s="415" t="s">
        <v>336</v>
      </c>
      <c r="C4" s="418"/>
      <c r="D4" s="419"/>
      <c r="E4" s="420"/>
    </row>
    <row r="5" spans="1:51" ht="15" hidden="1" customHeight="1">
      <c r="A5" s="468" t="s">
        <v>337</v>
      </c>
      <c r="B5" s="421" t="s">
        <v>338</v>
      </c>
      <c r="C5" s="422"/>
      <c r="D5" s="419">
        <v>1</v>
      </c>
      <c r="E5" s="423"/>
    </row>
    <row r="6" spans="1:51" ht="15" hidden="1" customHeight="1">
      <c r="A6" s="469" t="s">
        <v>337</v>
      </c>
      <c r="B6" s="421" t="s">
        <v>339</v>
      </c>
      <c r="C6" s="421"/>
      <c r="D6" s="419">
        <v>1</v>
      </c>
      <c r="E6" s="424" t="s">
        <v>340</v>
      </c>
    </row>
    <row r="7" spans="1:51" ht="15" hidden="1" customHeight="1">
      <c r="A7" s="469" t="s">
        <v>337</v>
      </c>
      <c r="B7" s="421" t="s">
        <v>341</v>
      </c>
      <c r="C7" s="422"/>
      <c r="D7" s="419"/>
      <c r="E7" s="423"/>
    </row>
    <row r="8" spans="1:51" ht="15" hidden="1" customHeight="1">
      <c r="A8" s="469" t="s">
        <v>337</v>
      </c>
      <c r="B8" s="425" t="s">
        <v>342</v>
      </c>
      <c r="C8" s="425"/>
      <c r="D8" s="426"/>
      <c r="E8" s="427"/>
    </row>
    <row r="9" spans="1:51">
      <c r="A9" s="467" t="s">
        <v>334</v>
      </c>
      <c r="B9" s="418" t="s">
        <v>343</v>
      </c>
      <c r="C9" s="418"/>
      <c r="D9" s="428">
        <v>1</v>
      </c>
      <c r="E9" s="420" t="s">
        <v>344</v>
      </c>
    </row>
    <row r="10" spans="1:51" ht="15" hidden="1" customHeight="1">
      <c r="A10" s="469" t="s">
        <v>337</v>
      </c>
      <c r="B10" s="425" t="s">
        <v>345</v>
      </c>
      <c r="C10" s="422"/>
      <c r="D10" s="426"/>
      <c r="E10" s="429" t="s">
        <v>346</v>
      </c>
    </row>
    <row r="11" spans="1:51" ht="15" hidden="1" customHeight="1">
      <c r="A11" s="469" t="s">
        <v>337</v>
      </c>
      <c r="B11" s="425" t="s">
        <v>347</v>
      </c>
      <c r="C11" s="422"/>
      <c r="D11" s="430">
        <v>1</v>
      </c>
      <c r="E11" s="429" t="s">
        <v>346</v>
      </c>
    </row>
    <row r="12" spans="1:51" ht="15" hidden="1" customHeight="1">
      <c r="A12" s="469" t="s">
        <v>337</v>
      </c>
      <c r="B12" s="425" t="s">
        <v>348</v>
      </c>
      <c r="C12" s="422"/>
      <c r="D12" s="426"/>
      <c r="E12" s="427" t="s">
        <v>349</v>
      </c>
    </row>
    <row r="13" spans="1:51" ht="15" hidden="1" customHeight="1">
      <c r="A13" s="469" t="s">
        <v>337</v>
      </c>
      <c r="B13" s="425" t="s">
        <v>350</v>
      </c>
      <c r="C13" s="422"/>
      <c r="D13" s="426">
        <v>1</v>
      </c>
      <c r="E13" s="423"/>
    </row>
    <row r="14" spans="1:51" s="432" customFormat="1" ht="15" hidden="1" customHeight="1">
      <c r="A14" s="469" t="s">
        <v>337</v>
      </c>
      <c r="B14" s="425" t="s">
        <v>351</v>
      </c>
      <c r="C14" s="422"/>
      <c r="D14" s="431">
        <v>1</v>
      </c>
      <c r="E14" s="423" t="s">
        <v>352</v>
      </c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5"/>
      <c r="AP14" s="255"/>
      <c r="AQ14" s="255"/>
      <c r="AR14" s="255"/>
      <c r="AS14" s="255"/>
      <c r="AT14" s="255"/>
      <c r="AU14" s="255"/>
      <c r="AV14" s="255"/>
      <c r="AW14" s="255"/>
      <c r="AX14" s="255"/>
      <c r="AY14" s="255"/>
    </row>
    <row r="15" spans="1:51" ht="16.5" thickBot="1">
      <c r="A15" s="469" t="s">
        <v>334</v>
      </c>
      <c r="B15" s="418" t="s">
        <v>353</v>
      </c>
      <c r="C15" s="433"/>
      <c r="D15" s="428">
        <v>1</v>
      </c>
      <c r="E15" s="420"/>
    </row>
    <row r="16" spans="1:51" ht="15.75" hidden="1" customHeight="1">
      <c r="A16" s="469" t="s">
        <v>337</v>
      </c>
      <c r="B16" s="425" t="s">
        <v>354</v>
      </c>
      <c r="C16" s="422"/>
      <c r="D16" s="431"/>
      <c r="E16" s="423"/>
    </row>
    <row r="17" spans="1:51" s="432" customFormat="1" ht="15.75" hidden="1" customHeight="1">
      <c r="A17" s="469" t="s">
        <v>337</v>
      </c>
      <c r="B17" s="425" t="s">
        <v>355</v>
      </c>
      <c r="C17" s="422"/>
      <c r="D17" s="431"/>
      <c r="E17" s="423" t="s">
        <v>356</v>
      </c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  <c r="AG17" s="255"/>
      <c r="AH17" s="255"/>
      <c r="AI17" s="255"/>
      <c r="AJ17" s="255"/>
      <c r="AK17" s="255"/>
      <c r="AL17" s="255"/>
      <c r="AM17" s="255"/>
      <c r="AN17" s="255"/>
      <c r="AO17" s="255"/>
      <c r="AP17" s="255"/>
      <c r="AQ17" s="255"/>
      <c r="AR17" s="255"/>
      <c r="AS17" s="255"/>
      <c r="AT17" s="255"/>
      <c r="AU17" s="255"/>
      <c r="AV17" s="255"/>
      <c r="AW17" s="255"/>
      <c r="AX17" s="255"/>
      <c r="AY17" s="255"/>
    </row>
    <row r="18" spans="1:51" ht="15.75" hidden="1" customHeight="1" thickBot="1">
      <c r="A18" s="469" t="s">
        <v>337</v>
      </c>
      <c r="B18" s="434" t="s">
        <v>357</v>
      </c>
      <c r="C18" s="435"/>
      <c r="D18" s="436">
        <v>1</v>
      </c>
      <c r="E18" s="437" t="s">
        <v>358</v>
      </c>
    </row>
    <row r="19" spans="1:51" ht="16.5" thickBot="1">
      <c r="A19" s="470"/>
      <c r="B19" s="258" t="s">
        <v>359</v>
      </c>
      <c r="C19" s="259"/>
      <c r="D19" s="260"/>
      <c r="E19" s="261"/>
    </row>
    <row r="20" spans="1:51">
      <c r="A20" s="467" t="s">
        <v>334</v>
      </c>
      <c r="B20" s="438" t="s">
        <v>360</v>
      </c>
      <c r="C20" s="415" t="s">
        <v>361</v>
      </c>
      <c r="D20" s="416"/>
      <c r="E20" s="417"/>
    </row>
    <row r="21" spans="1:51">
      <c r="A21" s="467" t="s">
        <v>334</v>
      </c>
      <c r="B21" s="439" t="s">
        <v>360</v>
      </c>
      <c r="C21" s="418" t="s">
        <v>362</v>
      </c>
      <c r="D21" s="419"/>
      <c r="E21" s="440"/>
    </row>
    <row r="22" spans="1:51">
      <c r="A22" s="467" t="s">
        <v>334</v>
      </c>
      <c r="B22" s="438" t="s">
        <v>360</v>
      </c>
      <c r="C22" s="418" t="s">
        <v>363</v>
      </c>
      <c r="D22" s="419"/>
      <c r="E22" s="440"/>
    </row>
    <row r="23" spans="1:51">
      <c r="A23" s="467" t="s">
        <v>334</v>
      </c>
      <c r="B23" s="438" t="s">
        <v>360</v>
      </c>
      <c r="C23" s="439" t="s">
        <v>364</v>
      </c>
      <c r="D23" s="419"/>
      <c r="E23" s="420"/>
    </row>
    <row r="24" spans="1:51" hidden="1">
      <c r="A24" s="469" t="s">
        <v>337</v>
      </c>
      <c r="B24" s="473" t="s">
        <v>360</v>
      </c>
      <c r="C24" s="474" t="s">
        <v>365</v>
      </c>
      <c r="D24" s="419">
        <v>1</v>
      </c>
      <c r="E24" s="423" t="s">
        <v>366</v>
      </c>
    </row>
    <row r="25" spans="1:51">
      <c r="A25" s="467" t="s">
        <v>334</v>
      </c>
      <c r="B25" s="438" t="s">
        <v>360</v>
      </c>
      <c r="C25" s="418" t="s">
        <v>367</v>
      </c>
      <c r="D25" s="419"/>
      <c r="E25" s="420"/>
    </row>
    <row r="26" spans="1:51">
      <c r="A26" s="467" t="s">
        <v>334</v>
      </c>
      <c r="B26" s="439" t="s">
        <v>360</v>
      </c>
      <c r="C26" s="418" t="s">
        <v>368</v>
      </c>
      <c r="D26" s="419"/>
      <c r="E26" s="420"/>
    </row>
    <row r="27" spans="1:51">
      <c r="A27" s="467" t="s">
        <v>334</v>
      </c>
      <c r="B27" s="439" t="s">
        <v>360</v>
      </c>
      <c r="C27" s="418" t="s">
        <v>369</v>
      </c>
      <c r="D27" s="419"/>
      <c r="E27" s="440"/>
    </row>
    <row r="28" spans="1:51" hidden="1">
      <c r="A28" s="469" t="s">
        <v>337</v>
      </c>
      <c r="B28" s="475" t="s">
        <v>370</v>
      </c>
      <c r="C28" s="474" t="s">
        <v>348</v>
      </c>
      <c r="D28" s="419"/>
      <c r="E28" s="423"/>
    </row>
    <row r="29" spans="1:51" hidden="1">
      <c r="A29" s="469" t="s">
        <v>337</v>
      </c>
      <c r="B29" s="474" t="s">
        <v>370</v>
      </c>
      <c r="C29" s="474" t="s">
        <v>354</v>
      </c>
      <c r="D29" s="419"/>
      <c r="E29" s="423"/>
    </row>
    <row r="30" spans="1:51" hidden="1">
      <c r="A30" s="469" t="s">
        <v>337</v>
      </c>
      <c r="B30" s="474" t="s">
        <v>370</v>
      </c>
      <c r="C30" s="476" t="s">
        <v>371</v>
      </c>
      <c r="D30" s="419">
        <v>1</v>
      </c>
      <c r="E30" s="424" t="s">
        <v>372</v>
      </c>
    </row>
    <row r="31" spans="1:51">
      <c r="A31" s="467" t="s">
        <v>334</v>
      </c>
      <c r="B31" s="442" t="s">
        <v>370</v>
      </c>
      <c r="C31" s="439" t="s">
        <v>373</v>
      </c>
      <c r="D31" s="419">
        <v>1</v>
      </c>
      <c r="E31" s="420"/>
    </row>
    <row r="32" spans="1:51" ht="16.5" thickBot="1">
      <c r="A32" s="471" t="s">
        <v>334</v>
      </c>
      <c r="B32" s="443" t="s">
        <v>370</v>
      </c>
      <c r="C32" s="477" t="s">
        <v>374</v>
      </c>
      <c r="D32" s="444">
        <v>1</v>
      </c>
      <c r="E32" s="445"/>
    </row>
    <row r="33" spans="1:17" hidden="1">
      <c r="A33" s="472" t="s">
        <v>337</v>
      </c>
      <c r="B33" s="446"/>
      <c r="C33" s="441" t="s">
        <v>375</v>
      </c>
      <c r="D33" s="447">
        <v>1</v>
      </c>
      <c r="E33" s="448" t="s">
        <v>376</v>
      </c>
    </row>
    <row r="34" spans="1:17" ht="16.5" hidden="1" thickBot="1">
      <c r="A34" s="472" t="s">
        <v>337</v>
      </c>
      <c r="B34" s="449"/>
      <c r="C34" s="450" t="s">
        <v>377</v>
      </c>
      <c r="D34" s="451">
        <v>1</v>
      </c>
      <c r="E34" s="452" t="s">
        <v>378</v>
      </c>
    </row>
    <row r="35" spans="1:17">
      <c r="A35" s="411"/>
      <c r="B35" s="255"/>
      <c r="C35" s="255"/>
      <c r="D35" s="411"/>
      <c r="E35" s="255"/>
    </row>
    <row r="37" spans="1:17">
      <c r="G37" s="453" t="s">
        <v>515</v>
      </c>
      <c r="H37" s="454"/>
      <c r="I37" s="454"/>
      <c r="J37" s="454"/>
      <c r="K37" s="454"/>
    </row>
    <row r="38" spans="1:17">
      <c r="G38" s="454"/>
      <c r="H38" s="454"/>
      <c r="I38" s="455" t="s">
        <v>516</v>
      </c>
      <c r="J38" s="455" t="s">
        <v>517</v>
      </c>
      <c r="K38" s="454"/>
    </row>
    <row r="39" spans="1:17">
      <c r="B39" s="456"/>
      <c r="G39" s="457" t="s">
        <v>87</v>
      </c>
      <c r="H39" s="457" t="s">
        <v>518</v>
      </c>
      <c r="I39" s="458" t="s">
        <v>519</v>
      </c>
      <c r="J39" s="458" t="s">
        <v>519</v>
      </c>
      <c r="K39" s="457" t="s">
        <v>520</v>
      </c>
      <c r="L39" s="459" t="s">
        <v>569</v>
      </c>
      <c r="M39" s="459" t="s">
        <v>570</v>
      </c>
      <c r="N39" s="459" t="s">
        <v>571</v>
      </c>
      <c r="O39" s="460" t="s">
        <v>388</v>
      </c>
      <c r="P39" s="460" t="s">
        <v>398</v>
      </c>
      <c r="Q39" s="460" t="s">
        <v>399</v>
      </c>
    </row>
    <row r="40" spans="1:17">
      <c r="B40" s="456"/>
      <c r="G40" s="461" t="s">
        <v>93</v>
      </c>
      <c r="H40" s="461">
        <v>1869</v>
      </c>
      <c r="I40" s="461">
        <v>0.4</v>
      </c>
      <c r="J40" s="461">
        <v>0.4</v>
      </c>
      <c r="K40" s="462" t="s">
        <v>521</v>
      </c>
      <c r="L40" s="459">
        <f>'Duke Com-New Measures Calc'!F140*1000000</f>
        <v>14960000</v>
      </c>
      <c r="M40" s="459">
        <f>'Duke Com-New Measures Calc'!G140*1000</f>
        <v>1700</v>
      </c>
      <c r="N40" s="459">
        <f>'Duke Com-New Measures Calc'!H140*1000</f>
        <v>400</v>
      </c>
      <c r="O40" s="460">
        <f>L40/1000000</f>
        <v>14.96</v>
      </c>
      <c r="P40" s="460">
        <f>M40/1000</f>
        <v>1.7</v>
      </c>
      <c r="Q40" s="460">
        <f>N40/1000</f>
        <v>0.4</v>
      </c>
    </row>
    <row r="41" spans="1:17">
      <c r="G41" s="461" t="s">
        <v>522</v>
      </c>
      <c r="H41" s="461">
        <v>1160</v>
      </c>
      <c r="I41" s="461">
        <v>0.2</v>
      </c>
      <c r="J41" s="461">
        <v>0.2</v>
      </c>
      <c r="K41" s="462" t="s">
        <v>523</v>
      </c>
      <c r="L41" s="459">
        <f>'Duke Com-New Measures Calc'!F148*1000000</f>
        <v>16540000</v>
      </c>
      <c r="M41" s="459">
        <f>'Duke Com-New Measures Calc'!G148*1000</f>
        <v>1800</v>
      </c>
      <c r="N41" s="459">
        <f>'Duke Com-New Measures Calc'!H148*1000</f>
        <v>400</v>
      </c>
      <c r="O41" s="460">
        <f t="shared" ref="O41:O44" si="0">L41/1000000</f>
        <v>16.54</v>
      </c>
      <c r="P41" s="460">
        <f t="shared" ref="P41:Q44" si="1">M41/1000</f>
        <v>1.8</v>
      </c>
      <c r="Q41" s="460">
        <f t="shared" si="1"/>
        <v>0.4</v>
      </c>
    </row>
    <row r="42" spans="1:17">
      <c r="G42" s="461" t="s">
        <v>524</v>
      </c>
      <c r="H42" s="461">
        <v>2523</v>
      </c>
      <c r="I42" s="461">
        <v>0.5</v>
      </c>
      <c r="J42" s="461">
        <v>0.5</v>
      </c>
      <c r="K42" s="462" t="s">
        <v>525</v>
      </c>
      <c r="L42" s="463">
        <f>(H42/H40)*L40</f>
        <v>20194799.357945427</v>
      </c>
      <c r="M42" s="463">
        <f>(I42/I40)*M40</f>
        <v>2125</v>
      </c>
      <c r="N42" s="463">
        <f>(J42/J40)*N40</f>
        <v>500</v>
      </c>
      <c r="O42" s="460">
        <f t="shared" si="0"/>
        <v>20.194799357945428</v>
      </c>
      <c r="P42" s="460">
        <f t="shared" si="1"/>
        <v>2.125</v>
      </c>
      <c r="Q42" s="460">
        <f t="shared" si="1"/>
        <v>0.5</v>
      </c>
    </row>
    <row r="43" spans="1:17">
      <c r="G43" s="461" t="s">
        <v>526</v>
      </c>
      <c r="H43" s="461">
        <v>60081</v>
      </c>
      <c r="I43" s="461">
        <v>13.79</v>
      </c>
      <c r="J43" s="461">
        <v>13.79</v>
      </c>
      <c r="K43" s="462" t="s">
        <v>525</v>
      </c>
      <c r="L43" s="459">
        <f>(H43/$H$40)*$L$40</f>
        <v>480905168.53932583</v>
      </c>
      <c r="M43" s="463">
        <f>(I43/I40)*M40</f>
        <v>58607.499999999993</v>
      </c>
      <c r="N43" s="463">
        <f>(J43/J40)*N40</f>
        <v>13789.999999999998</v>
      </c>
      <c r="O43" s="460">
        <f t="shared" si="0"/>
        <v>480.90516853932581</v>
      </c>
      <c r="P43" s="460">
        <f t="shared" si="1"/>
        <v>58.607499999999995</v>
      </c>
      <c r="Q43" s="460">
        <f t="shared" si="1"/>
        <v>13.789999999999997</v>
      </c>
    </row>
    <row r="44" spans="1:17">
      <c r="G44" s="461" t="s">
        <v>527</v>
      </c>
      <c r="H44" s="461">
        <v>6534</v>
      </c>
      <c r="I44" s="461">
        <v>1.2</v>
      </c>
      <c r="J44" s="461">
        <v>1.2</v>
      </c>
      <c r="K44" s="462" t="s">
        <v>525</v>
      </c>
      <c r="L44" s="459">
        <f>(H44/$H$40)*$L$40</f>
        <v>52299967.897271268</v>
      </c>
      <c r="M44" s="463">
        <f>(I44/I40)*M42</f>
        <v>6374.9999999999991</v>
      </c>
      <c r="N44" s="463">
        <f>(J44/J40)*N42</f>
        <v>1499.9999999999998</v>
      </c>
      <c r="O44" s="460">
        <f t="shared" si="0"/>
        <v>52.299967897271266</v>
      </c>
      <c r="P44" s="460">
        <f t="shared" si="1"/>
        <v>6.3749999999999991</v>
      </c>
      <c r="Q44" s="460">
        <f t="shared" si="1"/>
        <v>1.4999999999999998</v>
      </c>
    </row>
    <row r="45" spans="1:17">
      <c r="G45" s="461" t="s">
        <v>528</v>
      </c>
      <c r="H45" s="461">
        <v>1797</v>
      </c>
      <c r="I45" s="461">
        <v>0.2</v>
      </c>
      <c r="J45" s="461">
        <v>0.2</v>
      </c>
      <c r="K45" s="462" t="s">
        <v>525</v>
      </c>
      <c r="O45" s="464"/>
      <c r="P45" s="464"/>
      <c r="Q45" s="464"/>
    </row>
    <row r="46" spans="1:17">
      <c r="G46" s="465"/>
      <c r="H46" s="465"/>
      <c r="I46" s="465"/>
      <c r="J46" s="465"/>
      <c r="K46" s="465"/>
    </row>
  </sheetData>
  <conditionalFormatting sqref="B4:B7 C6">
    <cfRule type="expression" dxfId="3" priority="13">
      <formula>"IF($A$3=""O"")"</formula>
    </cfRule>
  </conditionalFormatting>
  <conditionalFormatting sqref="A3:A34">
    <cfRule type="cellIs" dxfId="2" priority="10" operator="equal">
      <formula>"O"</formula>
    </cfRule>
    <cfRule type="cellIs" dxfId="1" priority="12" operator="equal">
      <formula>"""O"""</formula>
    </cfRule>
  </conditionalFormatting>
  <conditionalFormatting sqref="A4:A10 A15:A16 A18:A21 A26:A32 A24">
    <cfRule type="cellIs" dxfId="0" priority="11" operator="equal">
      <formula>"""O"""</formula>
    </cfRule>
  </conditionalFormatting>
  <printOptions horizontalCentered="1"/>
  <pageMargins left="0.2" right="0" top="0.75" bottom="0.5" header="0.3" footer="0.3"/>
  <pageSetup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4"/>
  <sheetViews>
    <sheetView zoomScale="85" zoomScaleNormal="85" workbookViewId="0"/>
  </sheetViews>
  <sheetFormatPr defaultRowHeight="15"/>
  <cols>
    <col min="1" max="1" width="54" style="846" customWidth="1"/>
    <col min="2" max="3" width="14.5703125" style="846" customWidth="1"/>
    <col min="4" max="8" width="13.85546875" style="846" customWidth="1"/>
    <col min="9" max="9" width="13" style="846" customWidth="1"/>
    <col min="10" max="10" width="14.140625" style="846" hidden="1" customWidth="1"/>
    <col min="11" max="11" width="20.85546875" style="846" customWidth="1"/>
    <col min="12" max="12" width="54.7109375" style="846" customWidth="1"/>
    <col min="13" max="13" width="24.5703125" style="846" bestFit="1" customWidth="1"/>
    <col min="14" max="16" width="0" style="846" hidden="1" customWidth="1"/>
    <col min="17" max="16384" width="9.140625" style="847"/>
  </cols>
  <sheetData>
    <row r="2" spans="1:16" ht="30">
      <c r="A2" s="843" t="s">
        <v>457</v>
      </c>
      <c r="B2" s="844" t="s">
        <v>829</v>
      </c>
      <c r="C2" s="844" t="s">
        <v>830</v>
      </c>
      <c r="D2" s="844" t="s">
        <v>831</v>
      </c>
      <c r="E2" s="844" t="s">
        <v>832</v>
      </c>
      <c r="F2" s="844" t="s">
        <v>833</v>
      </c>
      <c r="G2" s="844" t="s">
        <v>834</v>
      </c>
      <c r="H2" s="844"/>
      <c r="I2" s="845" t="s">
        <v>835</v>
      </c>
      <c r="J2" s="845" t="s">
        <v>467</v>
      </c>
      <c r="K2" s="845" t="s">
        <v>836</v>
      </c>
      <c r="L2" s="845" t="s">
        <v>468</v>
      </c>
      <c r="M2" s="845" t="s">
        <v>837</v>
      </c>
    </row>
    <row r="3" spans="1:16">
      <c r="A3" s="952" t="s">
        <v>751</v>
      </c>
      <c r="B3" s="953"/>
      <c r="C3" s="953"/>
      <c r="D3" s="953"/>
      <c r="E3" s="953"/>
      <c r="F3" s="953"/>
      <c r="G3" s="953"/>
      <c r="H3" s="953"/>
      <c r="I3" s="953"/>
      <c r="J3" s="953"/>
      <c r="K3" s="953"/>
      <c r="L3" s="953"/>
      <c r="M3" s="954"/>
    </row>
    <row r="4" spans="1:16">
      <c r="A4" s="250" t="s">
        <v>838</v>
      </c>
      <c r="B4" s="848">
        <v>3.0999999999999996E-2</v>
      </c>
      <c r="C4" s="849">
        <v>1.9808999999999997E-2</v>
      </c>
      <c r="D4" s="849">
        <v>5.6</v>
      </c>
      <c r="E4" s="849"/>
      <c r="F4" s="849"/>
      <c r="G4" s="849"/>
      <c r="H4" s="849"/>
      <c r="I4" s="850">
        <v>18.57</v>
      </c>
      <c r="J4" s="851" t="s">
        <v>839</v>
      </c>
      <c r="K4" s="852">
        <v>137</v>
      </c>
      <c r="L4" s="853" t="s">
        <v>295</v>
      </c>
      <c r="M4" s="854">
        <v>220</v>
      </c>
      <c r="N4" s="855">
        <v>137</v>
      </c>
    </row>
    <row r="5" spans="1:16">
      <c r="A5" s="250" t="s">
        <v>840</v>
      </c>
      <c r="B5" s="848">
        <v>3.0999999999999996E-2</v>
      </c>
      <c r="C5" s="849">
        <v>1.9808999999999997E-2</v>
      </c>
      <c r="D5" s="849">
        <v>28</v>
      </c>
      <c r="E5" s="849"/>
      <c r="F5" s="849"/>
      <c r="G5" s="849"/>
      <c r="H5" s="849"/>
      <c r="I5" s="850">
        <v>18.57</v>
      </c>
      <c r="J5" s="851" t="s">
        <v>839</v>
      </c>
      <c r="K5" s="852">
        <v>27</v>
      </c>
      <c r="L5" s="853" t="s">
        <v>296</v>
      </c>
      <c r="M5" s="854">
        <v>230</v>
      </c>
      <c r="N5" s="855">
        <v>27</v>
      </c>
    </row>
    <row r="6" spans="1:16">
      <c r="A6" s="856" t="s">
        <v>841</v>
      </c>
      <c r="B6" s="848">
        <v>3.0999999999999996E-2</v>
      </c>
      <c r="C6" s="849">
        <v>1.9808999999999997E-2</v>
      </c>
      <c r="D6" s="849">
        <v>67.199999999999989</v>
      </c>
      <c r="E6" s="849"/>
      <c r="F6" s="849"/>
      <c r="G6" s="849"/>
      <c r="H6" s="849"/>
      <c r="I6" s="850">
        <v>18.57</v>
      </c>
      <c r="J6" s="851" t="s">
        <v>839</v>
      </c>
      <c r="K6" s="852">
        <v>11</v>
      </c>
      <c r="L6" s="853" t="s">
        <v>297</v>
      </c>
      <c r="M6" s="854">
        <v>240</v>
      </c>
      <c r="N6" s="855">
        <v>11</v>
      </c>
    </row>
    <row r="7" spans="1:16">
      <c r="A7" s="857" t="s">
        <v>842</v>
      </c>
      <c r="B7" s="858">
        <v>0</v>
      </c>
      <c r="C7" s="859">
        <v>0</v>
      </c>
      <c r="D7" s="859">
        <v>87.7</v>
      </c>
      <c r="E7" s="859"/>
      <c r="F7" s="859"/>
      <c r="G7" s="859"/>
      <c r="H7" s="859"/>
      <c r="I7" s="860">
        <v>26.97</v>
      </c>
      <c r="J7" s="861" t="s">
        <v>839</v>
      </c>
      <c r="K7" s="862">
        <v>8.5616438356164384</v>
      </c>
      <c r="L7" s="863" t="s">
        <v>843</v>
      </c>
      <c r="M7" s="864">
        <v>260</v>
      </c>
      <c r="N7" s="865">
        <f>25000/(8*365)</f>
        <v>8.5616438356164384</v>
      </c>
      <c r="O7" s="866">
        <v>8</v>
      </c>
      <c r="P7" s="867" t="s">
        <v>844</v>
      </c>
    </row>
    <row r="8" spans="1:16">
      <c r="A8" s="857" t="s">
        <v>845</v>
      </c>
      <c r="B8" s="868">
        <v>2.0999999999999999E-3</v>
      </c>
      <c r="C8" s="869">
        <v>2.9808999999999999E-3</v>
      </c>
      <c r="D8" s="859">
        <v>39.21</v>
      </c>
      <c r="E8" s="859"/>
      <c r="F8" s="859"/>
      <c r="G8" s="859"/>
      <c r="H8" s="859"/>
      <c r="I8" s="860">
        <v>18.57</v>
      </c>
      <c r="J8" s="870"/>
      <c r="K8" s="871">
        <v>30</v>
      </c>
      <c r="L8" s="872"/>
      <c r="M8" s="873"/>
      <c r="N8" s="865"/>
      <c r="O8" s="866"/>
      <c r="P8" s="867"/>
    </row>
    <row r="9" spans="1:16">
      <c r="A9" s="955" t="s">
        <v>846</v>
      </c>
      <c r="B9" s="953"/>
      <c r="C9" s="953"/>
      <c r="D9" s="953"/>
      <c r="E9" s="953"/>
      <c r="F9" s="953"/>
      <c r="G9" s="953"/>
      <c r="H9" s="953"/>
      <c r="I9" s="953"/>
      <c r="J9" s="953"/>
      <c r="K9" s="953"/>
      <c r="L9" s="953"/>
      <c r="M9" s="954"/>
      <c r="N9" s="855"/>
    </row>
    <row r="10" spans="1:16">
      <c r="A10" s="250" t="s">
        <v>847</v>
      </c>
      <c r="B10" s="874">
        <v>6.0000000000000001E-3</v>
      </c>
      <c r="C10" s="875">
        <v>3.8339999999999989E-3</v>
      </c>
      <c r="D10" s="875">
        <v>19.866</v>
      </c>
      <c r="E10" s="875">
        <v>1</v>
      </c>
      <c r="F10" s="875">
        <v>0.64</v>
      </c>
      <c r="G10" s="875">
        <v>3311</v>
      </c>
      <c r="H10" s="875"/>
      <c r="I10" s="850">
        <v>18.57</v>
      </c>
      <c r="J10" s="851" t="s">
        <v>839</v>
      </c>
      <c r="K10" s="876">
        <v>7.5505889459377835</v>
      </c>
      <c r="L10" s="877" t="s">
        <v>551</v>
      </c>
      <c r="M10" s="878">
        <v>145</v>
      </c>
      <c r="N10" s="855">
        <f>25000/O10</f>
        <v>7.5505889459377835</v>
      </c>
      <c r="O10" s="846">
        <v>3311</v>
      </c>
    </row>
    <row r="11" spans="1:16">
      <c r="A11" s="857" t="s">
        <v>848</v>
      </c>
      <c r="B11" s="879">
        <v>0</v>
      </c>
      <c r="C11" s="880">
        <v>0</v>
      </c>
      <c r="D11" s="880">
        <v>980.1</v>
      </c>
      <c r="E11" s="881"/>
      <c r="F11" s="881"/>
      <c r="G11" s="881"/>
      <c r="H11" s="880"/>
      <c r="I11" s="860">
        <v>375</v>
      </c>
      <c r="J11" s="861"/>
      <c r="K11" s="862">
        <v>23</v>
      </c>
      <c r="L11" s="882" t="s">
        <v>167</v>
      </c>
      <c r="M11" s="864"/>
      <c r="N11" s="865"/>
      <c r="O11" s="866"/>
      <c r="P11" s="866"/>
    </row>
    <row r="12" spans="1:16">
      <c r="A12" s="856" t="s">
        <v>555</v>
      </c>
      <c r="B12" s="883">
        <v>3.9E-2</v>
      </c>
      <c r="C12" s="884">
        <v>2.5000000000000001E-2</v>
      </c>
      <c r="D12" s="884">
        <v>129.1</v>
      </c>
      <c r="E12" s="875">
        <v>1</v>
      </c>
      <c r="F12" s="875">
        <v>0.64</v>
      </c>
      <c r="G12" s="875">
        <v>3311.0000000000009</v>
      </c>
      <c r="H12" s="884"/>
      <c r="I12" s="850">
        <v>33.64</v>
      </c>
      <c r="J12" s="851" t="s">
        <v>849</v>
      </c>
      <c r="K12" s="852">
        <v>10.570824524312897</v>
      </c>
      <c r="L12" s="885" t="s">
        <v>850</v>
      </c>
      <c r="M12" s="878">
        <v>130</v>
      </c>
      <c r="N12" s="855">
        <f>35000/O10</f>
        <v>10.570824524312897</v>
      </c>
    </row>
    <row r="13" spans="1:16">
      <c r="A13" s="250" t="s">
        <v>851</v>
      </c>
      <c r="B13" s="886">
        <v>0.3175</v>
      </c>
      <c r="C13" s="887">
        <v>0.20288249999999999</v>
      </c>
      <c r="D13" s="887">
        <v>1051.2</v>
      </c>
      <c r="E13" s="875">
        <v>1</v>
      </c>
      <c r="F13" s="875">
        <v>0.64</v>
      </c>
      <c r="G13" s="875">
        <v>3311.0000000000009</v>
      </c>
      <c r="H13" s="887"/>
      <c r="I13" s="850">
        <v>325.17</v>
      </c>
      <c r="J13" s="888" t="s">
        <v>852</v>
      </c>
      <c r="K13" s="889">
        <v>15.101177891875567</v>
      </c>
      <c r="L13" s="890" t="s">
        <v>173</v>
      </c>
      <c r="M13" s="878">
        <v>150</v>
      </c>
      <c r="N13" s="855">
        <f>50000/O10</f>
        <v>15.101177891875567</v>
      </c>
    </row>
    <row r="14" spans="1:16">
      <c r="A14" s="891" t="s">
        <v>541</v>
      </c>
      <c r="B14" s="892">
        <v>0.04</v>
      </c>
      <c r="C14" s="892">
        <v>2.5999999999999999E-2</v>
      </c>
      <c r="D14" s="892">
        <v>132.4</v>
      </c>
      <c r="E14" s="875">
        <v>1</v>
      </c>
      <c r="F14" s="875">
        <v>0.64</v>
      </c>
      <c r="G14" s="875">
        <v>3311.0000000000009</v>
      </c>
      <c r="H14" s="892"/>
      <c r="I14" s="893">
        <v>188.8</v>
      </c>
      <c r="J14" s="894" t="s">
        <v>852</v>
      </c>
      <c r="K14" s="876">
        <v>15.101177891875567</v>
      </c>
      <c r="L14" s="877" t="s">
        <v>183</v>
      </c>
      <c r="M14" s="895">
        <v>120</v>
      </c>
      <c r="N14" s="855">
        <f>50000/O10</f>
        <v>15.101177891875567</v>
      </c>
    </row>
    <row r="15" spans="1:16">
      <c r="A15" s="896" t="s">
        <v>536</v>
      </c>
      <c r="B15" s="887">
        <v>1.7</v>
      </c>
      <c r="C15" s="887">
        <v>0</v>
      </c>
      <c r="D15" s="887">
        <v>10915</v>
      </c>
      <c r="E15" s="875">
        <v>1</v>
      </c>
      <c r="F15" s="875">
        <v>0</v>
      </c>
      <c r="G15" s="875">
        <v>6420.588235294118</v>
      </c>
      <c r="H15" s="887"/>
      <c r="I15" s="850">
        <v>3105</v>
      </c>
      <c r="J15" s="851" t="s">
        <v>853</v>
      </c>
      <c r="K15" s="897">
        <v>15</v>
      </c>
      <c r="L15" s="898" t="s">
        <v>854</v>
      </c>
      <c r="M15" s="878">
        <v>320</v>
      </c>
      <c r="N15" s="855"/>
    </row>
    <row r="16" spans="1:16">
      <c r="A16" s="899" t="s">
        <v>587</v>
      </c>
      <c r="B16" s="900">
        <v>1.78</v>
      </c>
      <c r="C16" s="892">
        <v>2.5</v>
      </c>
      <c r="D16" s="892">
        <v>7172</v>
      </c>
      <c r="E16" s="875">
        <v>1</v>
      </c>
      <c r="F16" s="875">
        <v>1.4044943820224718</v>
      </c>
      <c r="G16" s="875">
        <v>4029.2134831460676</v>
      </c>
      <c r="H16" s="892"/>
      <c r="I16" s="850">
        <v>2500</v>
      </c>
      <c r="J16" s="851" t="s">
        <v>853</v>
      </c>
      <c r="K16" s="901">
        <v>15</v>
      </c>
      <c r="L16" s="877" t="s">
        <v>854</v>
      </c>
      <c r="M16" s="878">
        <v>320</v>
      </c>
      <c r="N16" s="855"/>
    </row>
    <row r="17" spans="1:14">
      <c r="A17" s="956" t="s">
        <v>565</v>
      </c>
      <c r="B17" s="953"/>
      <c r="C17" s="953"/>
      <c r="D17" s="953"/>
      <c r="E17" s="953"/>
      <c r="F17" s="953"/>
      <c r="G17" s="953"/>
      <c r="H17" s="953"/>
      <c r="I17" s="953"/>
      <c r="J17" s="953"/>
      <c r="K17" s="953"/>
      <c r="L17" s="953"/>
      <c r="M17" s="954"/>
      <c r="N17" s="855"/>
    </row>
    <row r="18" spans="1:14">
      <c r="A18" s="878" t="s">
        <v>541</v>
      </c>
      <c r="B18" s="902">
        <v>0.04</v>
      </c>
      <c r="C18" s="902">
        <v>2.5999999999999999E-2</v>
      </c>
      <c r="D18" s="902">
        <v>132.4</v>
      </c>
      <c r="E18" s="875">
        <v>1</v>
      </c>
      <c r="F18" s="875">
        <v>0.64</v>
      </c>
      <c r="G18" s="875">
        <v>3311.0000000000009</v>
      </c>
      <c r="H18" s="902"/>
      <c r="I18" s="893">
        <f>47.2*4</f>
        <v>188.8</v>
      </c>
      <c r="J18" s="894" t="s">
        <v>852</v>
      </c>
      <c r="K18" s="903">
        <v>15</v>
      </c>
      <c r="L18" s="55" t="s">
        <v>289</v>
      </c>
      <c r="M18" s="878">
        <v>800</v>
      </c>
      <c r="N18" s="855">
        <v>15</v>
      </c>
    </row>
    <row r="19" spans="1:14">
      <c r="A19" s="904" t="s">
        <v>555</v>
      </c>
      <c r="B19" s="848">
        <v>0.04</v>
      </c>
      <c r="C19" s="849">
        <v>0.03</v>
      </c>
      <c r="D19" s="884">
        <v>129.1</v>
      </c>
      <c r="E19" s="875">
        <v>1</v>
      </c>
      <c r="F19" s="875">
        <v>0.64</v>
      </c>
      <c r="G19" s="875">
        <v>3311.0000000000009</v>
      </c>
      <c r="H19" s="849"/>
      <c r="I19" s="850">
        <v>32.61</v>
      </c>
      <c r="J19" s="851" t="s">
        <v>849</v>
      </c>
      <c r="K19" s="852">
        <v>10.570824524312897</v>
      </c>
      <c r="L19" s="55" t="s">
        <v>289</v>
      </c>
      <c r="M19" s="878">
        <v>800</v>
      </c>
      <c r="N19" s="855">
        <v>10.570824524312897</v>
      </c>
    </row>
    <row r="20" spans="1:14">
      <c r="A20" s="250" t="s">
        <v>590</v>
      </c>
      <c r="B20" s="905">
        <v>0.3175</v>
      </c>
      <c r="C20" s="906">
        <v>0.20288249999999999</v>
      </c>
      <c r="D20" s="906">
        <v>1051.2</v>
      </c>
      <c r="E20" s="875">
        <v>1</v>
      </c>
      <c r="F20" s="875">
        <v>0.63900000000000001</v>
      </c>
      <c r="G20" s="875">
        <v>3311.0000000000009</v>
      </c>
      <c r="H20" s="906"/>
      <c r="I20" s="850">
        <v>299.17</v>
      </c>
      <c r="J20" s="888" t="s">
        <v>852</v>
      </c>
      <c r="K20" s="889">
        <v>15.101177891875567</v>
      </c>
      <c r="L20" s="55" t="s">
        <v>289</v>
      </c>
      <c r="M20" s="878">
        <v>800</v>
      </c>
      <c r="N20" s="855">
        <v>15.101177891875567</v>
      </c>
    </row>
    <row r="21" spans="1:14">
      <c r="A21" s="896" t="s">
        <v>536</v>
      </c>
      <c r="B21" s="906">
        <v>1.7</v>
      </c>
      <c r="C21" s="906">
        <v>0</v>
      </c>
      <c r="D21" s="906">
        <v>10915</v>
      </c>
      <c r="E21" s="875">
        <v>1</v>
      </c>
      <c r="F21" s="875">
        <v>0</v>
      </c>
      <c r="G21" s="875">
        <v>6420.588235294118</v>
      </c>
      <c r="H21" s="906"/>
      <c r="I21" s="850">
        <v>3105</v>
      </c>
      <c r="J21" s="851" t="s">
        <v>853</v>
      </c>
      <c r="K21" s="897">
        <v>15</v>
      </c>
      <c r="L21" s="898" t="s">
        <v>854</v>
      </c>
      <c r="M21" s="878">
        <v>720</v>
      </c>
    </row>
    <row r="22" spans="1:14">
      <c r="A22" s="899" t="s">
        <v>587</v>
      </c>
      <c r="B22" s="906">
        <v>1.78</v>
      </c>
      <c r="C22" s="906">
        <v>2.5</v>
      </c>
      <c r="D22" s="906">
        <v>7172</v>
      </c>
      <c r="E22" s="875">
        <v>1</v>
      </c>
      <c r="F22" s="875">
        <v>1.4044943820224718</v>
      </c>
      <c r="G22" s="875">
        <v>4029.2134831460676</v>
      </c>
      <c r="H22" s="906"/>
      <c r="I22" s="850">
        <v>2500</v>
      </c>
      <c r="J22" s="851" t="s">
        <v>853</v>
      </c>
      <c r="K22" s="897">
        <v>15</v>
      </c>
      <c r="L22" s="898" t="s">
        <v>854</v>
      </c>
      <c r="M22" s="878">
        <v>720</v>
      </c>
    </row>
    <row r="24" spans="1:14">
      <c r="B24" s="907"/>
    </row>
    <row r="25" spans="1:14">
      <c r="I25" s="908"/>
    </row>
    <row r="26" spans="1:14">
      <c r="I26" s="907"/>
    </row>
    <row r="27" spans="1:14" ht="15.75" hidden="1">
      <c r="A27" s="909" t="s">
        <v>582</v>
      </c>
      <c r="B27" s="846">
        <v>2.5375000000000002E-2</v>
      </c>
      <c r="C27" s="846">
        <v>2.5375000000000002E-2</v>
      </c>
      <c r="D27" s="846">
        <v>1246</v>
      </c>
      <c r="E27" s="846">
        <f>B27/B27</f>
        <v>1</v>
      </c>
      <c r="F27" s="846">
        <f>C27/B27</f>
        <v>1</v>
      </c>
      <c r="I27" s="910"/>
    </row>
    <row r="28" spans="1:14" ht="15.75" hidden="1">
      <c r="A28" s="909" t="s">
        <v>582</v>
      </c>
      <c r="B28" s="846">
        <v>2.5375000000000002E-2</v>
      </c>
      <c r="C28" s="846">
        <v>2.5375000000000002E-2</v>
      </c>
      <c r="D28" s="846">
        <v>1246</v>
      </c>
      <c r="E28" s="846">
        <f t="shared" ref="E28:E50" si="0">B28/B28</f>
        <v>1</v>
      </c>
      <c r="F28" s="846">
        <f t="shared" ref="F28:F50" si="1">C28/B28</f>
        <v>1</v>
      </c>
    </row>
    <row r="29" spans="1:14" ht="15.75" hidden="1">
      <c r="A29" s="909" t="s">
        <v>582</v>
      </c>
      <c r="B29" s="846">
        <v>2.5375000000000002E-2</v>
      </c>
      <c r="C29" s="846">
        <v>2.5375000000000002E-2</v>
      </c>
      <c r="D29" s="846">
        <v>1246</v>
      </c>
      <c r="E29" s="846">
        <f t="shared" si="0"/>
        <v>1</v>
      </c>
      <c r="F29" s="846">
        <f t="shared" si="1"/>
        <v>1</v>
      </c>
    </row>
    <row r="30" spans="1:14" ht="15.75" hidden="1">
      <c r="A30" s="909" t="s">
        <v>583</v>
      </c>
      <c r="B30" s="846">
        <v>1.7500000000000002E-2</v>
      </c>
      <c r="C30" s="846">
        <v>1.408390410958904E-2</v>
      </c>
      <c r="D30" s="846">
        <v>123.375</v>
      </c>
      <c r="E30" s="846">
        <f t="shared" si="0"/>
        <v>1</v>
      </c>
      <c r="F30" s="846">
        <f t="shared" si="1"/>
        <v>0.80479452054794509</v>
      </c>
    </row>
    <row r="31" spans="1:14" ht="15.75" hidden="1">
      <c r="A31" s="909" t="s">
        <v>583</v>
      </c>
      <c r="B31" s="846">
        <v>1.7500000000000002E-2</v>
      </c>
      <c r="C31" s="846">
        <v>1.408390410958904E-2</v>
      </c>
      <c r="D31" s="846">
        <v>123.375</v>
      </c>
      <c r="E31" s="846">
        <f t="shared" si="0"/>
        <v>1</v>
      </c>
      <c r="F31" s="846">
        <f t="shared" si="1"/>
        <v>0.80479452054794509</v>
      </c>
    </row>
    <row r="32" spans="1:14" ht="15.75" hidden="1">
      <c r="A32" s="909" t="s">
        <v>583</v>
      </c>
      <c r="B32" s="846">
        <v>1.7500000000000002E-2</v>
      </c>
      <c r="C32" s="846">
        <v>1.408390410958904E-2</v>
      </c>
      <c r="D32" s="846">
        <v>123.375</v>
      </c>
      <c r="E32" s="846">
        <f t="shared" si="0"/>
        <v>1</v>
      </c>
      <c r="F32" s="846">
        <f t="shared" si="1"/>
        <v>0.80479452054794509</v>
      </c>
    </row>
    <row r="33" spans="1:6" ht="15.75" hidden="1">
      <c r="A33" s="909" t="s">
        <v>584</v>
      </c>
      <c r="B33" s="846">
        <v>2.3625E-2</v>
      </c>
      <c r="C33" s="846">
        <v>2.3625E-2</v>
      </c>
      <c r="D33" s="846">
        <v>312.375</v>
      </c>
      <c r="E33" s="846">
        <f t="shared" si="0"/>
        <v>1</v>
      </c>
      <c r="F33" s="846">
        <f t="shared" si="1"/>
        <v>1</v>
      </c>
    </row>
    <row r="34" spans="1:6" ht="15.75" hidden="1">
      <c r="A34" s="909" t="s">
        <v>584</v>
      </c>
      <c r="B34" s="846">
        <v>2.3625E-2</v>
      </c>
      <c r="C34" s="846">
        <v>2.3625E-2</v>
      </c>
      <c r="D34" s="846">
        <v>312.375</v>
      </c>
      <c r="E34" s="846">
        <f t="shared" si="0"/>
        <v>1</v>
      </c>
      <c r="F34" s="846">
        <f t="shared" si="1"/>
        <v>1</v>
      </c>
    </row>
    <row r="35" spans="1:6" ht="15.75" hidden="1">
      <c r="A35" s="909" t="s">
        <v>584</v>
      </c>
      <c r="B35" s="846">
        <v>2.3625E-2</v>
      </c>
      <c r="C35" s="846">
        <v>2.3625E-2</v>
      </c>
      <c r="D35" s="846">
        <v>312.375</v>
      </c>
      <c r="E35" s="846">
        <f t="shared" si="0"/>
        <v>1</v>
      </c>
      <c r="F35" s="846">
        <f t="shared" si="1"/>
        <v>1</v>
      </c>
    </row>
    <row r="36" spans="1:6" ht="15.75" hidden="1">
      <c r="A36" s="909" t="s">
        <v>586</v>
      </c>
      <c r="B36" s="846">
        <v>2.37</v>
      </c>
      <c r="C36" s="846">
        <v>0</v>
      </c>
      <c r="D36" s="846">
        <v>20781</v>
      </c>
      <c r="E36" s="846">
        <f t="shared" si="0"/>
        <v>1</v>
      </c>
      <c r="F36" s="846">
        <f t="shared" si="1"/>
        <v>0</v>
      </c>
    </row>
    <row r="37" spans="1:6" ht="15.75" hidden="1">
      <c r="A37" s="909" t="s">
        <v>586</v>
      </c>
      <c r="B37" s="846">
        <v>2.37</v>
      </c>
      <c r="C37" s="846">
        <v>0</v>
      </c>
      <c r="D37" s="846">
        <v>20781</v>
      </c>
      <c r="E37" s="846">
        <f t="shared" si="0"/>
        <v>1</v>
      </c>
      <c r="F37" s="846">
        <f t="shared" si="1"/>
        <v>0</v>
      </c>
    </row>
    <row r="38" spans="1:6" ht="15.75" hidden="1">
      <c r="A38" s="909" t="s">
        <v>586</v>
      </c>
      <c r="B38" s="846">
        <v>2.37</v>
      </c>
      <c r="C38" s="846">
        <v>0</v>
      </c>
      <c r="D38" s="846">
        <v>20781</v>
      </c>
      <c r="E38" s="846">
        <f t="shared" si="0"/>
        <v>1</v>
      </c>
      <c r="F38" s="846">
        <f t="shared" si="1"/>
        <v>0</v>
      </c>
    </row>
    <row r="39" spans="1:6" ht="15.75" hidden="1">
      <c r="A39" s="909" t="s">
        <v>526</v>
      </c>
      <c r="B39" s="846">
        <v>13.79</v>
      </c>
      <c r="C39" s="846">
        <v>13.79</v>
      </c>
      <c r="D39" s="846">
        <v>60081</v>
      </c>
      <c r="E39" s="846">
        <f t="shared" si="0"/>
        <v>1</v>
      </c>
      <c r="F39" s="846">
        <f t="shared" si="1"/>
        <v>1</v>
      </c>
    </row>
    <row r="40" spans="1:6" ht="15.75" hidden="1">
      <c r="A40" s="909" t="s">
        <v>526</v>
      </c>
      <c r="B40" s="846">
        <v>13.79</v>
      </c>
      <c r="C40" s="846">
        <v>13.79</v>
      </c>
      <c r="D40" s="846">
        <v>60081</v>
      </c>
      <c r="E40" s="846">
        <f t="shared" si="0"/>
        <v>1</v>
      </c>
      <c r="F40" s="846">
        <f t="shared" si="1"/>
        <v>1</v>
      </c>
    </row>
    <row r="41" spans="1:6" ht="15.75" hidden="1">
      <c r="A41" s="909" t="s">
        <v>526</v>
      </c>
      <c r="B41" s="846">
        <v>13.79</v>
      </c>
      <c r="C41" s="846">
        <v>13.79</v>
      </c>
      <c r="D41" s="846">
        <v>60081</v>
      </c>
      <c r="E41" s="846">
        <f t="shared" si="0"/>
        <v>1</v>
      </c>
      <c r="F41" s="846">
        <f t="shared" si="1"/>
        <v>1</v>
      </c>
    </row>
    <row r="42" spans="1:6" ht="15.75" hidden="1">
      <c r="A42" s="909" t="s">
        <v>527</v>
      </c>
      <c r="B42" s="846">
        <v>1.2</v>
      </c>
      <c r="C42" s="846">
        <v>1.2</v>
      </c>
      <c r="D42" s="846">
        <v>6534</v>
      </c>
      <c r="E42" s="846">
        <f t="shared" si="0"/>
        <v>1</v>
      </c>
      <c r="F42" s="846">
        <f t="shared" si="1"/>
        <v>1</v>
      </c>
    </row>
    <row r="43" spans="1:6" ht="15.75" hidden="1">
      <c r="A43" s="909" t="s">
        <v>527</v>
      </c>
      <c r="B43" s="846">
        <v>1.2</v>
      </c>
      <c r="C43" s="846">
        <v>1.2</v>
      </c>
      <c r="D43" s="846">
        <v>6534</v>
      </c>
      <c r="E43" s="846">
        <f t="shared" si="0"/>
        <v>1</v>
      </c>
      <c r="F43" s="846">
        <f t="shared" si="1"/>
        <v>1</v>
      </c>
    </row>
    <row r="44" spans="1:6" ht="15.75" hidden="1">
      <c r="A44" s="909" t="s">
        <v>527</v>
      </c>
      <c r="B44" s="846">
        <v>1.2</v>
      </c>
      <c r="C44" s="846">
        <v>1.2</v>
      </c>
      <c r="D44" s="846">
        <v>6534</v>
      </c>
      <c r="E44" s="846">
        <f t="shared" si="0"/>
        <v>1</v>
      </c>
      <c r="F44" s="846">
        <f t="shared" si="1"/>
        <v>1</v>
      </c>
    </row>
    <row r="45" spans="1:6" ht="15.75" hidden="1">
      <c r="A45" s="909" t="s">
        <v>524</v>
      </c>
      <c r="B45" s="846">
        <v>0.5</v>
      </c>
      <c r="C45" s="846">
        <v>0.5</v>
      </c>
      <c r="D45" s="846">
        <v>2523</v>
      </c>
      <c r="E45" s="846">
        <f t="shared" si="0"/>
        <v>1</v>
      </c>
      <c r="F45" s="846">
        <f t="shared" si="1"/>
        <v>1</v>
      </c>
    </row>
    <row r="46" spans="1:6" ht="15.75" hidden="1">
      <c r="A46" s="909" t="s">
        <v>524</v>
      </c>
      <c r="B46" s="846">
        <v>0.5</v>
      </c>
      <c r="C46" s="846">
        <v>0.5</v>
      </c>
      <c r="D46" s="846">
        <v>2523</v>
      </c>
      <c r="E46" s="846">
        <f t="shared" si="0"/>
        <v>1</v>
      </c>
      <c r="F46" s="846">
        <f t="shared" si="1"/>
        <v>1</v>
      </c>
    </row>
    <row r="47" spans="1:6" ht="15.75" hidden="1">
      <c r="A47" s="909" t="s">
        <v>524</v>
      </c>
      <c r="B47" s="846">
        <v>0.5</v>
      </c>
      <c r="C47" s="846">
        <v>0.5</v>
      </c>
      <c r="D47" s="846">
        <v>2523</v>
      </c>
      <c r="E47" s="846">
        <f t="shared" si="0"/>
        <v>1</v>
      </c>
      <c r="F47" s="846">
        <f t="shared" si="1"/>
        <v>1</v>
      </c>
    </row>
    <row r="48" spans="1:6" ht="15.75" hidden="1">
      <c r="A48" s="909" t="s">
        <v>528</v>
      </c>
      <c r="B48" s="846">
        <v>0.2</v>
      </c>
      <c r="C48" s="846">
        <v>0.2</v>
      </c>
      <c r="D48" s="846">
        <v>1797</v>
      </c>
      <c r="E48" s="846">
        <f t="shared" si="0"/>
        <v>1</v>
      </c>
      <c r="F48" s="846">
        <f t="shared" si="1"/>
        <v>1</v>
      </c>
    </row>
    <row r="49" spans="1:9" ht="15.75" hidden="1">
      <c r="A49" s="909" t="s">
        <v>528</v>
      </c>
      <c r="B49" s="846">
        <v>0.2</v>
      </c>
      <c r="C49" s="846">
        <v>0.2</v>
      </c>
      <c r="D49" s="846">
        <v>1797</v>
      </c>
      <c r="E49" s="846">
        <f t="shared" si="0"/>
        <v>1</v>
      </c>
      <c r="F49" s="846">
        <f t="shared" si="1"/>
        <v>1</v>
      </c>
    </row>
    <row r="50" spans="1:9" ht="15.75" hidden="1">
      <c r="A50" s="909" t="s">
        <v>528</v>
      </c>
      <c r="B50" s="846">
        <v>0.2</v>
      </c>
      <c r="C50" s="846">
        <v>0.2</v>
      </c>
      <c r="D50" s="846">
        <v>1797</v>
      </c>
      <c r="E50" s="846">
        <f t="shared" si="0"/>
        <v>1</v>
      </c>
      <c r="F50" s="846">
        <f t="shared" si="1"/>
        <v>1</v>
      </c>
    </row>
    <row r="51" spans="1:9" ht="15.75" hidden="1">
      <c r="A51" s="909"/>
    </row>
    <row r="52" spans="1:9" ht="15.75" hidden="1">
      <c r="A52" s="909"/>
    </row>
    <row r="53" spans="1:9" ht="15.75" hidden="1">
      <c r="A53" s="909"/>
    </row>
    <row r="54" spans="1:9" ht="15.75" hidden="1">
      <c r="A54" s="909"/>
    </row>
    <row r="55" spans="1:9" ht="15.75" hidden="1">
      <c r="A55" s="909"/>
    </row>
    <row r="56" spans="1:9" ht="15.75" hidden="1">
      <c r="A56" s="909"/>
    </row>
    <row r="57" spans="1:9" ht="15.75" hidden="1">
      <c r="A57" s="909"/>
    </row>
    <row r="58" spans="1:9" ht="15.75" hidden="1">
      <c r="A58" s="909"/>
    </row>
    <row r="59" spans="1:9" ht="15.75" hidden="1">
      <c r="A59" s="909"/>
    </row>
    <row r="60" spans="1:9" ht="15.75" hidden="1">
      <c r="A60" s="909"/>
    </row>
    <row r="61" spans="1:9" hidden="1"/>
    <row r="64" spans="1:9">
      <c r="I64" s="910"/>
    </row>
  </sheetData>
  <mergeCells count="3">
    <mergeCell ref="A3:M3"/>
    <mergeCell ref="A9:M9"/>
    <mergeCell ref="A17:M17"/>
  </mergeCells>
  <pageMargins left="0.7" right="0.7" top="0.75" bottom="0.75" header="0.3" footer="0.3"/>
  <pageSetup paperSize="17" orientation="landscape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8FDD30AFF8374498E83949D515C5C2" ma:contentTypeVersion="0" ma:contentTypeDescription="Create a new document." ma:contentTypeScope="" ma:versionID="6d40630c5b37e3e59df56f9477fe15ed">
  <xsd:schema xmlns:xsd="http://www.w3.org/2001/XMLSchema" xmlns:p="http://schemas.microsoft.com/office/2006/metadata/properties" targetNamespace="http://schemas.microsoft.com/office/2006/metadata/properties" ma:root="true" ma:fieldsID="f4d196f5c675f743c82a55ad494504e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9EED6BE-C9CB-452E-A8A9-A468E29C7B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5DF52E-DEFF-4DFA-B0EC-7207CE29F500}">
  <ds:schemaRefs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AF6C15-C372-4245-B94D-0524F8DFF5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5</vt:i4>
      </vt:variant>
    </vt:vector>
  </HeadingPairs>
  <TitlesOfParts>
    <vt:vector size="27" baseType="lpstr">
      <vt:lpstr>Total Summary Tab</vt:lpstr>
      <vt:lpstr>Residential</vt:lpstr>
      <vt:lpstr>Commercial</vt:lpstr>
      <vt:lpstr>Res Assumptions</vt:lpstr>
      <vt:lpstr>Commercial Assumptions</vt:lpstr>
      <vt:lpstr>Industrial</vt:lpstr>
      <vt:lpstr>Industrial Assumptions</vt:lpstr>
      <vt:lpstr> New Measures 08062013</vt:lpstr>
      <vt:lpstr>FPL new TP measures impacts</vt:lpstr>
      <vt:lpstr>Duke new Measures</vt:lpstr>
      <vt:lpstr>Duke Res-New Measures Calc</vt:lpstr>
      <vt:lpstr>Duke Com-New Measures Calc</vt:lpstr>
      <vt:lpstr>Duke Ind - Calcs</vt:lpstr>
      <vt:lpstr>Duke System Fact</vt:lpstr>
      <vt:lpstr>Duke Delta</vt:lpstr>
      <vt:lpstr>DEF DR TP 2013</vt:lpstr>
      <vt:lpstr>DEF Solar TP 2013</vt:lpstr>
      <vt:lpstr>Table ES-1 Refresh '13</vt:lpstr>
      <vt:lpstr>Percentage Approach W-ADJ</vt:lpstr>
      <vt:lpstr>3.1</vt:lpstr>
      <vt:lpstr>3.2</vt:lpstr>
      <vt:lpstr>3.3</vt:lpstr>
      <vt:lpstr>'Duke Com-New Measures Calc'!Print_Area</vt:lpstr>
      <vt:lpstr>'Duke Res-New Measures Calc'!Print_Area</vt:lpstr>
      <vt:lpstr>'Duke System Fact'!Print_Area</vt:lpstr>
      <vt:lpstr>'Commercial Assumptions'!Print_Titles</vt:lpstr>
      <vt:lpstr>Residential!Print_Titles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