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240" windowHeight="5670" tabRatio="938"/>
  </bookViews>
  <sheets>
    <sheet name="2013 AR - Solar" sheetId="1" r:id="rId1"/>
    <sheet name="2013 Solar Actuals" sheetId="11" r:id="rId2"/>
    <sheet name="NPV 2013" sheetId="3" r:id="rId3"/>
    <sheet name="ECCR Cost" sheetId="14" r:id="rId4"/>
  </sheets>
  <externalReferences>
    <externalReference r:id="rId5"/>
    <externalReference r:id="rId6"/>
    <externalReference r:id="rId7"/>
    <externalReference r:id="rId8"/>
  </externalReferences>
  <definedNames>
    <definedName name="_ATPRegress_Dlg_Results" localSheetId="1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1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1" hidden="1">'[1]ST Corrections'!#REF!</definedName>
    <definedName name="_ATPRegress_Range1" hidden="1">'[1]ST Corrections'!#REF!</definedName>
    <definedName name="_ATPRegress_Range2" localSheetId="1" hidden="1">'[1]ST Corrections'!#REF!</definedName>
    <definedName name="_ATPRegress_Range2" hidden="1">'[1]ST Corrections'!#REF!</definedName>
    <definedName name="_ATPRegress_Range3" localSheetId="1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Key1" localSheetId="0" hidden="1">[2]Index!#REF!</definedName>
    <definedName name="_Key1" localSheetId="1" hidden="1">[3]Index!#REF!</definedName>
    <definedName name="_Key1" localSheetId="2" hidden="1">[4]Index!#REF!</definedName>
    <definedName name="_Key1" hidden="1">[2]Index!#REF!</definedName>
    <definedName name="_Sort" localSheetId="1" hidden="1">#REF!</definedName>
    <definedName name="_Sort" localSheetId="2" hidden="1">#REF!</definedName>
    <definedName name="_Sort" hidden="1">#REF!</definedName>
    <definedName name="a" localSheetId="1" hidden="1">{"Martin Oct94_Mar95",#N/A,FALSE,"Martin Oct94 - Mar95"}</definedName>
    <definedName name="a" hidden="1">{"Martin Oct94_Mar95",#N/A,FALSE,"Martin Oct94 - Mar95"}</definedName>
    <definedName name="aa" localSheetId="1" hidden="1">{"Martin Oct94_Mar95",#N/A,FALSE,"Martin Oct94 - Mar95"}</definedName>
    <definedName name="aa" hidden="1">{"Martin Oct94_Mar95",#N/A,FALSE,"Martin Oct94 - Mar95"}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tpregress_dlg_type" localSheetId="1" hidden="1">{"EXCELHLP.HLP!1802";5;10;5;10;13;13;13;8;5;5;10;14;13;13;13;13;5;10;14;13;5;10;1;2;24}</definedName>
    <definedName name="atpregress_dlg_type" hidden="1">{"EXCELHLP.HLP!1802";5;10;5;10;13;13;13;8;5;5;10;14;13;13;13;13;5;10;14;13;5;10;1;2;24}</definedName>
    <definedName name="pig" localSheetId="1" hidden="1">{#N/A,#N/A,FALSE,"T COST";#N/A,#N/A,FALSE,"COST_FH"}</definedName>
    <definedName name="pig" hidden="1">{#N/A,#N/A,FALSE,"T COST";#N/A,#N/A,FALSE,"COST_FH"}</definedName>
    <definedName name="pig_dig5" localSheetId="1" hidden="1">{#N/A,#N/A,FALSE,"T COST";#N/A,#N/A,FALSE,"COST_FH"}</definedName>
    <definedName name="pig_dig5" hidden="1">{#N/A,#N/A,FALSE,"T COST";#N/A,#N/A,FALSE,"COST_FH"}</definedName>
    <definedName name="pig_dog" localSheetId="1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1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1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1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1" hidden="1">{#N/A,#N/A,FALSE,"INPUTDATA";#N/A,#N/A,FALSE,"SUMMARY"}</definedName>
    <definedName name="pig_dog7" hidden="1">{#N/A,#N/A,FALSE,"INPUTDATA";#N/A,#N/A,FALSE,"SUMMARY"}</definedName>
    <definedName name="pig_dog8" localSheetId="1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_xlnm.Print_Area" localSheetId="0">'2013 AR - Solar'!$A$1:$J$219</definedName>
    <definedName name="_xlnm.Print_Titles" localSheetId="0">'2013 AR - Solar'!$1:$7</definedName>
    <definedName name="_xlnm.Print_Titles" localSheetId="1">'2013 Solar Actuals'!$1:$7</definedName>
    <definedName name="qqq" localSheetId="1" hidden="1">{"Martin Oct94_Mar95",#N/A,FALSE,"Martin Oct94 - Mar95"}</definedName>
    <definedName name="qqq" hidden="1">{"Martin Oct94_Mar95",#N/A,FALSE,"Martin Oct94 - Mar95"}</definedName>
    <definedName name="SAPBEXrevision" hidden="1">0</definedName>
    <definedName name="SAPBEXsysID" hidden="1">"GP1"</definedName>
    <definedName name="SAPBEXwbID" hidden="1">"46LDQNV2IHU1FSMPIOM9WP8FN"</definedName>
    <definedName name="Temp1" localSheetId="1" hidden="1">{"EXCELHLP.HLP!1802";5;10;5;10;13;13;13;8;5;5;10;14;13;13;13;13;5;10;14;13;5;10;1;2;24}</definedName>
    <definedName name="Temp1" hidden="1">{"EXCELHLP.HLP!1802";5;10;5;10;13;13;13;8;5;5;10;14;13;13;13;13;5;10;14;13;5;10;1;2;24}</definedName>
    <definedName name="temp2" localSheetId="1" hidden="1">{2;#N/A;"R13C16:R17C16";#N/A;"R13C14:R17C15";FALSE;FALSE;FALSE;95;#N/A;#N/A;"R13C19";#N/A;FALSE;FALSE;FALSE;FALSE;#N/A;"";#N/A;FALSE;"";"";#N/A;#N/A;#N/A}</definedName>
    <definedName name="temp2" hidden="1">{2;#N/A;"R13C16:R17C16";#N/A;"R13C14:R17C15";FALSE;FALSE;FALSE;95;#N/A;#N/A;"R13C19";#N/A;FALSE;FALSE;FALSE;FALSE;#N/A;"";#N/A;FALSE;"";"";#N/A;#N/A;#N/A}</definedName>
    <definedName name="temp3" localSheetId="1" hidden="1">{"EXCELHLP.HLP!1802";5;10;5;10;13;13;13;8;5;5;10;14;13;13;13;13;5;10;14;13;5;10;1;2;24}</definedName>
    <definedName name="temp3" hidden="1">{"EXCELHLP.HLP!1802";5;10;5;10;13;13;13;8;5;5;10;14;13;13;13;13;5;10;14;13;5;10;1;2;24}</definedName>
    <definedName name="temp4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5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ACTUAL._.ALL._.PAGES." localSheetId="1" hidden="1">{"ACTUAL",#N/A,FALSE,"OVER_UND"}</definedName>
    <definedName name="wrn.ACTUAL._.ALL._.PAGES." hidden="1">{"ACTUAL",#N/A,FALSE,"OVER_UND"}</definedName>
    <definedName name="wrn.ALL.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1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1" hidden="1">{#N/A,#N/A,FALSE,"T COST";#N/A,#N/A,FALSE,"COST_FH"}</definedName>
    <definedName name="wrn.COST." hidden="1">{#N/A,#N/A,FALSE,"T COST";#N/A,#N/A,FALSE,"COST_FH"}</definedName>
    <definedName name="wrn.Engr._.Summary." localSheetId="1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1" hidden="1">{#N/A,#N/A,FALSE,"INPUTDATA";#N/A,#N/A,FALSE,"SUMMARY"}</definedName>
    <definedName name="wrn.Exec._.Summary." hidden="1">{#N/A,#N/A,FALSE,"INPUTDATA";#N/A,#N/A,FALSE,"SUMMARY"}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wrn.SUM._.OF._.UNIT._.3." localSheetId="1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" localSheetId="1" hidden="1">{#N/A,#N/A,FALSE,"INPUTDATA";#N/A,#N/A,FALSE,"SUMMARY"}</definedName>
    <definedName name="x" hidden="1">{#N/A,#N/A,FALSE,"INPUTDATA";#N/A,#N/A,FALSE,"SUMMARY"}</definedName>
  </definedNames>
  <calcPr calcId="145621"/>
</workbook>
</file>

<file path=xl/calcChain.xml><?xml version="1.0" encoding="utf-8"?>
<calcChain xmlns="http://schemas.openxmlformats.org/spreadsheetml/2006/main">
  <c r="A120" i="1" l="1"/>
  <c r="A119" i="1"/>
  <c r="A118" i="1"/>
  <c r="A117" i="1"/>
  <c r="A115" i="1"/>
  <c r="A75" i="1"/>
  <c r="A74" i="1"/>
  <c r="A73" i="1"/>
  <c r="A70" i="1"/>
  <c r="A69" i="1"/>
  <c r="A68" i="1"/>
  <c r="C49" i="1"/>
  <c r="C46" i="1"/>
  <c r="A49" i="1"/>
  <c r="A48" i="1"/>
  <c r="A47" i="1"/>
  <c r="A46" i="1"/>
  <c r="A44" i="1"/>
  <c r="A31" i="1"/>
  <c r="A36" i="1" s="1"/>
  <c r="A72" i="1" s="1"/>
  <c r="A67" i="1" l="1"/>
  <c r="D216" i="1" l="1"/>
  <c r="D180" i="1"/>
  <c r="D145" i="1"/>
  <c r="D109" i="1"/>
  <c r="D74" i="1"/>
  <c r="D38" i="1"/>
  <c r="P75" i="11"/>
  <c r="Q75" i="11"/>
  <c r="F140" i="1"/>
  <c r="F69" i="1" l="1"/>
  <c r="F164" i="1"/>
  <c r="S11" i="11"/>
  <c r="P60" i="11"/>
  <c r="P61" i="11"/>
  <c r="P62" i="11"/>
  <c r="P63" i="11"/>
  <c r="P64" i="11"/>
  <c r="P67" i="11"/>
  <c r="P68" i="11"/>
  <c r="P69" i="11"/>
  <c r="P70" i="11"/>
  <c r="P73" i="11"/>
  <c r="P74" i="11"/>
  <c r="P76" i="11"/>
  <c r="P79" i="11"/>
  <c r="P80" i="11"/>
  <c r="P81" i="11"/>
  <c r="P82" i="11"/>
  <c r="P83" i="11"/>
  <c r="P86" i="11"/>
  <c r="P87" i="11"/>
  <c r="P88" i="11"/>
  <c r="P89" i="11"/>
  <c r="P92" i="11"/>
  <c r="P93" i="11"/>
  <c r="P94" i="11"/>
  <c r="P95" i="11"/>
  <c r="P98" i="11"/>
  <c r="P99" i="11"/>
  <c r="P101" i="11"/>
  <c r="P102" i="11"/>
  <c r="P49" i="11"/>
  <c r="P50" i="11"/>
  <c r="P51" i="11"/>
  <c r="P52" i="11"/>
  <c r="P53" i="11"/>
  <c r="D179" i="1" l="1"/>
  <c r="P100" i="11"/>
  <c r="O60" i="11" l="1"/>
  <c r="O61" i="11"/>
  <c r="O62" i="11"/>
  <c r="O63" i="11"/>
  <c r="O64" i="11"/>
  <c r="O67" i="11"/>
  <c r="O68" i="11"/>
  <c r="O69" i="11"/>
  <c r="O70" i="11"/>
  <c r="O73" i="11"/>
  <c r="O74" i="11"/>
  <c r="O75" i="11"/>
  <c r="O76" i="11"/>
  <c r="O79" i="11"/>
  <c r="O80" i="11"/>
  <c r="O81" i="11"/>
  <c r="O82" i="11"/>
  <c r="O83" i="11"/>
  <c r="O86" i="11"/>
  <c r="O87" i="11"/>
  <c r="O88" i="11"/>
  <c r="O89" i="11"/>
  <c r="O92" i="11"/>
  <c r="O93" i="11"/>
  <c r="O94" i="11"/>
  <c r="O95" i="11"/>
  <c r="O52" i="11"/>
  <c r="O53" i="11"/>
  <c r="O51" i="11"/>
  <c r="O50" i="11"/>
  <c r="O49" i="11"/>
  <c r="M53" i="11" l="1"/>
  <c r="N53" i="11"/>
  <c r="L53" i="11"/>
  <c r="K53" i="11"/>
  <c r="Q47" i="11"/>
  <c r="L52" i="11"/>
  <c r="L49" i="11"/>
  <c r="M49" i="11"/>
  <c r="N49" i="11"/>
  <c r="L50" i="11"/>
  <c r="M50" i="11"/>
  <c r="N50" i="11"/>
  <c r="L51" i="11"/>
  <c r="M51" i="11"/>
  <c r="N51" i="11"/>
  <c r="M52" i="11"/>
  <c r="N52" i="11"/>
  <c r="Q44" i="11"/>
  <c r="F210" i="1" s="1"/>
  <c r="Q15" i="11"/>
  <c r="N60" i="11"/>
  <c r="N61" i="11"/>
  <c r="N62" i="11"/>
  <c r="N63" i="11"/>
  <c r="N64" i="11"/>
  <c r="N67" i="11"/>
  <c r="N68" i="11"/>
  <c r="N69" i="11"/>
  <c r="N70" i="11"/>
  <c r="N73" i="11"/>
  <c r="N74" i="11"/>
  <c r="N75" i="11"/>
  <c r="N76" i="11"/>
  <c r="N79" i="11"/>
  <c r="N80" i="11"/>
  <c r="N81" i="11"/>
  <c r="N82" i="11"/>
  <c r="N83" i="11"/>
  <c r="N86" i="11"/>
  <c r="N87" i="11"/>
  <c r="N88" i="11"/>
  <c r="N89" i="11"/>
  <c r="N92" i="11"/>
  <c r="N93" i="11"/>
  <c r="N94" i="11"/>
  <c r="N95" i="11"/>
  <c r="M81" i="11" l="1"/>
  <c r="M80" i="11"/>
  <c r="M79" i="11"/>
  <c r="I81" i="11"/>
  <c r="I79" i="11"/>
  <c r="I80" i="11"/>
  <c r="Q13" i="11"/>
  <c r="Q12" i="11"/>
  <c r="Q34" i="11"/>
  <c r="Q35" i="11"/>
  <c r="M101" i="11" l="1"/>
  <c r="M67" i="11"/>
  <c r="M68" i="11"/>
  <c r="M69" i="11"/>
  <c r="M70" i="11"/>
  <c r="M73" i="11"/>
  <c r="M74" i="11"/>
  <c r="M75" i="11"/>
  <c r="M76" i="11"/>
  <c r="M82" i="11"/>
  <c r="M83" i="11"/>
  <c r="M86" i="11"/>
  <c r="M87" i="11"/>
  <c r="M88" i="11"/>
  <c r="M89" i="11"/>
  <c r="M92" i="11"/>
  <c r="M93" i="11"/>
  <c r="M94" i="11"/>
  <c r="M95" i="11"/>
  <c r="M60" i="11"/>
  <c r="M61" i="11"/>
  <c r="M62" i="11"/>
  <c r="M63" i="11"/>
  <c r="M64" i="11"/>
  <c r="M105" i="11" l="1"/>
  <c r="M102" i="11"/>
  <c r="M106" i="11"/>
  <c r="M99" i="11"/>
  <c r="M104" i="11"/>
  <c r="M98" i="11"/>
  <c r="M100" i="11"/>
  <c r="Q33" i="11"/>
  <c r="Q32" i="11"/>
  <c r="Q31" i="11"/>
  <c r="E87" i="11" l="1"/>
  <c r="F80" i="11"/>
  <c r="G80" i="11"/>
  <c r="H80" i="11"/>
  <c r="J80" i="11"/>
  <c r="K80" i="11"/>
  <c r="L80" i="11"/>
  <c r="E80" i="11"/>
  <c r="E61" i="11"/>
  <c r="Q80" i="11" l="1"/>
  <c r="Q14" i="11"/>
  <c r="L101" i="11"/>
  <c r="F101" i="11"/>
  <c r="G101" i="11"/>
  <c r="H101" i="11"/>
  <c r="I101" i="11"/>
  <c r="J101" i="11"/>
  <c r="K101" i="11"/>
  <c r="N101" i="11"/>
  <c r="O101" i="11"/>
  <c r="E101" i="11"/>
  <c r="N105" i="11"/>
  <c r="O105" i="11"/>
  <c r="P105" i="11"/>
  <c r="F60" i="11"/>
  <c r="G60" i="11"/>
  <c r="H60" i="11"/>
  <c r="I60" i="11"/>
  <c r="J60" i="11"/>
  <c r="K60" i="11"/>
  <c r="L60" i="11"/>
  <c r="F61" i="11"/>
  <c r="G61" i="11"/>
  <c r="H61" i="11"/>
  <c r="I61" i="11"/>
  <c r="J61" i="11"/>
  <c r="K61" i="11"/>
  <c r="L61" i="11"/>
  <c r="F62" i="11"/>
  <c r="G62" i="11"/>
  <c r="H62" i="11"/>
  <c r="I62" i="11"/>
  <c r="J62" i="11"/>
  <c r="K62" i="11"/>
  <c r="L62" i="11"/>
  <c r="F63" i="11"/>
  <c r="G63" i="11"/>
  <c r="H63" i="11"/>
  <c r="I63" i="11"/>
  <c r="J63" i="11"/>
  <c r="K63" i="11"/>
  <c r="L63" i="11"/>
  <c r="F64" i="11"/>
  <c r="G64" i="11"/>
  <c r="H64" i="11"/>
  <c r="I64" i="11"/>
  <c r="J64" i="11"/>
  <c r="K64" i="11"/>
  <c r="L64" i="11"/>
  <c r="F67" i="11"/>
  <c r="G67" i="11"/>
  <c r="H67" i="11"/>
  <c r="I67" i="11"/>
  <c r="J67" i="11"/>
  <c r="K67" i="11"/>
  <c r="L67" i="11"/>
  <c r="F68" i="11"/>
  <c r="G68" i="11"/>
  <c r="H68" i="11"/>
  <c r="I68" i="11"/>
  <c r="J68" i="11"/>
  <c r="K68" i="11"/>
  <c r="L68" i="11"/>
  <c r="F69" i="11"/>
  <c r="G69" i="11"/>
  <c r="H69" i="11"/>
  <c r="I69" i="11"/>
  <c r="J69" i="11"/>
  <c r="K69" i="11"/>
  <c r="L69" i="11"/>
  <c r="F70" i="11"/>
  <c r="G70" i="11"/>
  <c r="H70" i="11"/>
  <c r="I70" i="11"/>
  <c r="J70" i="11"/>
  <c r="K70" i="11"/>
  <c r="L70" i="11"/>
  <c r="F73" i="11"/>
  <c r="G73" i="11"/>
  <c r="H73" i="11"/>
  <c r="I73" i="11"/>
  <c r="J73" i="11"/>
  <c r="K73" i="11"/>
  <c r="L73" i="11"/>
  <c r="F74" i="11"/>
  <c r="G74" i="11"/>
  <c r="H74" i="11"/>
  <c r="I74" i="11"/>
  <c r="J74" i="11"/>
  <c r="K74" i="11"/>
  <c r="L74" i="11"/>
  <c r="F75" i="11"/>
  <c r="G75" i="11"/>
  <c r="H75" i="11"/>
  <c r="I75" i="11"/>
  <c r="J75" i="11"/>
  <c r="K75" i="11"/>
  <c r="L75" i="11"/>
  <c r="F76" i="11"/>
  <c r="G76" i="11"/>
  <c r="H76" i="11"/>
  <c r="I76" i="11"/>
  <c r="J76" i="11"/>
  <c r="K76" i="11"/>
  <c r="L76" i="11"/>
  <c r="F79" i="11"/>
  <c r="G79" i="11"/>
  <c r="H79" i="11"/>
  <c r="J79" i="11"/>
  <c r="K79" i="11"/>
  <c r="L79" i="11"/>
  <c r="F81" i="11"/>
  <c r="G81" i="11"/>
  <c r="H81" i="11"/>
  <c r="J81" i="11"/>
  <c r="K81" i="11"/>
  <c r="L81" i="11"/>
  <c r="F82" i="11"/>
  <c r="G82" i="11"/>
  <c r="H82" i="11"/>
  <c r="I82" i="11"/>
  <c r="J82" i="11"/>
  <c r="K82" i="11"/>
  <c r="L82" i="11"/>
  <c r="F83" i="11"/>
  <c r="G83" i="11"/>
  <c r="H83" i="11"/>
  <c r="I83" i="11"/>
  <c r="J83" i="11"/>
  <c r="K83" i="11"/>
  <c r="L83" i="11"/>
  <c r="F86" i="11"/>
  <c r="G86" i="11"/>
  <c r="H86" i="11"/>
  <c r="I86" i="11"/>
  <c r="J86" i="11"/>
  <c r="K86" i="11"/>
  <c r="L86" i="11"/>
  <c r="F87" i="11"/>
  <c r="G87" i="11"/>
  <c r="H87" i="11"/>
  <c r="I87" i="11"/>
  <c r="J87" i="11"/>
  <c r="K87" i="11"/>
  <c r="L87" i="11"/>
  <c r="F88" i="11"/>
  <c r="G88" i="11"/>
  <c r="H88" i="11"/>
  <c r="I88" i="11"/>
  <c r="J88" i="11"/>
  <c r="K88" i="11"/>
  <c r="L88" i="11"/>
  <c r="F89" i="11"/>
  <c r="G89" i="11"/>
  <c r="H89" i="11"/>
  <c r="I89" i="11"/>
  <c r="J89" i="11"/>
  <c r="K89" i="11"/>
  <c r="L89" i="11"/>
  <c r="F92" i="11"/>
  <c r="G92" i="11"/>
  <c r="H92" i="11"/>
  <c r="I92" i="11"/>
  <c r="J92" i="11"/>
  <c r="K92" i="11"/>
  <c r="L92" i="11"/>
  <c r="F93" i="11"/>
  <c r="G93" i="11"/>
  <c r="H93" i="11"/>
  <c r="I93" i="11"/>
  <c r="J93" i="11"/>
  <c r="K93" i="11"/>
  <c r="L93" i="11"/>
  <c r="F94" i="11"/>
  <c r="G94" i="11"/>
  <c r="H94" i="11"/>
  <c r="I94" i="11"/>
  <c r="J94" i="11"/>
  <c r="K94" i="11"/>
  <c r="L94" i="11"/>
  <c r="F95" i="11"/>
  <c r="G95" i="11"/>
  <c r="H95" i="11"/>
  <c r="I95" i="11"/>
  <c r="J95" i="11"/>
  <c r="K95" i="11"/>
  <c r="L95" i="11"/>
  <c r="E95" i="11"/>
  <c r="E92" i="11"/>
  <c r="E93" i="11"/>
  <c r="E94" i="11"/>
  <c r="E89" i="11"/>
  <c r="E68" i="11"/>
  <c r="E74" i="11"/>
  <c r="E88" i="11"/>
  <c r="E86" i="11"/>
  <c r="E83" i="11"/>
  <c r="E82" i="11"/>
  <c r="E81" i="11"/>
  <c r="E110" i="11" s="1"/>
  <c r="E79" i="11"/>
  <c r="E76" i="11"/>
  <c r="E75" i="11"/>
  <c r="E73" i="11"/>
  <c r="E70" i="11"/>
  <c r="E69" i="11"/>
  <c r="E67" i="11"/>
  <c r="E64" i="11"/>
  <c r="E63" i="11"/>
  <c r="E62" i="11"/>
  <c r="E60" i="11"/>
  <c r="S43" i="11"/>
  <c r="F200" i="1" s="1"/>
  <c r="J53" i="11"/>
  <c r="I53" i="11"/>
  <c r="H53" i="11"/>
  <c r="G53" i="11"/>
  <c r="F53" i="11"/>
  <c r="E53" i="11"/>
  <c r="K52" i="11"/>
  <c r="J52" i="11"/>
  <c r="I52" i="11"/>
  <c r="H52" i="11"/>
  <c r="G52" i="11"/>
  <c r="F52" i="11"/>
  <c r="E52" i="11"/>
  <c r="K51" i="11"/>
  <c r="I51" i="11"/>
  <c r="H51" i="11"/>
  <c r="G51" i="11"/>
  <c r="F51" i="11"/>
  <c r="E51" i="11"/>
  <c r="K50" i="11"/>
  <c r="J50" i="11"/>
  <c r="I50" i="11"/>
  <c r="H50" i="11"/>
  <c r="G50" i="11"/>
  <c r="F50" i="11"/>
  <c r="E50" i="11"/>
  <c r="K49" i="11"/>
  <c r="I49" i="11"/>
  <c r="H49" i="11"/>
  <c r="G49" i="11"/>
  <c r="F49" i="11"/>
  <c r="E49" i="11"/>
  <c r="J51" i="11"/>
  <c r="J49" i="11"/>
  <c r="G14" i="3" l="1"/>
  <c r="D210" i="1"/>
  <c r="E106" i="11"/>
  <c r="E99" i="11"/>
  <c r="Q89" i="11"/>
  <c r="J109" i="11"/>
  <c r="F109" i="11"/>
  <c r="I108" i="11"/>
  <c r="Q83" i="11"/>
  <c r="G108" i="11"/>
  <c r="Q74" i="11"/>
  <c r="Q68" i="11"/>
  <c r="E105" i="11"/>
  <c r="I109" i="11"/>
  <c r="K108" i="11"/>
  <c r="K112" i="11" s="1"/>
  <c r="G106" i="11"/>
  <c r="F105" i="11"/>
  <c r="I104" i="11"/>
  <c r="I110" i="11"/>
  <c r="Q76" i="11"/>
  <c r="E108" i="11"/>
  <c r="Q94" i="11"/>
  <c r="G211" i="1" s="1"/>
  <c r="E211" i="1" s="1"/>
  <c r="Q82" i="11"/>
  <c r="K110" i="11"/>
  <c r="I106" i="11"/>
  <c r="Q61" i="11"/>
  <c r="H105" i="11"/>
  <c r="K104" i="11"/>
  <c r="G104" i="11"/>
  <c r="G112" i="11" s="1"/>
  <c r="L109" i="11"/>
  <c r="Q87" i="11"/>
  <c r="L102" i="11"/>
  <c r="L108" i="11"/>
  <c r="J110" i="11"/>
  <c r="K109" i="11"/>
  <c r="G109" i="11"/>
  <c r="J108" i="11"/>
  <c r="J99" i="11"/>
  <c r="L110" i="11"/>
  <c r="L99" i="11"/>
  <c r="E114" i="11"/>
  <c r="K100" i="11"/>
  <c r="E102" i="11"/>
  <c r="E98" i="11"/>
  <c r="J100" i="11"/>
  <c r="F106" i="11"/>
  <c r="I105" i="11"/>
  <c r="L98" i="11"/>
  <c r="H104" i="11"/>
  <c r="H102" i="11"/>
  <c r="G102" i="11"/>
  <c r="J102" i="11"/>
  <c r="L100" i="11"/>
  <c r="H106" i="11"/>
  <c r="K99" i="11"/>
  <c r="G99" i="11"/>
  <c r="J98" i="11"/>
  <c r="F98" i="11"/>
  <c r="E100" i="11"/>
  <c r="K102" i="11"/>
  <c r="I100" i="11"/>
  <c r="I98" i="11"/>
  <c r="G100" i="11"/>
  <c r="H99" i="11"/>
  <c r="K98" i="11"/>
  <c r="G98" i="11"/>
  <c r="I99" i="11"/>
  <c r="E104" i="11"/>
  <c r="E112" i="11" s="1"/>
  <c r="L106" i="11"/>
  <c r="K105" i="11"/>
  <c r="K113" i="11" s="1"/>
  <c r="G105" i="11"/>
  <c r="J104" i="11"/>
  <c r="F104" i="11"/>
  <c r="F102" i="11"/>
  <c r="H110" i="11"/>
  <c r="F108" i="11"/>
  <c r="E109" i="11"/>
  <c r="E113" i="11" s="1"/>
  <c r="K106" i="11"/>
  <c r="K114" i="11" s="1"/>
  <c r="J105" i="11"/>
  <c r="I102" i="11"/>
  <c r="F113" i="11"/>
  <c r="G110" i="11"/>
  <c r="G114" i="11" s="1"/>
  <c r="J106" i="11"/>
  <c r="L104" i="11"/>
  <c r="L112" i="11" s="1"/>
  <c r="F100" i="11"/>
  <c r="H98" i="11"/>
  <c r="F110" i="11"/>
  <c r="L105" i="11"/>
  <c r="I112" i="11"/>
  <c r="H108" i="11"/>
  <c r="F99" i="11"/>
  <c r="H109" i="11"/>
  <c r="Q101" i="11"/>
  <c r="H100" i="11"/>
  <c r="Q39" i="11"/>
  <c r="Q26" i="11"/>
  <c r="F141" i="1" s="1"/>
  <c r="Q20" i="11"/>
  <c r="J114" i="11" l="1"/>
  <c r="L114" i="11"/>
  <c r="I114" i="11"/>
  <c r="H113" i="11"/>
  <c r="H112" i="11"/>
  <c r="J113" i="11"/>
  <c r="G113" i="11"/>
  <c r="L113" i="11"/>
  <c r="I113" i="11"/>
  <c r="J112" i="11"/>
  <c r="F114" i="11"/>
  <c r="H114" i="11"/>
  <c r="F112" i="11"/>
  <c r="F105" i="1" l="1"/>
  <c r="M105" i="1" s="1"/>
  <c r="F70" i="1"/>
  <c r="F176" i="1"/>
  <c r="D176" i="1" s="1"/>
  <c r="Q111" i="11" l="1"/>
  <c r="Q107" i="11"/>
  <c r="Q95" i="11"/>
  <c r="Q92" i="11"/>
  <c r="G210" i="1" s="1"/>
  <c r="E210" i="1" s="1"/>
  <c r="Q88" i="11"/>
  <c r="Q86" i="11"/>
  <c r="O110" i="11"/>
  <c r="P108" i="11"/>
  <c r="O108" i="11"/>
  <c r="Q70" i="11"/>
  <c r="Q69" i="11"/>
  <c r="Q67" i="11"/>
  <c r="Q63" i="11"/>
  <c r="Q62" i="11"/>
  <c r="Q53" i="11"/>
  <c r="Q51" i="11"/>
  <c r="Q50" i="11"/>
  <c r="Q49" i="11"/>
  <c r="Q46" i="11"/>
  <c r="F211" i="1" s="1"/>
  <c r="D211" i="1" s="1"/>
  <c r="Q45" i="11"/>
  <c r="F212" i="1" s="1"/>
  <c r="D212" i="1" s="1"/>
  <c r="Q41" i="11"/>
  <c r="S37" i="11" s="1"/>
  <c r="Q40" i="11"/>
  <c r="F175" i="1" s="1"/>
  <c r="D175" i="1" s="1"/>
  <c r="Q38" i="11"/>
  <c r="F174" i="1" s="1"/>
  <c r="D174" i="1" s="1"/>
  <c r="S30" i="11"/>
  <c r="F104" i="1"/>
  <c r="M104" i="1" s="1"/>
  <c r="F103" i="1"/>
  <c r="Q28" i="11"/>
  <c r="Q27" i="11"/>
  <c r="Q25" i="11"/>
  <c r="F139" i="1" s="1"/>
  <c r="Q22" i="11"/>
  <c r="S18" i="11" s="1"/>
  <c r="F58" i="1" s="1"/>
  <c r="D69" i="1" s="1"/>
  <c r="Q21" i="11"/>
  <c r="Q19" i="11"/>
  <c r="F68" i="1" s="1"/>
  <c r="Q16" i="11"/>
  <c r="F22" i="1" s="1"/>
  <c r="N28" i="1" s="1"/>
  <c r="D68" i="1" l="1"/>
  <c r="D70" i="1"/>
  <c r="M110" i="1"/>
  <c r="M103" i="1"/>
  <c r="D103" i="1" s="1"/>
  <c r="Q60" i="11"/>
  <c r="G32" i="1" s="1"/>
  <c r="Q73" i="11"/>
  <c r="G139" i="1" s="1"/>
  <c r="P109" i="11"/>
  <c r="P113" i="11" s="1"/>
  <c r="O102" i="11"/>
  <c r="P110" i="11"/>
  <c r="O109" i="11"/>
  <c r="O113" i="11" s="1"/>
  <c r="O99" i="11"/>
  <c r="N110" i="11"/>
  <c r="Q81" i="11"/>
  <c r="G104" i="1" s="1"/>
  <c r="N104" i="1" s="1"/>
  <c r="Q93" i="11"/>
  <c r="N99" i="11"/>
  <c r="N109" i="11"/>
  <c r="N113" i="11" s="1"/>
  <c r="N108" i="11"/>
  <c r="Q79" i="11"/>
  <c r="G103" i="1" s="1"/>
  <c r="N103" i="1" s="1"/>
  <c r="Q64" i="11"/>
  <c r="N102" i="11"/>
  <c r="C14" i="3"/>
  <c r="O106" i="11"/>
  <c r="O114" i="11" s="1"/>
  <c r="O100" i="11"/>
  <c r="P106" i="11"/>
  <c r="M108" i="11"/>
  <c r="M110" i="11"/>
  <c r="O104" i="11"/>
  <c r="O112" i="11" s="1"/>
  <c r="O98" i="11"/>
  <c r="M109" i="11"/>
  <c r="M113" i="11" s="1"/>
  <c r="P104" i="11"/>
  <c r="P112" i="11" s="1"/>
  <c r="S24" i="11"/>
  <c r="F129" i="1" s="1"/>
  <c r="D141" i="1" s="1"/>
  <c r="N104" i="11"/>
  <c r="N112" i="11" s="1"/>
  <c r="N98" i="11"/>
  <c r="N106" i="11"/>
  <c r="N100" i="11"/>
  <c r="G141" i="1"/>
  <c r="G175" i="1"/>
  <c r="E175" i="1" s="1"/>
  <c r="G70" i="1"/>
  <c r="E70" i="1" s="1"/>
  <c r="G176" i="1"/>
  <c r="E176" i="1" s="1"/>
  <c r="G174" i="1"/>
  <c r="E174" i="1" s="1"/>
  <c r="F93" i="1"/>
  <c r="N99" i="1" s="1"/>
  <c r="Q52" i="11"/>
  <c r="G68" i="1"/>
  <c r="E68" i="1" s="1"/>
  <c r="G69" i="1"/>
  <c r="E69" i="1" s="1"/>
  <c r="G140" i="1"/>
  <c r="G33" i="1"/>
  <c r="D139" i="1" l="1"/>
  <c r="E141" i="1"/>
  <c r="D140" i="1"/>
  <c r="E140" i="1"/>
  <c r="E139" i="1"/>
  <c r="Q102" i="11"/>
  <c r="P114" i="11"/>
  <c r="G212" i="1"/>
  <c r="E212" i="1" s="1"/>
  <c r="N114" i="11"/>
  <c r="M112" i="11"/>
  <c r="Q112" i="11" s="1"/>
  <c r="E14" i="3"/>
  <c r="F14" i="3"/>
  <c r="B14" i="3"/>
  <c r="D14" i="3"/>
  <c r="M114" i="11"/>
  <c r="Q98" i="11"/>
  <c r="Q108" i="11"/>
  <c r="Q110" i="11"/>
  <c r="Q109" i="11"/>
  <c r="Q100" i="11"/>
  <c r="G105" i="1"/>
  <c r="N105" i="1" s="1"/>
  <c r="G34" i="1"/>
  <c r="Q106" i="11"/>
  <c r="Q99" i="11"/>
  <c r="Q104" i="11"/>
  <c r="Q113" i="11"/>
  <c r="Q105" i="11"/>
  <c r="Q114" i="11" l="1"/>
  <c r="G35" i="3" l="1"/>
  <c r="F35" i="3"/>
  <c r="E35" i="3"/>
  <c r="D35" i="3"/>
  <c r="C35" i="3"/>
  <c r="B35" i="3"/>
  <c r="D215" i="1" l="1"/>
  <c r="D144" i="1"/>
  <c r="D108" i="1"/>
  <c r="D73" i="1"/>
  <c r="D37" i="1"/>
  <c r="F32" i="1"/>
  <c r="M32" i="1" s="1"/>
  <c r="D32" i="1" s="1"/>
  <c r="G56" i="1"/>
  <c r="H56" i="1" s="1"/>
  <c r="F33" i="1"/>
  <c r="M33" i="1" s="1"/>
  <c r="F34" i="1"/>
  <c r="M34" i="1" s="1"/>
  <c r="C199" i="1"/>
  <c r="C200" i="1" s="1"/>
  <c r="C201" i="1" s="1"/>
  <c r="D91" i="1"/>
  <c r="D92" i="1" s="1"/>
  <c r="G197" i="1"/>
  <c r="I197" i="1" s="1"/>
  <c r="G161" i="1"/>
  <c r="I161" i="1" s="1"/>
  <c r="D198" i="1"/>
  <c r="D199" i="1" s="1"/>
  <c r="D20" i="1"/>
  <c r="D21" i="1" s="1"/>
  <c r="D162" i="1"/>
  <c r="C163" i="1" s="1"/>
  <c r="C162" i="1"/>
  <c r="C161" i="1"/>
  <c r="D127" i="1"/>
  <c r="C128" i="1" s="1"/>
  <c r="C127" i="1"/>
  <c r="C126" i="1"/>
  <c r="E126" i="1" s="1"/>
  <c r="C91" i="1"/>
  <c r="C92" i="1"/>
  <c r="C90" i="1"/>
  <c r="E90" i="1" s="1"/>
  <c r="D56" i="1"/>
  <c r="D57" i="1" s="1"/>
  <c r="C20" i="1"/>
  <c r="C21" i="1"/>
  <c r="G19" i="3"/>
  <c r="G20" i="3"/>
  <c r="G21" i="3"/>
  <c r="G18" i="3"/>
  <c r="F19" i="3"/>
  <c r="F20" i="3"/>
  <c r="F21" i="3"/>
  <c r="F18" i="3"/>
  <c r="E19" i="3"/>
  <c r="E20" i="3"/>
  <c r="E21" i="3"/>
  <c r="E18" i="3"/>
  <c r="D19" i="3"/>
  <c r="D20" i="3"/>
  <c r="D21" i="3"/>
  <c r="D18" i="3"/>
  <c r="C19" i="3"/>
  <c r="C20" i="3"/>
  <c r="C21" i="3"/>
  <c r="B19" i="3"/>
  <c r="B20" i="3"/>
  <c r="B21" i="3"/>
  <c r="B18" i="3"/>
  <c r="E55" i="1"/>
  <c r="C190" i="1"/>
  <c r="C154" i="1"/>
  <c r="C119" i="1"/>
  <c r="C83" i="1"/>
  <c r="C48" i="1"/>
  <c r="G198" i="1"/>
  <c r="H198" i="1" s="1"/>
  <c r="E197" i="1"/>
  <c r="E161" i="1"/>
  <c r="G127" i="1"/>
  <c r="G126" i="1"/>
  <c r="G90" i="1"/>
  <c r="H90" i="1" s="1"/>
  <c r="G55" i="1"/>
  <c r="G20" i="1"/>
  <c r="G21" i="1" s="1"/>
  <c r="G19" i="1"/>
  <c r="H19" i="1" s="1"/>
  <c r="E19" i="1"/>
  <c r="J44" i="1"/>
  <c r="J79" i="1" s="1"/>
  <c r="J115" i="1" s="1"/>
  <c r="J150" i="1" s="1"/>
  <c r="J186" i="1" s="1"/>
  <c r="G199" i="1"/>
  <c r="G162" i="1"/>
  <c r="G163" i="1" s="1"/>
  <c r="G164" i="1" s="1"/>
  <c r="G91" i="1"/>
  <c r="G92" i="1" s="1"/>
  <c r="C18" i="3"/>
  <c r="E56" i="1"/>
  <c r="H197" i="1" l="1"/>
  <c r="E162" i="1"/>
  <c r="H161" i="1"/>
  <c r="I19" i="1"/>
  <c r="I90" i="1"/>
  <c r="D58" i="1"/>
  <c r="D59" i="1" s="1"/>
  <c r="E59" i="1" s="1"/>
  <c r="E57" i="1"/>
  <c r="H126" i="1"/>
  <c r="I56" i="1"/>
  <c r="H91" i="1"/>
  <c r="I198" i="1"/>
  <c r="E127" i="1"/>
  <c r="E198" i="1"/>
  <c r="D128" i="1"/>
  <c r="E128" i="1" s="1"/>
  <c r="I20" i="1"/>
  <c r="I91" i="1"/>
  <c r="I126" i="1"/>
  <c r="E20" i="1"/>
  <c r="E91" i="1"/>
  <c r="D22" i="1"/>
  <c r="C22" i="1"/>
  <c r="E21" i="1"/>
  <c r="D93" i="1"/>
  <c r="D94" i="1" s="1"/>
  <c r="E92" i="1"/>
  <c r="E199" i="1"/>
  <c r="I199" i="1"/>
  <c r="D200" i="1"/>
  <c r="E200" i="1" s="1"/>
  <c r="H20" i="1"/>
  <c r="D163" i="1"/>
  <c r="I163" i="1" s="1"/>
  <c r="H199" i="1"/>
  <c r="G200" i="1"/>
  <c r="H92" i="1"/>
  <c r="G93" i="1"/>
  <c r="H21" i="1"/>
  <c r="G22" i="1"/>
  <c r="I92" i="1"/>
  <c r="M112" i="1"/>
  <c r="D105" i="1"/>
  <c r="M39" i="1"/>
  <c r="D33" i="1"/>
  <c r="M40" i="1"/>
  <c r="D34" i="1"/>
  <c r="M41" i="1"/>
  <c r="G27" i="3"/>
  <c r="G15" i="3" s="1"/>
  <c r="G30" i="3" s="1"/>
  <c r="G32" i="3" s="1"/>
  <c r="D217" i="1" s="1"/>
  <c r="C27" i="3"/>
  <c r="D27" i="3"/>
  <c r="D15" i="3" s="1"/>
  <c r="D30" i="3" s="1"/>
  <c r="D32" i="3" s="1"/>
  <c r="D110" i="1" s="1"/>
  <c r="I55" i="1"/>
  <c r="H55" i="1"/>
  <c r="I21" i="1"/>
  <c r="I162" i="1"/>
  <c r="H162" i="1"/>
  <c r="F27" i="3"/>
  <c r="F15" i="3" s="1"/>
  <c r="F30" i="3" s="1"/>
  <c r="F32" i="3" s="1"/>
  <c r="D181" i="1" s="1"/>
  <c r="C93" i="1"/>
  <c r="H163" i="1"/>
  <c r="G128" i="1"/>
  <c r="G129" i="1" s="1"/>
  <c r="H127" i="1"/>
  <c r="I127" i="1"/>
  <c r="E27" i="3"/>
  <c r="E15" i="3" s="1"/>
  <c r="E30" i="3" s="1"/>
  <c r="E32" i="3" s="1"/>
  <c r="D146" i="1" s="1"/>
  <c r="B27" i="3"/>
  <c r="B15" i="3" s="1"/>
  <c r="B30" i="3" s="1"/>
  <c r="B32" i="3" s="1"/>
  <c r="D39" i="1" s="1"/>
  <c r="G57" i="1"/>
  <c r="H57" i="1" s="1"/>
  <c r="E93" i="1" l="1"/>
  <c r="D201" i="1"/>
  <c r="E201" i="1" s="1"/>
  <c r="E58" i="1"/>
  <c r="C94" i="1"/>
  <c r="D129" i="1"/>
  <c r="C129" i="1"/>
  <c r="H129" i="1" s="1"/>
  <c r="I200" i="1"/>
  <c r="H200" i="1"/>
  <c r="D164" i="1"/>
  <c r="C164" i="1"/>
  <c r="H164" i="1" s="1"/>
  <c r="E163" i="1"/>
  <c r="E22" i="1"/>
  <c r="D23" i="1"/>
  <c r="C23" i="1"/>
  <c r="I129" i="1"/>
  <c r="H93" i="1"/>
  <c r="I93" i="1"/>
  <c r="G58" i="1"/>
  <c r="H58" i="1" s="1"/>
  <c r="H22" i="1"/>
  <c r="I22" i="1"/>
  <c r="N111" i="1"/>
  <c r="E104" i="1"/>
  <c r="N112" i="1"/>
  <c r="E105" i="1"/>
  <c r="N110" i="1"/>
  <c r="E103" i="1"/>
  <c r="M111" i="1"/>
  <c r="D104" i="1"/>
  <c r="C15" i="3"/>
  <c r="C30" i="3" s="1"/>
  <c r="C32" i="3" s="1"/>
  <c r="D75" i="1" s="1"/>
  <c r="I57" i="1"/>
  <c r="E94" i="1"/>
  <c r="H128" i="1"/>
  <c r="I128" i="1"/>
  <c r="D130" i="1" l="1"/>
  <c r="C130" i="1"/>
  <c r="E129" i="1"/>
  <c r="E23" i="1"/>
  <c r="E164" i="1"/>
  <c r="D165" i="1"/>
  <c r="C165" i="1"/>
  <c r="I164" i="1"/>
  <c r="I58" i="1"/>
  <c r="N41" i="1"/>
  <c r="N34" i="1"/>
  <c r="E34" i="1" s="1"/>
  <c r="N32" i="1"/>
  <c r="E32" i="1" s="1"/>
  <c r="N39" i="1"/>
  <c r="N33" i="1"/>
  <c r="E33" i="1" s="1"/>
  <c r="N40" i="1"/>
  <c r="E130" i="1" l="1"/>
  <c r="E165" i="1"/>
</calcChain>
</file>

<file path=xl/sharedStrings.xml><?xml version="1.0" encoding="utf-8"?>
<sst xmlns="http://schemas.openxmlformats.org/spreadsheetml/2006/main" count="480" uniqueCount="131">
  <si>
    <t>Page</t>
  </si>
  <si>
    <t>Utility:</t>
  </si>
  <si>
    <t>Program Name:</t>
  </si>
  <si>
    <t>Program Start Date:</t>
  </si>
  <si>
    <t>Reporting Period:</t>
  </si>
  <si>
    <t>a</t>
  </si>
  <si>
    <t>b</t>
  </si>
  <si>
    <t>c</t>
  </si>
  <si>
    <t>d</t>
  </si>
  <si>
    <t>e</t>
  </si>
  <si>
    <t>f</t>
  </si>
  <si>
    <t>h</t>
  </si>
  <si>
    <t>i</t>
  </si>
  <si>
    <t>(d/c)</t>
  </si>
  <si>
    <t>(g/c)</t>
  </si>
  <si>
    <t>(g-d)</t>
  </si>
  <si>
    <t>Year</t>
  </si>
  <si>
    <t>@ Meter</t>
  </si>
  <si>
    <t>@ Generator</t>
  </si>
  <si>
    <t>May 2011</t>
  </si>
  <si>
    <t>Florida Power &amp; Light Company</t>
  </si>
  <si>
    <t>Projected</t>
  </si>
  <si>
    <t>Actual</t>
  </si>
  <si>
    <t>Total Number of Customers</t>
  </si>
  <si>
    <t>Total Number of Eligible Customers</t>
  </si>
  <si>
    <t>Cumulative Number of Program Participants</t>
  </si>
  <si>
    <t>Cumulative Penetration Level %</t>
  </si>
  <si>
    <t>Annual Number of Program Participants</t>
  </si>
  <si>
    <t xml:space="preserve">DEMAND-SIDE MANAGEMENT ANNUAL REPORT </t>
  </si>
  <si>
    <t>Summer kW Reduction</t>
  </si>
  <si>
    <t>Winter kW Reduction</t>
  </si>
  <si>
    <t>g</t>
  </si>
  <si>
    <t>kWh Reduction</t>
  </si>
  <si>
    <t xml:space="preserve">Per Installation </t>
  </si>
  <si>
    <t>Program Total</t>
  </si>
  <si>
    <t>Total Utility Program Cost ($000)</t>
  </si>
  <si>
    <t>Net Benefits ($000)</t>
  </si>
  <si>
    <t>Utility Cost per Installation</t>
  </si>
  <si>
    <r>
      <t>(1)</t>
    </r>
    <r>
      <rPr>
        <sz val="10"/>
        <rFont val="Arial"/>
        <family val="2"/>
      </rPr>
      <t xml:space="preserve"> Pilot, as approved by Commission in Order No. PSC-11-0079-PAA-EG, ends December 2014</t>
    </r>
  </si>
  <si>
    <r>
      <t xml:space="preserve">Cumulative Number of Program Participants </t>
    </r>
    <r>
      <rPr>
        <vertAlign val="superscript"/>
        <sz val="10"/>
        <rFont val="Arial"/>
        <family val="2"/>
      </rPr>
      <t>(1)</t>
    </r>
  </si>
  <si>
    <t>SUMMARY OF NPV NET BENEFITS INSTALLED - BASED ON TOTAL PROGRAM LIFE</t>
  </si>
  <si>
    <t>This report reflects RIM NPV per Alternate Plan Filed March 25, 2011</t>
  </si>
  <si>
    <t>Rs. SWH</t>
  </si>
  <si>
    <t>Rs. SWH LI</t>
  </si>
  <si>
    <t>Bs. SWH</t>
  </si>
  <si>
    <t>Rs. PV</t>
  </si>
  <si>
    <t>Bs. PV</t>
  </si>
  <si>
    <t>Bs. PV Sch</t>
  </si>
  <si>
    <t>kW</t>
  </si>
  <si>
    <t>Solar Pilot Projects Common Expenses</t>
  </si>
  <si>
    <t>Business Solar Water Heating Pilot</t>
  </si>
  <si>
    <t>Res. Solar Water Heating (LINC) Pilot</t>
  </si>
  <si>
    <t>Total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</si>
  <si>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</si>
  <si>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</si>
  <si>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</si>
  <si>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</si>
  <si>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</si>
  <si>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</si>
  <si>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</si>
  <si>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</si>
  <si>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Cumulative Participation Over (Under) Projected Participants </t>
  </si>
  <si>
    <t>GWh</t>
  </si>
  <si>
    <t>Aug</t>
  </si>
  <si>
    <t>Oct</t>
  </si>
  <si>
    <t>Nov</t>
  </si>
  <si>
    <t>Dec</t>
  </si>
  <si>
    <t>INPUT</t>
  </si>
  <si>
    <t>Program</t>
  </si>
  <si>
    <t>Sept</t>
  </si>
  <si>
    <t>Res. Solar WH Pilot</t>
  </si>
  <si>
    <t>summer kW - Total</t>
  </si>
  <si>
    <t>GWh - Total</t>
  </si>
  <si>
    <t>winter kW - Total</t>
  </si>
  <si>
    <t>Res. Solar Low Inc. Pilot</t>
  </si>
  <si>
    <t>summer kW</t>
  </si>
  <si>
    <t>winter kW</t>
  </si>
  <si>
    <t>Res. Photovoltaic Pilot</t>
  </si>
  <si>
    <t>Bus. Solar WH Pilot</t>
  </si>
  <si>
    <t>Bus. Photovoltaic Pilot</t>
  </si>
  <si>
    <t>Bus. PV for Schools Pilot</t>
  </si>
  <si>
    <t xml:space="preserve">  AT THE GENERATOR</t>
  </si>
  <si>
    <t>YTD Installs</t>
  </si>
  <si>
    <t>Business Photovoltaic Pilot</t>
  </si>
  <si>
    <t>Residential Solar Water Heating Pilot</t>
  </si>
  <si>
    <t>Residential Solar Water Heating (Low Income New Construction) Pilot</t>
  </si>
  <si>
    <t>Residential Photovoltaic Pilot</t>
  </si>
  <si>
    <t>Electric</t>
  </si>
  <si>
    <t>Gas</t>
  </si>
  <si>
    <r>
      <t>Per Installation</t>
    </r>
    <r>
      <rPr>
        <vertAlign val="superscript"/>
        <sz val="10"/>
        <rFont val="Arial"/>
        <family val="2"/>
      </rPr>
      <t>(2)</t>
    </r>
  </si>
  <si>
    <t>`</t>
  </si>
  <si>
    <t>Discount Rates:</t>
  </si>
  <si>
    <t xml:space="preserve">   - 3/25/11 Alternate Plan</t>
  </si>
  <si>
    <t>Program Life (CPF runs)</t>
  </si>
  <si>
    <t>Solar (Res=Installs; Bus=kW @ Meter)</t>
  </si>
  <si>
    <t>Applicable Discount Rate</t>
  </si>
  <si>
    <t>Applicable DSM Plan</t>
  </si>
  <si>
    <t>RIM NPV Net Benefits</t>
  </si>
  <si>
    <t>% Appl DSM Plan Total</t>
  </si>
  <si>
    <t>Business Photovoltaic for Schools Pilot</t>
  </si>
  <si>
    <t xml:space="preserve">  2013 ACTUALS</t>
  </si>
  <si>
    <t xml:space="preserve">  2013 Actuals</t>
  </si>
  <si>
    <t>Installs/KW in 2013</t>
  </si>
  <si>
    <t>2013 % of Net Benefits</t>
  </si>
  <si>
    <t xml:space="preserve">  ACTUALS AT THE METER </t>
  </si>
  <si>
    <t>Installations (Pre-Gas)</t>
  </si>
  <si>
    <t xml:space="preserve"> Installations (Pre-Electric)</t>
  </si>
  <si>
    <t>Installations</t>
  </si>
  <si>
    <t>Installations (Pre-Electric)</t>
  </si>
  <si>
    <t>kWH</t>
  </si>
  <si>
    <t>Res</t>
  </si>
  <si>
    <t>Bus</t>
  </si>
  <si>
    <t>To Be Filed: May 2014</t>
  </si>
  <si>
    <t>(12 Mos.)</t>
  </si>
  <si>
    <t xml:space="preserve">Res. Solar Water Heating Pilot </t>
  </si>
  <si>
    <t xml:space="preserve">Business Photovoltaic Pilot </t>
  </si>
  <si>
    <t xml:space="preserve">Business Photovoltaic for Schools Pilot </t>
  </si>
  <si>
    <t>Renewable Research &amp; Demo. Project</t>
  </si>
  <si>
    <r>
      <t>(2)</t>
    </r>
    <r>
      <rPr>
        <sz val="10"/>
        <rFont val="Arial"/>
        <family val="2"/>
      </rPr>
      <t xml:space="preserve"> Reflects only the 1,068 electric water heaters replaced (gas = 16 replacements)</t>
    </r>
  </si>
  <si>
    <r>
      <t>(2)</t>
    </r>
    <r>
      <rPr>
        <sz val="10"/>
        <rFont val="Arial"/>
        <family val="2"/>
      </rPr>
      <t xml:space="preserve"> Reflects only the 5 electric water heaters replaced (gas = 2 replacements)</t>
    </r>
  </si>
  <si>
    <t>2013</t>
  </si>
  <si>
    <t>NPV is calculated based on program life</t>
  </si>
  <si>
    <t>Projected Installs</t>
  </si>
  <si>
    <t>Docket No. 130199-EI</t>
  </si>
  <si>
    <t>Staff's First Set of Interrogatories</t>
  </si>
  <si>
    <t>Interrogatory No. 18</t>
  </si>
  <si>
    <t>Tab 1 of 4</t>
  </si>
  <si>
    <t>Tab 2 of 4</t>
  </si>
  <si>
    <t>Tab 3 of 4</t>
  </si>
  <si>
    <t>Attachment No. 3-REVISED</t>
  </si>
  <si>
    <t>Tab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</si>
</sst>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#,##0.0\ ;[Red]\(#,##0.0\)"/>
    <numFmt numFmtId="168" formatCode="_-* #,##0.0_-;\-* #,##0.0_-;_-* &quot;-&quot;??_-;_-@_-"/>
    <numFmt numFmtId="169" formatCode="#,##0.00&quot; $&quot;;\-#,##0.00&quot; $&quot;"/>
    <numFmt numFmtId="170" formatCode="0.00_)"/>
    <numFmt numFmtId="171" formatCode="_(&quot;$&quot;* #,##0_);_(&quot;$&quot;* \(#,##0\);_(&quot;$&quot;* &quot;-&quot;??_);_(@_)"/>
    <numFmt numFmtId="172" formatCode="0.0000"/>
    <numFmt numFmtId="173" formatCode="_-* #,##0.00\ _D_M_-;\-* #,##0.00\ _D_M_-;_-* &quot;-&quot;??\ _D_M_-;_-@_-"/>
    <numFmt numFmtId="174" formatCode="_-* #,##0.00\ &quot;DM&quot;_-;\-* #,##0.00\ &quot;DM&quot;_-;_-* &quot;-&quot;??\ &quot;DM&quot;_-;_-@_-"/>
    <numFmt numFmtId="175" formatCode="0.000_)"/>
    <numFmt numFmtId="176" formatCode="0.000000"/>
    <numFmt numFmtId="177" formatCode="_(* #,##0.000_);_(* \(#,##0.000\);_(* &quot;-&quot;??_);_(@_)"/>
    <numFmt numFmtId="178" formatCode="_(* #,##0.00000_);_(* \(#,##0.00000\);_(* &quot;-&quot;??_);_(@_)"/>
    <numFmt numFmtId="179" formatCode="#,##0.0000"/>
    <numFmt numFmtId="180" formatCode="_(* #,##0.0000_);_(* \(#,##0.0000\);_(* &quot;-&quot;??_);_(@_)"/>
    <numFmt numFmtId="181" formatCode="0.000"/>
    <numFmt numFmtId="182" formatCode="0.0000%"/>
    <numFmt numFmtId="183" formatCode="0.00000"/>
    <numFmt numFmtId="184" formatCode="#,##0.000000"/>
  </numFmts>
  <fonts count="9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name val="??"/>
    </font>
    <font>
      <b/>
      <sz val="11"/>
      <color indexed="8"/>
      <name val="Calibri"/>
      <family val="2"/>
    </font>
    <font>
      <b/>
      <u/>
      <sz val="11"/>
      <color indexed="16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vertAlign val="superscript"/>
      <sz val="10"/>
      <name val="Arial"/>
      <family val="2"/>
    </font>
    <font>
      <sz val="10"/>
      <color indexed="16"/>
      <name val="Arial"/>
      <family val="2"/>
    </font>
    <font>
      <sz val="6.5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1"/>
      <name val="Tms Rmn"/>
      <family val="1"/>
    </font>
    <font>
      <b/>
      <sz val="12"/>
      <color indexed="16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b/>
      <sz val="10"/>
      <color indexed="16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5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1"/>
      <color indexed="16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10"/>
      <color rgb="FF00B0F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35">
    <xf numFmtId="0" fontId="0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12" borderId="0" applyNumberFormat="0" applyBorder="0" applyAlignment="0" applyProtection="0"/>
    <xf numFmtId="0" fontId="10" fillId="20" borderId="0" applyNumberFormat="0" applyBorder="0" applyAlignment="0" applyProtection="0"/>
    <xf numFmtId="167" fontId="11" fillId="21" borderId="1">
      <alignment horizontal="center" vertical="center"/>
    </xf>
    <xf numFmtId="43" fontId="4" fillId="0" borderId="0" applyFont="0" applyFill="0" applyBorder="0" applyAlignment="0" applyProtection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43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174" fontId="4" fillId="0" borderId="0" applyFont="0" applyFill="0" applyBorder="0" applyAlignment="0" applyProtection="0"/>
    <xf numFmtId="44" fontId="42" fillId="0" borderId="0" applyFont="0" applyFill="0" applyBorder="0" applyAlignment="0" applyProtection="0"/>
    <xf numFmtId="6" fontId="12" fillId="0" borderId="0">
      <protection locked="0"/>
    </xf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168" fontId="4" fillId="0" borderId="0">
      <protection locked="0"/>
    </xf>
    <xf numFmtId="38" fontId="5" fillId="21" borderId="0" applyNumberFormat="0" applyBorder="0" applyAlignment="0" applyProtection="0"/>
    <xf numFmtId="0" fontId="14" fillId="0" borderId="0" applyNumberFormat="0" applyFill="0" applyBorder="0" applyAlignment="0" applyProtection="0"/>
    <xf numFmtId="169" fontId="4" fillId="0" borderId="0">
      <protection locked="0"/>
    </xf>
    <xf numFmtId="169" fontId="4" fillId="0" borderId="0">
      <protection locked="0"/>
    </xf>
    <xf numFmtId="0" fontId="15" fillId="0" borderId="2" applyNumberFormat="0" applyFill="0" applyAlignment="0" applyProtection="0"/>
    <xf numFmtId="10" fontId="5" fillId="25" borderId="3" applyNumberFormat="0" applyBorder="0" applyAlignment="0" applyProtection="0"/>
    <xf numFmtId="37" fontId="16" fillId="0" borderId="0"/>
    <xf numFmtId="170" fontId="17" fillId="0" borderId="0"/>
    <xf numFmtId="0" fontId="4" fillId="0" borderId="0"/>
    <xf numFmtId="0" fontId="9" fillId="0" borderId="0"/>
    <xf numFmtId="0" fontId="33" fillId="0" borderId="0"/>
    <xf numFmtId="0" fontId="42" fillId="0" borderId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18" fillId="26" borderId="4" applyNumberFormat="0" applyProtection="0">
      <alignment vertical="center"/>
    </xf>
    <xf numFmtId="4" fontId="19" fillId="27" borderId="4" applyNumberFormat="0" applyProtection="0">
      <alignment vertical="center"/>
    </xf>
    <xf numFmtId="4" fontId="18" fillId="27" borderId="4" applyNumberFormat="0" applyProtection="0">
      <alignment horizontal="left" vertical="center" indent="1"/>
    </xf>
    <xf numFmtId="0" fontId="18" fillId="27" borderId="4" applyNumberFormat="0" applyProtection="0">
      <alignment horizontal="left" vertical="top" indent="1"/>
    </xf>
    <xf numFmtId="4" fontId="18" fillId="28" borderId="0" applyNumberFormat="0" applyProtection="0">
      <alignment horizontal="left" vertical="center" indent="1"/>
    </xf>
    <xf numFmtId="4" fontId="18" fillId="29" borderId="0" applyNumberFormat="0" applyProtection="0">
      <alignment horizontal="left" vertical="center" indent="1"/>
    </xf>
    <xf numFmtId="4" fontId="20" fillId="2" borderId="4" applyNumberFormat="0" applyProtection="0">
      <alignment horizontal="right" vertical="center"/>
    </xf>
    <xf numFmtId="4" fontId="20" fillId="3" borderId="4" applyNumberFormat="0" applyProtection="0">
      <alignment horizontal="right" vertical="center"/>
    </xf>
    <xf numFmtId="4" fontId="20" fillId="10" borderId="4" applyNumberFormat="0" applyProtection="0">
      <alignment horizontal="right" vertical="center"/>
    </xf>
    <xf numFmtId="4" fontId="20" fillId="5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20" fillId="18" borderId="4" applyNumberFormat="0" applyProtection="0">
      <alignment horizontal="right" vertical="center"/>
    </xf>
    <xf numFmtId="4" fontId="20" fillId="14" borderId="4" applyNumberFormat="0" applyProtection="0">
      <alignment horizontal="right" vertical="center"/>
    </xf>
    <xf numFmtId="4" fontId="20" fillId="30" borderId="4" applyNumberFormat="0" applyProtection="0">
      <alignment horizontal="right" vertical="center"/>
    </xf>
    <xf numFmtId="4" fontId="20" fillId="4" borderId="4" applyNumberFormat="0" applyProtection="0">
      <alignment horizontal="right" vertical="center"/>
    </xf>
    <xf numFmtId="4" fontId="18" fillId="31" borderId="5" applyNumberFormat="0" applyProtection="0">
      <alignment horizontal="left" vertical="center" indent="1"/>
    </xf>
    <xf numFmtId="4" fontId="20" fillId="32" borderId="0" applyNumberFormat="0" applyProtection="0">
      <alignment horizontal="left" vertical="center" indent="1"/>
    </xf>
    <xf numFmtId="4" fontId="21" fillId="33" borderId="0" applyNumberFormat="0" applyProtection="0">
      <alignment horizontal="left" vertical="center" indent="1"/>
    </xf>
    <xf numFmtId="4" fontId="20" fillId="29" borderId="4" applyNumberFormat="0" applyProtection="0">
      <alignment horizontal="right" vertical="center"/>
    </xf>
    <xf numFmtId="4" fontId="20" fillId="32" borderId="0" applyNumberFormat="0" applyProtection="0">
      <alignment horizontal="left" vertical="center" indent="1"/>
    </xf>
    <xf numFmtId="4" fontId="20" fillId="28" borderId="0" applyNumberFormat="0" applyProtection="0">
      <alignment horizontal="left" vertical="center" indent="1"/>
    </xf>
    <xf numFmtId="0" fontId="4" fillId="33" borderId="4" applyNumberFormat="0" applyProtection="0">
      <alignment horizontal="left" vertical="center" indent="1"/>
    </xf>
    <xf numFmtId="0" fontId="4" fillId="34" borderId="4" applyNumberFormat="0" applyProtection="0">
      <alignment horizontal="left" vertical="center" indent="1"/>
    </xf>
    <xf numFmtId="0" fontId="4" fillId="33" borderId="4" applyNumberFormat="0" applyProtection="0">
      <alignment horizontal="left" vertical="top" indent="1"/>
    </xf>
    <xf numFmtId="0" fontId="4" fillId="28" borderId="4" applyNumberFormat="0" applyProtection="0">
      <alignment horizontal="left" vertical="center" indent="1"/>
    </xf>
    <xf numFmtId="0" fontId="4" fillId="28" borderId="4" applyNumberFormat="0" applyProtection="0">
      <alignment horizontal="left" vertical="top" indent="1"/>
    </xf>
    <xf numFmtId="0" fontId="4" fillId="35" borderId="4" applyNumberFormat="0" applyProtection="0">
      <alignment horizontal="left" vertical="center" indent="1"/>
    </xf>
    <xf numFmtId="0" fontId="4" fillId="35" borderId="4" applyNumberFormat="0" applyProtection="0">
      <alignment horizontal="left" vertical="top" indent="1"/>
    </xf>
    <xf numFmtId="0" fontId="4" fillId="36" borderId="4" applyNumberFormat="0" applyProtection="0">
      <alignment horizontal="left" vertical="center" indent="1"/>
    </xf>
    <xf numFmtId="0" fontId="4" fillId="32" borderId="4" applyNumberFormat="0" applyProtection="0">
      <alignment horizontal="left" vertical="center" indent="1"/>
    </xf>
    <xf numFmtId="0" fontId="4" fillId="36" borderId="4" applyNumberFormat="0" applyProtection="0">
      <alignment horizontal="left" vertical="top" indent="1"/>
    </xf>
    <xf numFmtId="0" fontId="4" fillId="37" borderId="3" applyNumberFormat="0">
      <protection locked="0"/>
    </xf>
    <xf numFmtId="4" fontId="20" fillId="38" borderId="4" applyNumberFormat="0" applyProtection="0">
      <alignment vertical="center"/>
    </xf>
    <xf numFmtId="4" fontId="22" fillId="38" borderId="4" applyNumberFormat="0" applyProtection="0">
      <alignment vertical="center"/>
    </xf>
    <xf numFmtId="4" fontId="20" fillId="38" borderId="4" applyNumberFormat="0" applyProtection="0">
      <alignment horizontal="left" vertical="center" indent="1"/>
    </xf>
    <xf numFmtId="0" fontId="20" fillId="38" borderId="4" applyNumberFormat="0" applyProtection="0">
      <alignment horizontal="left" vertical="top" indent="1"/>
    </xf>
    <xf numFmtId="4" fontId="20" fillId="32" borderId="4" applyNumberFormat="0" applyProtection="0">
      <alignment horizontal="right" vertical="center"/>
    </xf>
    <xf numFmtId="4" fontId="22" fillId="32" borderId="4" applyNumberFormat="0" applyProtection="0">
      <alignment horizontal="right" vertical="center"/>
    </xf>
    <xf numFmtId="4" fontId="20" fillId="29" borderId="4" applyNumberFormat="0" applyProtection="0">
      <alignment horizontal="left" vertical="center" indent="1"/>
    </xf>
    <xf numFmtId="0" fontId="20" fillId="28" borderId="4" applyNumberFormat="0" applyProtection="0">
      <alignment horizontal="left" vertical="top" indent="1"/>
    </xf>
    <xf numFmtId="4" fontId="23" fillId="39" borderId="0" applyNumberFormat="0" applyProtection="0">
      <alignment horizontal="left" vertical="center" indent="1"/>
    </xf>
    <xf numFmtId="4" fontId="24" fillId="32" borderId="4" applyNumberFormat="0" applyProtection="0">
      <alignment horizontal="right" vertical="center"/>
    </xf>
    <xf numFmtId="0" fontId="25" fillId="40" borderId="0"/>
    <xf numFmtId="0" fontId="26" fillId="0" borderId="0" applyNumberFormat="0" applyFill="0" applyBorder="0" applyAlignment="0" applyProtection="0"/>
    <xf numFmtId="176" fontId="4" fillId="0" borderId="0">
      <alignment horizontal="left" wrapText="1"/>
    </xf>
    <xf numFmtId="37" fontId="5" fillId="21" borderId="0" applyNumberFormat="0" applyBorder="0" applyAlignment="0" applyProtection="0"/>
    <xf numFmtId="37" fontId="5" fillId="0" borderId="0"/>
    <xf numFmtId="37" fontId="5" fillId="27" borderId="0" applyNumberFormat="0" applyBorder="0" applyAlignment="0" applyProtection="0"/>
    <xf numFmtId="3" fontId="8" fillId="0" borderId="2" applyProtection="0"/>
    <xf numFmtId="0" fontId="20" fillId="44" borderId="0" applyNumberFormat="0" applyBorder="0" applyAlignment="0" applyProtection="0"/>
    <xf numFmtId="0" fontId="20" fillId="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6" borderId="0" applyNumberFormat="0" applyBorder="0" applyAlignment="0" applyProtection="0"/>
    <xf numFmtId="0" fontId="20" fillId="49" borderId="0" applyNumberFormat="0" applyBorder="0" applyAlignment="0" applyProtection="0"/>
    <xf numFmtId="0" fontId="20" fillId="5" borderId="0" applyNumberFormat="0" applyBorder="0" applyAlignment="0" applyProtection="0"/>
    <xf numFmtId="0" fontId="50" fillId="50" borderId="0" applyNumberFormat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6" borderId="0" applyNumberFormat="0" applyBorder="0" applyAlignment="0" applyProtection="0"/>
    <xf numFmtId="0" fontId="50" fillId="53" borderId="0" applyNumberFormat="0" applyBorder="0" applyAlignment="0" applyProtection="0"/>
    <xf numFmtId="0" fontId="50" fillId="10" borderId="0" applyNumberFormat="0" applyBorder="0" applyAlignment="0" applyProtection="0"/>
    <xf numFmtId="0" fontId="50" fillId="14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18" borderId="0" applyNumberFormat="0" applyBorder="0" applyAlignment="0" applyProtection="0"/>
    <xf numFmtId="0" fontId="51" fillId="2" borderId="0" applyNumberFormat="0" applyBorder="0" applyAlignment="0" applyProtection="0"/>
    <xf numFmtId="0" fontId="52" fillId="54" borderId="52" applyNumberFormat="0" applyAlignment="0" applyProtection="0"/>
    <xf numFmtId="0" fontId="53" fillId="55" borderId="53" applyNumberFormat="0" applyAlignment="0" applyProtection="0"/>
    <xf numFmtId="0" fontId="50" fillId="18" borderId="0" applyNumberFormat="0" applyBorder="0" applyAlignment="0" applyProtection="0"/>
    <xf numFmtId="43" fontId="66" fillId="0" borderId="0" applyFont="0" applyFill="0" applyBorder="0" applyAlignment="0" applyProtection="0"/>
    <xf numFmtId="0" fontId="50" fillId="51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45" borderId="0" applyNumberFormat="0" applyBorder="0" applyAlignment="0" applyProtection="0"/>
    <xf numFmtId="0" fontId="56" fillId="0" borderId="54" applyNumberFormat="0" applyFill="0" applyAlignment="0" applyProtection="0"/>
    <xf numFmtId="0" fontId="57" fillId="0" borderId="55" applyNumberFormat="0" applyFill="0" applyAlignment="0" applyProtection="0"/>
    <xf numFmtId="0" fontId="58" fillId="0" borderId="56" applyNumberFormat="0" applyFill="0" applyAlignment="0" applyProtection="0"/>
    <xf numFmtId="0" fontId="58" fillId="0" borderId="0" applyNumberFormat="0" applyFill="0" applyBorder="0" applyAlignment="0" applyProtection="0"/>
    <xf numFmtId="0" fontId="59" fillId="48" borderId="52" applyNumberFormat="0" applyAlignment="0" applyProtection="0"/>
    <xf numFmtId="0" fontId="60" fillId="0" borderId="57" applyNumberFormat="0" applyFill="0" applyAlignment="0" applyProtection="0"/>
    <xf numFmtId="0" fontId="61" fillId="26" borderId="0" applyNumberFormat="0" applyBorder="0" applyAlignment="0" applyProtection="0"/>
    <xf numFmtId="0" fontId="4" fillId="0" borderId="0"/>
    <xf numFmtId="0" fontId="9" fillId="56" borderId="58" applyNumberFormat="0" applyFont="0" applyAlignment="0" applyProtection="0"/>
    <xf numFmtId="0" fontId="62" fillId="54" borderId="59" applyNumberFormat="0" applyAlignment="0" applyProtection="0"/>
    <xf numFmtId="4" fontId="19" fillId="26" borderId="4" applyNumberFormat="0" applyProtection="0">
      <alignment vertical="center"/>
    </xf>
    <xf numFmtId="4" fontId="18" fillId="26" borderId="4" applyNumberFormat="0" applyProtection="0">
      <alignment horizontal="left" vertical="center" indent="1"/>
    </xf>
    <xf numFmtId="0" fontId="18" fillId="26" borderId="4" applyNumberFormat="0" applyProtection="0">
      <alignment horizontal="left" vertical="top" indent="1"/>
    </xf>
    <xf numFmtId="0" fontId="50" fillId="10" borderId="0" applyNumberFormat="0" applyBorder="0" applyAlignment="0" applyProtection="0"/>
    <xf numFmtId="0" fontId="50" fillId="53" borderId="0" applyNumberFormat="0" applyBorder="0" applyAlignment="0" applyProtection="0"/>
    <xf numFmtId="4" fontId="21" fillId="34" borderId="0" applyNumberFormat="0" applyProtection="0">
      <alignment horizontal="left" vertical="center" indent="1"/>
    </xf>
    <xf numFmtId="4" fontId="20" fillId="29" borderId="0" applyNumberFormat="0" applyProtection="0">
      <alignment horizontal="left" vertical="center" indent="1"/>
    </xf>
    <xf numFmtId="0" fontId="4" fillId="34" borderId="4" applyNumberFormat="0" applyProtection="0">
      <alignment horizontal="left" vertical="top" indent="1"/>
    </xf>
    <xf numFmtId="0" fontId="4" fillId="29" borderId="4" applyNumberFormat="0" applyProtection="0">
      <alignment horizontal="left" vertical="center" indent="1"/>
    </xf>
    <xf numFmtId="0" fontId="4" fillId="29" borderId="4" applyNumberFormat="0" applyProtection="0">
      <alignment horizontal="left" vertical="top" indent="1"/>
    </xf>
    <xf numFmtId="0" fontId="4" fillId="49" borderId="4" applyNumberFormat="0" applyProtection="0">
      <alignment horizontal="left" vertical="center" indent="1"/>
    </xf>
    <xf numFmtId="0" fontId="4" fillId="49" borderId="4" applyNumberFormat="0" applyProtection="0">
      <alignment horizontal="left" vertical="top" indent="1"/>
    </xf>
    <xf numFmtId="0" fontId="4" fillId="32" borderId="4" applyNumberFormat="0" applyProtection="0">
      <alignment horizontal="left" vertical="top" indent="1"/>
    </xf>
    <xf numFmtId="4" fontId="20" fillId="56" borderId="4" applyNumberFormat="0" applyProtection="0">
      <alignment vertical="center"/>
    </xf>
    <xf numFmtId="4" fontId="22" fillId="56" borderId="4" applyNumberFormat="0" applyProtection="0">
      <alignment vertical="center"/>
    </xf>
    <xf numFmtId="4" fontId="20" fillId="56" borderId="4" applyNumberFormat="0" applyProtection="0">
      <alignment horizontal="left" vertical="center" indent="1"/>
    </xf>
    <xf numFmtId="0" fontId="20" fillId="56" borderId="4" applyNumberFormat="0" applyProtection="0">
      <alignment horizontal="left" vertical="top" indent="1"/>
    </xf>
    <xf numFmtId="0" fontId="20" fillId="29" borderId="4" applyNumberFormat="0" applyProtection="0">
      <alignment horizontal="left" vertical="top" indent="1"/>
    </xf>
    <xf numFmtId="0" fontId="63" fillId="0" borderId="0" applyNumberFormat="0" applyFill="0" applyBorder="0" applyAlignment="0" applyProtection="0"/>
    <xf numFmtId="0" fontId="18" fillId="0" borderId="60" applyNumberFormat="0" applyFill="0" applyAlignment="0" applyProtection="0"/>
    <xf numFmtId="0" fontId="24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" borderId="0" applyNumberFormat="0" applyBorder="0" applyAlignment="0" applyProtection="0"/>
    <xf numFmtId="0" fontId="20" fillId="56" borderId="0" applyNumberFormat="0" applyBorder="0" applyAlignment="0" applyProtection="0"/>
    <xf numFmtId="0" fontId="20" fillId="37" borderId="0" applyNumberFormat="0" applyBorder="0" applyAlignment="0" applyProtection="0"/>
    <xf numFmtId="0" fontId="20" fillId="49" borderId="0" applyNumberFormat="0" applyBorder="0" applyAlignment="0" applyProtection="0"/>
    <xf numFmtId="0" fontId="20" fillId="2" borderId="0" applyNumberFormat="0" applyBorder="0" applyAlignment="0" applyProtection="0"/>
    <xf numFmtId="0" fontId="20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54" borderId="0" applyNumberFormat="0" applyBorder="0" applyAlignment="0" applyProtection="0"/>
    <xf numFmtId="0" fontId="20" fillId="34" borderId="0" applyNumberFormat="0" applyBorder="0" applyAlignment="0" applyProtection="0"/>
    <xf numFmtId="0" fontId="20" fillId="48" borderId="0" applyNumberFormat="0" applyBorder="0" applyAlignment="0" applyProtection="0"/>
    <xf numFmtId="0" fontId="50" fillId="34" borderId="0" applyNumberFormat="0" applyBorder="0" applyAlignment="0" applyProtection="0"/>
    <xf numFmtId="0" fontId="50" fillId="14" borderId="0" applyNumberFormat="0" applyBorder="0" applyAlignment="0" applyProtection="0"/>
    <xf numFmtId="0" fontId="50" fillId="54" borderId="0" applyNumberFormat="0" applyBorder="0" applyAlignment="0" applyProtection="0"/>
    <xf numFmtId="0" fontId="50" fillId="34" borderId="0" applyNumberFormat="0" applyBorder="0" applyAlignment="0" applyProtection="0"/>
    <xf numFmtId="0" fontId="50" fillId="48" borderId="0" applyNumberFormat="0" applyBorder="0" applyAlignment="0" applyProtection="0"/>
    <xf numFmtId="0" fontId="10" fillId="5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58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5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6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61" borderId="0" applyNumberFormat="0" applyBorder="0" applyAlignment="0" applyProtection="0"/>
    <xf numFmtId="0" fontId="9" fillId="19" borderId="0" applyNumberFormat="0" applyBorder="0" applyAlignment="0" applyProtection="0"/>
    <xf numFmtId="0" fontId="9" fillId="12" borderId="0" applyNumberFormat="0" applyBorder="0" applyAlignment="0" applyProtection="0"/>
    <xf numFmtId="0" fontId="64" fillId="12" borderId="0" applyNumberFormat="0" applyBorder="0" applyAlignment="0" applyProtection="0"/>
    <xf numFmtId="0" fontId="67" fillId="62" borderId="52" applyNumberFormat="0" applyAlignment="0" applyProtection="0"/>
    <xf numFmtId="0" fontId="68" fillId="13" borderId="53" applyNumberFormat="0" applyAlignment="0" applyProtection="0"/>
    <xf numFmtId="40" fontId="11" fillId="0" borderId="0" applyFont="0" applyFill="0" applyBorder="0" applyAlignment="0" applyProtection="0"/>
    <xf numFmtId="0" fontId="50" fillId="52" borderId="0" applyNumberFormat="0" applyBorder="0" applyAlignment="0" applyProtection="0"/>
    <xf numFmtId="174" fontId="4" fillId="0" borderId="0" applyFont="0" applyFill="0" applyBorder="0" applyAlignment="0" applyProtection="0"/>
    <xf numFmtId="0" fontId="69" fillId="63" borderId="0" applyNumberFormat="0" applyBorder="0" applyAlignment="0" applyProtection="0"/>
    <xf numFmtId="0" fontId="70" fillId="0" borderId="61" applyNumberFormat="0" applyFill="0" applyAlignment="0" applyProtection="0"/>
    <xf numFmtId="0" fontId="71" fillId="0" borderId="55" applyNumberFormat="0" applyFill="0" applyAlignment="0" applyProtection="0"/>
    <xf numFmtId="0" fontId="72" fillId="0" borderId="62" applyNumberFormat="0" applyFill="0" applyAlignment="0" applyProtection="0"/>
    <xf numFmtId="0" fontId="72" fillId="0" borderId="0" applyNumberFormat="0" applyFill="0" applyBorder="0" applyAlignment="0" applyProtection="0"/>
    <xf numFmtId="0" fontId="73" fillId="20" borderId="52" applyNumberFormat="0" applyAlignment="0" applyProtection="0"/>
    <xf numFmtId="0" fontId="74" fillId="0" borderId="63" applyNumberFormat="0" applyFill="0" applyAlignment="0" applyProtection="0"/>
    <xf numFmtId="0" fontId="75" fillId="20" borderId="0" applyNumberFormat="0" applyBorder="0" applyAlignment="0" applyProtection="0"/>
    <xf numFmtId="0" fontId="4" fillId="19" borderId="58" applyNumberFormat="0" applyFont="0" applyAlignment="0" applyProtection="0"/>
    <xf numFmtId="0" fontId="76" fillId="62" borderId="59" applyNumberFormat="0" applyAlignment="0" applyProtection="0"/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64" applyNumberFormat="0" applyFill="0" applyAlignment="0" applyProtection="0"/>
    <xf numFmtId="0" fontId="65" fillId="0" borderId="0" applyNumberFormat="0" applyFill="0" applyBorder="0" applyAlignment="0" applyProtection="0"/>
    <xf numFmtId="0" fontId="50" fillId="14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76" fontId="4" fillId="0" borderId="0">
      <alignment horizontal="left" wrapText="1"/>
    </xf>
    <xf numFmtId="0" fontId="59" fillId="48" borderId="52" applyNumberFormat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15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21" borderId="0" xfId="0" applyFont="1" applyFill="1"/>
    <xf numFmtId="0" fontId="0" fillId="0" borderId="0" xfId="0" applyFont="1"/>
    <xf numFmtId="0" fontId="0" fillId="0" borderId="0" xfId="0" applyFont="1" applyFill="1"/>
    <xf numFmtId="43" fontId="28" fillId="41" borderId="6" xfId="20" applyFont="1" applyFill="1" applyBorder="1" applyAlignment="1">
      <alignment horizontal="center"/>
    </xf>
    <xf numFmtId="43" fontId="28" fillId="41" borderId="7" xfId="20" applyFont="1" applyFill="1" applyBorder="1" applyAlignment="1">
      <alignment horizontal="center"/>
    </xf>
    <xf numFmtId="43" fontId="28" fillId="41" borderId="8" xfId="20" applyFont="1" applyFill="1" applyBorder="1" applyAlignment="1">
      <alignment horizontal="center"/>
    </xf>
    <xf numFmtId="0" fontId="0" fillId="0" borderId="0" xfId="0" applyFont="1" applyFill="1" applyBorder="1"/>
    <xf numFmtId="0" fontId="0" fillId="41" borderId="6" xfId="0" quotePrefix="1" applyFont="1" applyFill="1" applyBorder="1" applyAlignment="1">
      <alignment horizontal="left"/>
    </xf>
    <xf numFmtId="0" fontId="0" fillId="41" borderId="25" xfId="0" applyFont="1" applyFill="1" applyBorder="1"/>
    <xf numFmtId="0" fontId="0" fillId="41" borderId="8" xfId="0" applyFont="1" applyFill="1" applyBorder="1"/>
    <xf numFmtId="0" fontId="0" fillId="41" borderId="15" xfId="0" applyFont="1" applyFill="1" applyBorder="1"/>
    <xf numFmtId="0" fontId="0" fillId="41" borderId="18" xfId="0" applyFont="1" applyFill="1" applyBorder="1"/>
    <xf numFmtId="0" fontId="0" fillId="41" borderId="19" xfId="0" applyFont="1" applyFill="1" applyBorder="1"/>
    <xf numFmtId="0" fontId="0" fillId="41" borderId="27" xfId="0" quotePrefix="1" applyFont="1" applyFill="1" applyBorder="1" applyAlignment="1">
      <alignment horizontal="center"/>
    </xf>
    <xf numFmtId="0" fontId="0" fillId="41" borderId="15" xfId="0" quotePrefix="1" applyFont="1" applyFill="1" applyBorder="1" applyAlignment="1">
      <alignment horizontal="center"/>
    </xf>
    <xf numFmtId="0" fontId="0" fillId="41" borderId="20" xfId="0" quotePrefix="1" applyFill="1" applyBorder="1" applyAlignment="1">
      <alignment horizontal="left"/>
    </xf>
    <xf numFmtId="0" fontId="0" fillId="41" borderId="28" xfId="0" applyFont="1" applyFill="1" applyBorder="1"/>
    <xf numFmtId="0" fontId="0" fillId="41" borderId="29" xfId="0" applyFont="1" applyFill="1" applyBorder="1"/>
    <xf numFmtId="2" fontId="0" fillId="41" borderId="30" xfId="0" applyNumberFormat="1" applyFont="1" applyFill="1" applyBorder="1" applyAlignment="1">
      <alignment horizontal="right"/>
    </xf>
    <xf numFmtId="2" fontId="0" fillId="41" borderId="29" xfId="0" applyNumberFormat="1" applyFont="1" applyFill="1" applyBorder="1" applyAlignment="1">
      <alignment horizontal="right"/>
    </xf>
    <xf numFmtId="3" fontId="0" fillId="41" borderId="30" xfId="0" applyNumberFormat="1" applyFont="1" applyFill="1" applyBorder="1" applyAlignment="1">
      <alignment horizontal="right"/>
    </xf>
    <xf numFmtId="3" fontId="0" fillId="41" borderId="29" xfId="0" applyNumberFormat="1" applyFont="1" applyFill="1" applyBorder="1" applyAlignment="1">
      <alignment horizontal="right"/>
    </xf>
    <xf numFmtId="0" fontId="0" fillId="41" borderId="21" xfId="0" quotePrefix="1" applyFill="1" applyBorder="1" applyAlignment="1">
      <alignment horizontal="left"/>
    </xf>
    <xf numFmtId="0" fontId="0" fillId="41" borderId="31" xfId="0" applyFont="1" applyFill="1" applyBorder="1"/>
    <xf numFmtId="0" fontId="0" fillId="41" borderId="32" xfId="0" applyFont="1" applyFill="1" applyBorder="1"/>
    <xf numFmtId="2" fontId="0" fillId="41" borderId="33" xfId="0" applyNumberFormat="1" applyFont="1" applyFill="1" applyBorder="1" applyAlignment="1">
      <alignment horizontal="right"/>
    </xf>
    <xf numFmtId="2" fontId="0" fillId="41" borderId="32" xfId="0" applyNumberFormat="1" applyFont="1" applyFill="1" applyBorder="1" applyAlignment="1">
      <alignment horizontal="right"/>
    </xf>
    <xf numFmtId="3" fontId="0" fillId="41" borderId="33" xfId="0" applyNumberFormat="1" applyFont="1" applyFill="1" applyBorder="1" applyAlignment="1">
      <alignment horizontal="right"/>
    </xf>
    <xf numFmtId="3" fontId="0" fillId="41" borderId="32" xfId="0" applyNumberFormat="1" applyFont="1" applyFill="1" applyBorder="1" applyAlignment="1">
      <alignment horizontal="right"/>
    </xf>
    <xf numFmtId="0" fontId="0" fillId="41" borderId="23" xfId="0" quotePrefix="1" applyFill="1" applyBorder="1" applyAlignment="1">
      <alignment horizontal="left"/>
    </xf>
    <xf numFmtId="0" fontId="0" fillId="41" borderId="34" xfId="0" applyFont="1" applyFill="1" applyBorder="1"/>
    <xf numFmtId="0" fontId="0" fillId="41" borderId="35" xfId="0" applyFont="1" applyFill="1" applyBorder="1"/>
    <xf numFmtId="3" fontId="4" fillId="41" borderId="36" xfId="20" applyNumberFormat="1" applyFont="1" applyFill="1" applyBorder="1" applyAlignment="1">
      <alignment horizontal="right"/>
    </xf>
    <xf numFmtId="3" fontId="4" fillId="41" borderId="35" xfId="20" applyNumberFormat="1" applyFont="1" applyFill="1" applyBorder="1" applyAlignment="1">
      <alignment horizontal="right"/>
    </xf>
    <xf numFmtId="3" fontId="0" fillId="41" borderId="36" xfId="0" applyNumberFormat="1" applyFont="1" applyFill="1" applyBorder="1" applyAlignment="1">
      <alignment horizontal="right"/>
    </xf>
    <xf numFmtId="3" fontId="0" fillId="41" borderId="35" xfId="0" applyNumberFormat="1" applyFont="1" applyFill="1" applyBorder="1" applyAlignment="1">
      <alignment horizontal="right"/>
    </xf>
    <xf numFmtId="0" fontId="0" fillId="41" borderId="37" xfId="0" quotePrefix="1" applyFill="1" applyBorder="1" applyAlignment="1">
      <alignment horizontal="center" wrapText="1"/>
    </xf>
    <xf numFmtId="0" fontId="27" fillId="41" borderId="16" xfId="0" quotePrefix="1" applyFont="1" applyFill="1" applyBorder="1" applyAlignment="1">
      <alignment horizontal="left"/>
    </xf>
    <xf numFmtId="0" fontId="0" fillId="41" borderId="0" xfId="0" quotePrefix="1" applyFill="1" applyAlignment="1">
      <alignment horizontal="left"/>
    </xf>
    <xf numFmtId="0" fontId="0" fillId="41" borderId="0" xfId="0" applyFont="1" applyFill="1"/>
    <xf numFmtId="0" fontId="0" fillId="41" borderId="0" xfId="0" applyFont="1" applyFill="1" applyAlignment="1">
      <alignment horizontal="center"/>
    </xf>
    <xf numFmtId="0" fontId="0" fillId="41" borderId="0" xfId="0" quotePrefix="1" applyFont="1" applyFill="1" applyAlignment="1">
      <alignment horizontal="right"/>
    </xf>
    <xf numFmtId="0" fontId="0" fillId="41" borderId="0" xfId="0" quotePrefix="1" applyFont="1" applyFill="1" applyAlignment="1">
      <alignment horizontal="left"/>
    </xf>
    <xf numFmtId="0" fontId="0" fillId="41" borderId="0" xfId="0" quotePrefix="1" applyFont="1" applyFill="1" applyAlignment="1">
      <alignment horizontal="center"/>
    </xf>
    <xf numFmtId="0" fontId="27" fillId="41" borderId="0" xfId="0" quotePrefix="1" applyFont="1" applyFill="1" applyAlignment="1">
      <alignment horizontal="left"/>
    </xf>
    <xf numFmtId="15" fontId="0" fillId="41" borderId="0" xfId="0" quotePrefix="1" applyNumberFormat="1" applyFont="1" applyFill="1" applyAlignment="1">
      <alignment horizontal="left"/>
    </xf>
    <xf numFmtId="15" fontId="0" fillId="41" borderId="0" xfId="0" quotePrefix="1" applyNumberFormat="1" applyFont="1" applyFill="1" applyAlignment="1">
      <alignment horizontal="center"/>
    </xf>
    <xf numFmtId="5" fontId="4" fillId="41" borderId="29" xfId="34" applyNumberFormat="1" applyFont="1" applyFill="1" applyBorder="1" applyAlignment="1">
      <alignment horizontal="right"/>
    </xf>
    <xf numFmtId="0" fontId="29" fillId="41" borderId="0" xfId="0" quotePrefix="1" applyFont="1" applyFill="1" applyAlignment="1">
      <alignment horizontal="left"/>
    </xf>
    <xf numFmtId="0" fontId="27" fillId="41" borderId="13" xfId="0" applyFont="1" applyFill="1" applyBorder="1" applyAlignment="1">
      <alignment horizontal="left"/>
    </xf>
    <xf numFmtId="0" fontId="0" fillId="21" borderId="0" xfId="0" applyFont="1" applyFill="1" applyAlignment="1">
      <alignment horizontal="center"/>
    </xf>
    <xf numFmtId="0" fontId="0" fillId="21" borderId="0" xfId="0" applyFont="1" applyFill="1"/>
    <xf numFmtId="0" fontId="0" fillId="41" borderId="16" xfId="0" quotePrefix="1" applyFont="1" applyFill="1" applyBorder="1" applyAlignment="1">
      <alignment horizontal="center"/>
    </xf>
    <xf numFmtId="0" fontId="0" fillId="41" borderId="38" xfId="0" quotePrefix="1" applyFont="1" applyFill="1" applyBorder="1" applyAlignment="1">
      <alignment horizontal="center" wrapText="1"/>
    </xf>
    <xf numFmtId="0" fontId="0" fillId="41" borderId="19" xfId="0" quotePrefix="1" applyFont="1" applyFill="1" applyBorder="1" applyAlignment="1">
      <alignment horizontal="center" wrapText="1"/>
    </xf>
    <xf numFmtId="0" fontId="0" fillId="41" borderId="27" xfId="0" quotePrefix="1" applyFont="1" applyFill="1" applyBorder="1" applyAlignment="1">
      <alignment horizontal="center" wrapText="1"/>
    </xf>
    <xf numFmtId="0" fontId="0" fillId="41" borderId="37" xfId="0" quotePrefix="1" applyFont="1" applyFill="1" applyBorder="1" applyAlignment="1">
      <alignment horizontal="center" wrapText="1"/>
    </xf>
    <xf numFmtId="165" fontId="0" fillId="0" borderId="0" xfId="20" applyNumberFormat="1" applyFont="1"/>
    <xf numFmtId="0" fontId="0" fillId="41" borderId="39" xfId="0" applyFont="1" applyFill="1" applyBorder="1" applyAlignment="1">
      <alignment horizontal="center"/>
    </xf>
    <xf numFmtId="3" fontId="4" fillId="41" borderId="40" xfId="20" applyNumberFormat="1" applyFont="1" applyFill="1" applyBorder="1" applyAlignment="1">
      <alignment horizontal="right"/>
    </xf>
    <xf numFmtId="3" fontId="0" fillId="41" borderId="41" xfId="0" applyNumberFormat="1" applyFont="1" applyFill="1" applyBorder="1" applyAlignment="1">
      <alignment horizontal="right"/>
    </xf>
    <xf numFmtId="164" fontId="4" fillId="41" borderId="41" xfId="56" quotePrefix="1" applyNumberFormat="1" applyFont="1" applyFill="1" applyBorder="1" applyAlignment="1">
      <alignment horizontal="right"/>
    </xf>
    <xf numFmtId="3" fontId="4" fillId="41" borderId="40" xfId="20" applyNumberFormat="1" applyFont="1" applyFill="1" applyBorder="1" applyAlignment="1">
      <alignment horizontal="right" vertical="center"/>
    </xf>
    <xf numFmtId="3" fontId="0" fillId="41" borderId="42" xfId="0" applyNumberFormat="1" applyFont="1" applyFill="1" applyBorder="1" applyAlignment="1">
      <alignment horizontal="right"/>
    </xf>
    <xf numFmtId="164" fontId="4" fillId="41" borderId="42" xfId="56" quotePrefix="1" applyNumberFormat="1" applyFont="1" applyFill="1" applyBorder="1" applyAlignment="1">
      <alignment horizontal="right"/>
    </xf>
    <xf numFmtId="37" fontId="0" fillId="41" borderId="43" xfId="0" applyNumberFormat="1" applyFont="1" applyFill="1" applyBorder="1" applyAlignment="1">
      <alignment horizontal="right"/>
    </xf>
    <xf numFmtId="0" fontId="0" fillId="41" borderId="21" xfId="0" applyFont="1" applyFill="1" applyBorder="1" applyAlignment="1">
      <alignment horizontal="center"/>
    </xf>
    <xf numFmtId="3" fontId="4" fillId="41" borderId="33" xfId="20" applyNumberFormat="1" applyFont="1" applyFill="1" applyBorder="1" applyAlignment="1">
      <alignment horizontal="right"/>
    </xf>
    <xf numFmtId="3" fontId="4" fillId="41" borderId="32" xfId="20" applyNumberFormat="1" applyFont="1" applyFill="1" applyBorder="1" applyAlignment="1">
      <alignment horizontal="right"/>
    </xf>
    <xf numFmtId="164" fontId="4" fillId="41" borderId="32" xfId="56" quotePrefix="1" applyNumberFormat="1" applyFont="1" applyFill="1" applyBorder="1" applyAlignment="1">
      <alignment horizontal="right"/>
    </xf>
    <xf numFmtId="3" fontId="4" fillId="41" borderId="33" xfId="20" applyNumberFormat="1" applyFont="1" applyFill="1" applyBorder="1" applyAlignment="1">
      <alignment horizontal="right" vertical="center"/>
    </xf>
    <xf numFmtId="3" fontId="0" fillId="41" borderId="3" xfId="0" applyNumberFormat="1" applyFont="1" applyFill="1" applyBorder="1" applyAlignment="1">
      <alignment horizontal="right"/>
    </xf>
    <xf numFmtId="164" fontId="4" fillId="41" borderId="3" xfId="56" quotePrefix="1" applyNumberFormat="1" applyFont="1" applyFill="1" applyBorder="1" applyAlignment="1">
      <alignment horizontal="right"/>
    </xf>
    <xf numFmtId="37" fontId="0" fillId="41" borderId="44" xfId="0" applyNumberFormat="1" applyFont="1" applyFill="1" applyBorder="1" applyAlignment="1">
      <alignment horizontal="right"/>
    </xf>
    <xf numFmtId="9" fontId="0" fillId="41" borderId="3" xfId="0" quotePrefix="1" applyNumberFormat="1" applyFont="1" applyFill="1" applyBorder="1" applyAlignment="1">
      <alignment horizontal="right"/>
    </xf>
    <xf numFmtId="0" fontId="0" fillId="41" borderId="23" xfId="0" applyFont="1" applyFill="1" applyBorder="1" applyAlignment="1">
      <alignment horizontal="center"/>
    </xf>
    <xf numFmtId="164" fontId="4" fillId="41" borderId="35" xfId="56" quotePrefix="1" applyNumberFormat="1" applyFont="1" applyFill="1" applyBorder="1" applyAlignment="1">
      <alignment horizontal="right"/>
    </xf>
    <xf numFmtId="3" fontId="4" fillId="41" borderId="36" xfId="20" applyNumberFormat="1" applyFont="1" applyFill="1" applyBorder="1" applyAlignment="1">
      <alignment horizontal="right" vertical="center"/>
    </xf>
    <xf numFmtId="3" fontId="0" fillId="41" borderId="24" xfId="0" applyNumberFormat="1" applyFont="1" applyFill="1" applyBorder="1" applyAlignment="1">
      <alignment horizontal="right"/>
    </xf>
    <xf numFmtId="9" fontId="0" fillId="41" borderId="24" xfId="0" quotePrefix="1" applyNumberFormat="1" applyFont="1" applyFill="1" applyBorder="1" applyAlignment="1">
      <alignment horizontal="right"/>
    </xf>
    <xf numFmtId="37" fontId="0" fillId="41" borderId="45" xfId="0" applyNumberFormat="1" applyFont="1" applyFill="1" applyBorder="1" applyAlignment="1">
      <alignment horizontal="right"/>
    </xf>
    <xf numFmtId="0" fontId="0" fillId="41" borderId="20" xfId="0" quotePrefix="1" applyFont="1" applyFill="1" applyBorder="1" applyAlignment="1">
      <alignment horizontal="left"/>
    </xf>
    <xf numFmtId="0" fontId="0" fillId="41" borderId="21" xfId="0" quotePrefix="1" applyFont="1" applyFill="1" applyBorder="1" applyAlignment="1">
      <alignment horizontal="left"/>
    </xf>
    <xf numFmtId="0" fontId="0" fillId="41" borderId="23" xfId="0" quotePrefix="1" applyFont="1" applyFill="1" applyBorder="1" applyAlignment="1">
      <alignment horizontal="left"/>
    </xf>
    <xf numFmtId="3" fontId="0" fillId="41" borderId="0" xfId="0" applyNumberFormat="1" applyFont="1" applyFill="1"/>
    <xf numFmtId="0" fontId="0" fillId="41" borderId="14" xfId="0" applyFont="1" applyFill="1" applyBorder="1"/>
    <xf numFmtId="0" fontId="0" fillId="41" borderId="16" xfId="0" applyFont="1" applyFill="1" applyBorder="1"/>
    <xf numFmtId="3" fontId="0" fillId="0" borderId="0" xfId="0" applyNumberFormat="1" applyFont="1"/>
    <xf numFmtId="3" fontId="0" fillId="0" borderId="0" xfId="20" applyNumberFormat="1" applyFont="1" applyFill="1" applyAlignment="1">
      <alignment horizontal="center"/>
    </xf>
    <xf numFmtId="3" fontId="4" fillId="41" borderId="0" xfId="20" applyNumberFormat="1" applyFont="1" applyFill="1" applyAlignment="1">
      <alignment horizontal="right"/>
    </xf>
    <xf numFmtId="0" fontId="0" fillId="41" borderId="0" xfId="0" applyFont="1" applyFill="1" applyAlignment="1">
      <alignment horizontal="right"/>
    </xf>
    <xf numFmtId="0" fontId="0" fillId="41" borderId="0" xfId="0" applyFont="1" applyFill="1" applyBorder="1" applyAlignment="1">
      <alignment horizontal="right"/>
    </xf>
    <xf numFmtId="0" fontId="27" fillId="41" borderId="0" xfId="0" applyFont="1" applyFill="1" applyBorder="1" applyAlignment="1">
      <alignment horizontal="right"/>
    </xf>
    <xf numFmtId="0" fontId="27" fillId="41" borderId="0" xfId="0" applyFont="1" applyFill="1" applyAlignment="1">
      <alignment horizontal="right"/>
    </xf>
    <xf numFmtId="0" fontId="0" fillId="41" borderId="0" xfId="0" applyFont="1" applyFill="1" applyAlignment="1">
      <alignment horizontal="left"/>
    </xf>
    <xf numFmtId="5" fontId="0" fillId="41" borderId="0" xfId="0" applyNumberFormat="1" applyFont="1" applyFill="1" applyAlignment="1">
      <alignment horizontal="right"/>
    </xf>
    <xf numFmtId="0" fontId="0" fillId="41" borderId="27" xfId="0" quotePrefix="1" applyFill="1" applyBorder="1" applyAlignment="1">
      <alignment horizontal="center" wrapText="1"/>
    </xf>
    <xf numFmtId="2" fontId="0" fillId="41" borderId="30" xfId="0" quotePrefix="1" applyNumberFormat="1" applyFill="1" applyBorder="1" applyAlignment="1">
      <alignment horizontal="right"/>
    </xf>
    <xf numFmtId="5" fontId="4" fillId="41" borderId="29" xfId="34" quotePrefix="1" applyNumberFormat="1" applyFont="1" applyFill="1" applyBorder="1" applyAlignment="1">
      <alignment horizontal="right"/>
    </xf>
    <xf numFmtId="3" fontId="0" fillId="0" borderId="41" xfId="0" applyNumberFormat="1" applyFont="1" applyFill="1" applyBorder="1" applyAlignment="1">
      <alignment horizontal="right"/>
    </xf>
    <xf numFmtId="3" fontId="0" fillId="0" borderId="32" xfId="20" applyNumberFormat="1" applyFont="1" applyFill="1" applyBorder="1" applyAlignment="1">
      <alignment horizontal="right"/>
    </xf>
    <xf numFmtId="0" fontId="44" fillId="0" borderId="0" xfId="0" applyFont="1"/>
    <xf numFmtId="0" fontId="31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3" fontId="0" fillId="0" borderId="36" xfId="0" applyNumberFormat="1" applyFont="1" applyFill="1" applyBorder="1" applyAlignment="1">
      <alignment horizontal="right"/>
    </xf>
    <xf numFmtId="3" fontId="0" fillId="0" borderId="35" xfId="0" applyNumberFormat="1" applyFont="1" applyFill="1" applyBorder="1" applyAlignment="1">
      <alignment horizontal="right"/>
    </xf>
    <xf numFmtId="165" fontId="5" fillId="41" borderId="0" xfId="20" applyNumberFormat="1" applyFont="1" applyFill="1" applyAlignment="1">
      <alignment horizontal="center"/>
    </xf>
    <xf numFmtId="165" fontId="5" fillId="41" borderId="0" xfId="20" applyNumberFormat="1" applyFont="1" applyFill="1"/>
    <xf numFmtId="165" fontId="4" fillId="41" borderId="0" xfId="20" applyNumberFormat="1" applyFont="1" applyFill="1" applyAlignment="1">
      <alignment horizontal="center"/>
    </xf>
    <xf numFmtId="0" fontId="0" fillId="41" borderId="48" xfId="0" quotePrefix="1" applyFill="1" applyBorder="1" applyAlignment="1">
      <alignment horizontal="center" wrapText="1"/>
    </xf>
    <xf numFmtId="0" fontId="45" fillId="0" borderId="0" xfId="0" applyFont="1"/>
    <xf numFmtId="38" fontId="0" fillId="0" borderId="0" xfId="0" applyNumberFormat="1" applyFont="1"/>
    <xf numFmtId="43" fontId="0" fillId="0" borderId="0" xfId="20" applyFont="1"/>
    <xf numFmtId="43" fontId="32" fillId="0" borderId="0" xfId="20" applyFont="1"/>
    <xf numFmtId="166" fontId="5" fillId="0" borderId="0" xfId="20" applyNumberFormat="1" applyFont="1"/>
    <xf numFmtId="0" fontId="32" fillId="0" borderId="0" xfId="0" applyFont="1" applyFill="1" applyBorder="1" applyAlignment="1">
      <alignment horizontal="center"/>
    </xf>
    <xf numFmtId="3" fontId="41" fillId="0" borderId="0" xfId="0" applyNumberFormat="1" applyFont="1"/>
    <xf numFmtId="0" fontId="46" fillId="41" borderId="0" xfId="0" quotePrefix="1" applyFont="1" applyFill="1" applyAlignment="1">
      <alignment horizontal="left"/>
    </xf>
    <xf numFmtId="5" fontId="4" fillId="0" borderId="32" xfId="34" applyNumberFormat="1" applyFont="1" applyFill="1" applyBorder="1"/>
    <xf numFmtId="0" fontId="47" fillId="0" borderId="0" xfId="0" applyFont="1"/>
    <xf numFmtId="5" fontId="4" fillId="0" borderId="35" xfId="0" applyNumberFormat="1" applyFont="1" applyFill="1" applyBorder="1"/>
    <xf numFmtId="5" fontId="4" fillId="0" borderId="35" xfId="0" quotePrefix="1" applyNumberFormat="1" applyFont="1" applyFill="1" applyBorder="1" applyAlignment="1">
      <alignment horizontal="right"/>
    </xf>
    <xf numFmtId="5" fontId="4" fillId="0" borderId="35" xfId="0" applyNumberFormat="1" applyFont="1" applyFill="1" applyBorder="1" applyAlignment="1">
      <alignment horizontal="right"/>
    </xf>
    <xf numFmtId="3" fontId="4" fillId="0" borderId="33" xfId="20" applyNumberFormat="1" applyFont="1" applyFill="1" applyBorder="1" applyAlignment="1">
      <alignment horizontal="right" vertical="center"/>
    </xf>
    <xf numFmtId="182" fontId="45" fillId="41" borderId="0" xfId="56" applyNumberFormat="1" applyFont="1" applyFill="1"/>
    <xf numFmtId="5" fontId="4" fillId="41" borderId="35" xfId="0" quotePrefix="1" applyNumberFormat="1" applyFont="1" applyFill="1" applyBorder="1" applyAlignment="1">
      <alignment horizontal="right"/>
    </xf>
    <xf numFmtId="2" fontId="49" fillId="0" borderId="0" xfId="0" applyNumberFormat="1" applyFont="1" applyFill="1" applyBorder="1" applyAlignment="1">
      <alignment horizontal="right" vertical="top"/>
    </xf>
    <xf numFmtId="2" fontId="7" fillId="0" borderId="0" xfId="0" applyNumberFormat="1" applyFont="1" applyAlignment="1">
      <alignment horizontal="right"/>
    </xf>
    <xf numFmtId="2" fontId="0" fillId="0" borderId="0" xfId="0" applyNumberFormat="1" applyFont="1"/>
    <xf numFmtId="172" fontId="5" fillId="0" borderId="0" xfId="0" applyNumberFormat="1" applyFont="1"/>
    <xf numFmtId="0" fontId="48" fillId="0" borderId="0" xfId="0" applyFont="1"/>
    <xf numFmtId="181" fontId="5" fillId="0" borderId="0" xfId="0" applyNumberFormat="1" applyFont="1"/>
    <xf numFmtId="179" fontId="48" fillId="0" borderId="0" xfId="0" applyNumberFormat="1" applyFont="1"/>
    <xf numFmtId="0" fontId="47" fillId="0" borderId="0" xfId="0" applyFont="1" applyAlignment="1">
      <alignment horizontal="right"/>
    </xf>
    <xf numFmtId="43" fontId="47" fillId="0" borderId="0" xfId="0" applyNumberFormat="1" applyFont="1" applyFill="1"/>
    <xf numFmtId="0" fontId="47" fillId="0" borderId="0" xfId="0" applyFont="1" applyFill="1"/>
    <xf numFmtId="0" fontId="0" fillId="43" borderId="27" xfId="0" quotePrefix="1" applyFont="1" applyFill="1" applyBorder="1" applyAlignment="1">
      <alignment horizontal="center"/>
    </xf>
    <xf numFmtId="0" fontId="0" fillId="43" borderId="15" xfId="0" quotePrefix="1" applyFont="1" applyFill="1" applyBorder="1" applyAlignment="1">
      <alignment horizontal="center"/>
    </xf>
    <xf numFmtId="2" fontId="0" fillId="43" borderId="30" xfId="0" applyNumberFormat="1" applyFont="1" applyFill="1" applyBorder="1" applyAlignment="1">
      <alignment horizontal="right"/>
    </xf>
    <xf numFmtId="2" fontId="0" fillId="43" borderId="29" xfId="0" applyNumberFormat="1" applyFont="1" applyFill="1" applyBorder="1" applyAlignment="1">
      <alignment horizontal="right"/>
    </xf>
    <xf numFmtId="2" fontId="0" fillId="43" borderId="33" xfId="0" applyNumberFormat="1" applyFont="1" applyFill="1" applyBorder="1" applyAlignment="1">
      <alignment horizontal="right"/>
    </xf>
    <xf numFmtId="2" fontId="0" fillId="43" borderId="32" xfId="0" applyNumberFormat="1" applyFont="1" applyFill="1" applyBorder="1" applyAlignment="1">
      <alignment horizontal="right"/>
    </xf>
    <xf numFmtId="3" fontId="4" fillId="43" borderId="36" xfId="20" applyNumberFormat="1" applyFont="1" applyFill="1" applyBorder="1" applyAlignment="1">
      <alignment horizontal="right"/>
    </xf>
    <xf numFmtId="3" fontId="4" fillId="43" borderId="35" xfId="20" applyNumberFormat="1" applyFont="1" applyFill="1" applyBorder="1" applyAlignment="1">
      <alignment horizontal="right"/>
    </xf>
    <xf numFmtId="0" fontId="0" fillId="43" borderId="13" xfId="0" quotePrefix="1" applyFont="1" applyFill="1" applyBorder="1" applyAlignment="1"/>
    <xf numFmtId="0" fontId="0" fillId="43" borderId="15" xfId="0" quotePrefix="1" applyFont="1" applyFill="1" applyBorder="1" applyAlignment="1"/>
    <xf numFmtId="0" fontId="29" fillId="0" borderId="0" xfId="0" quotePrefix="1" applyFont="1" applyFill="1" applyAlignment="1">
      <alignment horizontal="left"/>
    </xf>
    <xf numFmtId="3" fontId="4" fillId="0" borderId="0" xfId="20" applyNumberFormat="1" applyFont="1" applyFill="1" applyBorder="1" applyAlignment="1">
      <alignment horizontal="right"/>
    </xf>
    <xf numFmtId="0" fontId="0" fillId="0" borderId="0" xfId="0" applyFill="1" applyBorder="1"/>
    <xf numFmtId="3" fontId="0" fillId="0" borderId="0" xfId="0" applyNumberFormat="1" applyFont="1" applyFill="1" applyBorder="1"/>
    <xf numFmtId="0" fontId="0" fillId="0" borderId="0" xfId="0" quotePrefix="1" applyFont="1" applyFill="1" applyBorder="1" applyAlignment="1"/>
    <xf numFmtId="0" fontId="0" fillId="0" borderId="0" xfId="0" quotePrefix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/>
    <xf numFmtId="43" fontId="5" fillId="0" borderId="0" xfId="0" applyNumberFormat="1" applyFont="1"/>
    <xf numFmtId="0" fontId="35" fillId="0" borderId="0" xfId="231" applyFont="1"/>
    <xf numFmtId="0" fontId="32" fillId="0" borderId="0" xfId="231" applyFont="1"/>
    <xf numFmtId="0" fontId="5" fillId="0" borderId="0" xfId="231" applyFont="1"/>
    <xf numFmtId="2" fontId="32" fillId="0" borderId="0" xfId="231" applyNumberFormat="1" applyFont="1"/>
    <xf numFmtId="0" fontId="34" fillId="0" borderId="0" xfId="231" quotePrefix="1" applyFont="1" applyAlignment="1">
      <alignment horizontal="centerContinuous"/>
    </xf>
    <xf numFmtId="0" fontId="4" fillId="0" borderId="0" xfId="231" applyFont="1"/>
    <xf numFmtId="0" fontId="34" fillId="0" borderId="9" xfId="231" applyFont="1" applyBorder="1" applyAlignment="1">
      <alignment horizontal="center"/>
    </xf>
    <xf numFmtId="2" fontId="34" fillId="0" borderId="9" xfId="231" applyNumberFormat="1" applyFont="1" applyBorder="1" applyAlignment="1">
      <alignment horizontal="center"/>
    </xf>
    <xf numFmtId="0" fontId="6" fillId="0" borderId="12" xfId="231" applyFont="1" applyBorder="1" applyAlignment="1">
      <alignment horizontal="center"/>
    </xf>
    <xf numFmtId="0" fontId="32" fillId="0" borderId="12" xfId="231" applyFont="1" applyBorder="1" applyAlignment="1">
      <alignment horizontal="center"/>
    </xf>
    <xf numFmtId="0" fontId="32" fillId="0" borderId="11" xfId="231" applyFont="1" applyBorder="1" applyAlignment="1">
      <alignment horizontal="center"/>
    </xf>
    <xf numFmtId="0" fontId="32" fillId="0" borderId="19" xfId="231" applyFont="1" applyBorder="1" applyAlignment="1">
      <alignment horizontal="center"/>
    </xf>
    <xf numFmtId="2" fontId="32" fillId="0" borderId="11" xfId="231" applyNumberFormat="1" applyFont="1" applyBorder="1" applyAlignment="1">
      <alignment horizontal="center"/>
    </xf>
    <xf numFmtId="0" fontId="6" fillId="27" borderId="10" xfId="231" quotePrefix="1" applyFont="1" applyFill="1" applyBorder="1" applyAlignment="1">
      <alignment horizontal="left"/>
    </xf>
    <xf numFmtId="0" fontId="6" fillId="41" borderId="10" xfId="231" quotePrefix="1" applyFont="1" applyFill="1" applyBorder="1" applyAlignment="1">
      <alignment horizontal="left"/>
    </xf>
    <xf numFmtId="165" fontId="5" fillId="0" borderId="10" xfId="231" applyNumberFormat="1" applyFont="1" applyFill="1" applyBorder="1" applyAlignment="1"/>
    <xf numFmtId="43" fontId="32" fillId="0" borderId="10" xfId="232" applyNumberFormat="1" applyFont="1" applyFill="1" applyBorder="1" applyAlignment="1"/>
    <xf numFmtId="166" fontId="5" fillId="0" borderId="0" xfId="232" applyNumberFormat="1" applyFont="1" applyFill="1"/>
    <xf numFmtId="43" fontId="32" fillId="0" borderId="10" xfId="232" applyFont="1" applyFill="1" applyBorder="1" applyAlignment="1"/>
    <xf numFmtId="165" fontId="5" fillId="0" borderId="10" xfId="231" applyNumberFormat="1" applyFont="1" applyBorder="1" applyAlignment="1"/>
    <xf numFmtId="43" fontId="32" fillId="0" borderId="10" xfId="232" applyNumberFormat="1" applyFont="1" applyBorder="1" applyAlignment="1"/>
    <xf numFmtId="166" fontId="5" fillId="0" borderId="0" xfId="232" applyNumberFormat="1" applyFont="1"/>
    <xf numFmtId="165" fontId="32" fillId="0" borderId="10" xfId="232" applyNumberFormat="1" applyFont="1" applyFill="1" applyBorder="1" applyAlignment="1"/>
    <xf numFmtId="0" fontId="5" fillId="0" borderId="65" xfId="231" applyFont="1" applyBorder="1" applyAlignment="1"/>
    <xf numFmtId="0" fontId="5" fillId="64" borderId="10" xfId="231" applyFont="1" applyFill="1" applyBorder="1"/>
    <xf numFmtId="43" fontId="32" fillId="64" borderId="10" xfId="232" applyNumberFormat="1" applyFont="1" applyFill="1" applyBorder="1"/>
    <xf numFmtId="166" fontId="5" fillId="64" borderId="0" xfId="232" applyNumberFormat="1" applyFont="1" applyFill="1"/>
    <xf numFmtId="43" fontId="32" fillId="64" borderId="10" xfId="232" applyNumberFormat="1" applyFont="1" applyFill="1" applyBorder="1" applyAlignment="1"/>
    <xf numFmtId="43" fontId="32" fillId="0" borderId="10" xfId="232" quotePrefix="1" applyNumberFormat="1" applyFont="1" applyBorder="1" applyAlignment="1">
      <alignment horizontal="left"/>
    </xf>
    <xf numFmtId="0" fontId="5" fillId="21" borderId="10" xfId="231" applyFont="1" applyFill="1" applyBorder="1"/>
    <xf numFmtId="43" fontId="32" fillId="21" borderId="10" xfId="232" applyNumberFormat="1" applyFont="1" applyFill="1" applyBorder="1"/>
    <xf numFmtId="43" fontId="32" fillId="21" borderId="10" xfId="232" applyFont="1" applyFill="1" applyBorder="1"/>
    <xf numFmtId="43" fontId="32" fillId="0" borderId="10" xfId="232" quotePrefix="1" applyNumberFormat="1" applyFont="1" applyFill="1" applyBorder="1" applyAlignment="1">
      <alignment horizontal="left"/>
    </xf>
    <xf numFmtId="43" fontId="32" fillId="0" borderId="22" xfId="232" applyNumberFormat="1" applyFont="1" applyFill="1" applyBorder="1" applyAlignment="1"/>
    <xf numFmtId="43" fontId="32" fillId="0" borderId="0" xfId="232" applyNumberFormat="1" applyFont="1"/>
    <xf numFmtId="165" fontId="32" fillId="0" borderId="33" xfId="231" applyNumberFormat="1" applyFont="1" applyBorder="1" applyAlignment="1"/>
    <xf numFmtId="43" fontId="32" fillId="0" borderId="15" xfId="232" applyNumberFormat="1" applyFont="1" applyBorder="1" applyAlignment="1"/>
    <xf numFmtId="166" fontId="5" fillId="0" borderId="0" xfId="232" applyNumberFormat="1" applyFont="1" applyBorder="1"/>
    <xf numFmtId="165" fontId="32" fillId="0" borderId="50" xfId="231" applyNumberFormat="1" applyFont="1" applyBorder="1" applyAlignment="1"/>
    <xf numFmtId="43" fontId="32" fillId="0" borderId="8" xfId="232" applyNumberFormat="1" applyFont="1" applyBorder="1" applyAlignment="1"/>
    <xf numFmtId="43" fontId="32" fillId="0" borderId="0" xfId="232" applyNumberFormat="1" applyFont="1" applyBorder="1" applyAlignment="1"/>
    <xf numFmtId="165" fontId="32" fillId="0" borderId="36" xfId="231" applyNumberFormat="1" applyFont="1" applyBorder="1" applyAlignment="1"/>
    <xf numFmtId="43" fontId="32" fillId="0" borderId="18" xfId="232" applyNumberFormat="1" applyFont="1" applyBorder="1" applyAlignment="1"/>
    <xf numFmtId="166" fontId="5" fillId="0" borderId="18" xfId="232" applyNumberFormat="1" applyFont="1" applyBorder="1"/>
    <xf numFmtId="165" fontId="32" fillId="0" borderId="22" xfId="232" applyNumberFormat="1" applyFont="1" applyFill="1" applyBorder="1" applyAlignment="1"/>
    <xf numFmtId="165" fontId="32" fillId="0" borderId="0" xfId="231" applyNumberFormat="1" applyFont="1" applyBorder="1" applyAlignment="1"/>
    <xf numFmtId="0" fontId="37" fillId="0" borderId="0" xfId="231" applyFont="1"/>
    <xf numFmtId="0" fontId="38" fillId="0" borderId="0" xfId="231" applyFont="1"/>
    <xf numFmtId="0" fontId="39" fillId="0" borderId="0" xfId="231" applyFont="1"/>
    <xf numFmtId="0" fontId="40" fillId="0" borderId="0" xfId="231" quotePrefix="1" applyFont="1" applyAlignment="1">
      <alignment horizontal="centerContinuous"/>
    </xf>
    <xf numFmtId="0" fontId="30" fillId="0" borderId="0" xfId="231" applyFont="1"/>
    <xf numFmtId="0" fontId="6" fillId="0" borderId="30" xfId="231" applyFont="1" applyBorder="1" applyAlignment="1">
      <alignment horizontal="center"/>
    </xf>
    <xf numFmtId="0" fontId="6" fillId="27" borderId="33" xfId="231" applyFont="1" applyFill="1" applyBorder="1" applyAlignment="1">
      <alignment horizontal="left"/>
    </xf>
    <xf numFmtId="166" fontId="32" fillId="0" borderId="10" xfId="232" applyNumberFormat="1" applyFont="1" applyBorder="1" applyAlignment="1">
      <alignment horizontal="left"/>
    </xf>
    <xf numFmtId="165" fontId="5" fillId="0" borderId="33" xfId="231" applyNumberFormat="1" applyFont="1" applyFill="1" applyBorder="1" applyAlignment="1"/>
    <xf numFmtId="165" fontId="5" fillId="0" borderId="33" xfId="231" applyNumberFormat="1" applyFont="1" applyBorder="1" applyAlignment="1"/>
    <xf numFmtId="43" fontId="32" fillId="0" borderId="10" xfId="232" applyFont="1" applyBorder="1" applyAlignment="1"/>
    <xf numFmtId="0" fontId="5" fillId="21" borderId="33" xfId="231" applyFont="1" applyFill="1" applyBorder="1"/>
    <xf numFmtId="0" fontId="6" fillId="27" borderId="33" xfId="231" quotePrefix="1" applyFont="1" applyFill="1" applyBorder="1" applyAlignment="1">
      <alignment horizontal="left"/>
    </xf>
    <xf numFmtId="43" fontId="32" fillId="0" borderId="10" xfId="232" quotePrefix="1" applyFont="1" applyBorder="1" applyAlignment="1">
      <alignment horizontal="left"/>
    </xf>
    <xf numFmtId="43" fontId="32" fillId="0" borderId="10" xfId="232" quotePrefix="1" applyFont="1" applyFill="1" applyBorder="1" applyAlignment="1">
      <alignment horizontal="left"/>
    </xf>
    <xf numFmtId="165" fontId="5" fillId="0" borderId="36" xfId="231" applyNumberFormat="1" applyFont="1" applyBorder="1" applyAlignment="1"/>
    <xf numFmtId="43" fontId="32" fillId="0" borderId="22" xfId="232" applyFont="1" applyBorder="1" applyAlignment="1"/>
    <xf numFmtId="43" fontId="32" fillId="0" borderId="0" xfId="232" applyFont="1"/>
    <xf numFmtId="0" fontId="32" fillId="0" borderId="47" xfId="231" applyFont="1" applyBorder="1"/>
    <xf numFmtId="0" fontId="32" fillId="0" borderId="47" xfId="232" applyNumberFormat="1" applyFont="1" applyBorder="1" applyAlignment="1">
      <alignment horizontal="center"/>
    </xf>
    <xf numFmtId="165" fontId="32" fillId="0" borderId="47" xfId="231" applyNumberFormat="1" applyFont="1" applyBorder="1" applyAlignment="1"/>
    <xf numFmtId="43" fontId="32" fillId="0" borderId="47" xfId="232" applyFont="1" applyBorder="1" applyAlignment="1"/>
    <xf numFmtId="43" fontId="32" fillId="0" borderId="51" xfId="232" applyFont="1" applyFill="1" applyBorder="1" applyAlignment="1"/>
    <xf numFmtId="43" fontId="32" fillId="0" borderId="0" xfId="231" applyNumberFormat="1" applyFont="1"/>
    <xf numFmtId="165" fontId="5" fillId="27" borderId="33" xfId="0" applyNumberFormat="1" applyFont="1" applyFill="1" applyBorder="1" applyAlignment="1">
      <alignment horizontal="center"/>
    </xf>
    <xf numFmtId="165" fontId="6" fillId="27" borderId="33" xfId="0" applyNumberFormat="1" applyFont="1" applyFill="1" applyBorder="1" applyAlignment="1">
      <alignment horizontal="center"/>
    </xf>
    <xf numFmtId="4" fontId="0" fillId="0" borderId="0" xfId="0" applyNumberFormat="1" applyFont="1"/>
    <xf numFmtId="2" fontId="0" fillId="41" borderId="0" xfId="0" applyNumberFormat="1" applyFont="1" applyFill="1"/>
    <xf numFmtId="43" fontId="5" fillId="0" borderId="0" xfId="0" applyNumberFormat="1" applyFont="1" applyFill="1"/>
    <xf numFmtId="3" fontId="0" fillId="0" borderId="0" xfId="0" applyNumberFormat="1" applyFont="1" applyFill="1"/>
    <xf numFmtId="43" fontId="0" fillId="0" borderId="0" xfId="0" applyNumberFormat="1" applyFont="1"/>
    <xf numFmtId="0" fontId="2" fillId="0" borderId="0" xfId="233"/>
    <xf numFmtId="0" fontId="5" fillId="0" borderId="0" xfId="233" applyFont="1"/>
    <xf numFmtId="0" fontId="32" fillId="0" borderId="12" xfId="233" applyFont="1" applyBorder="1" applyAlignment="1">
      <alignment horizontal="center"/>
    </xf>
    <xf numFmtId="166" fontId="32" fillId="0" borderId="10" xfId="234" applyNumberFormat="1" applyFont="1" applyBorder="1" applyAlignment="1">
      <alignment horizontal="left"/>
    </xf>
    <xf numFmtId="43" fontId="32" fillId="21" borderId="10" xfId="234" applyFont="1" applyFill="1" applyBorder="1"/>
    <xf numFmtId="43" fontId="32" fillId="0" borderId="10" xfId="234" quotePrefix="1" applyFont="1" applyBorder="1" applyAlignment="1">
      <alignment horizontal="left"/>
    </xf>
    <xf numFmtId="43" fontId="32" fillId="0" borderId="0" xfId="234" applyFont="1"/>
    <xf numFmtId="2" fontId="32" fillId="0" borderId="0" xfId="234" applyNumberFormat="1" applyFont="1"/>
    <xf numFmtId="2" fontId="32" fillId="0" borderId="12" xfId="233" applyNumberFormat="1" applyFont="1" applyBorder="1" applyAlignment="1">
      <alignment horizontal="center"/>
    </xf>
    <xf numFmtId="0" fontId="38" fillId="0" borderId="0" xfId="233" applyFont="1" applyBorder="1"/>
    <xf numFmtId="0" fontId="32" fillId="0" borderId="0" xfId="233" applyFont="1" applyBorder="1"/>
    <xf numFmtId="0" fontId="32" fillId="0" borderId="18" xfId="233" applyFont="1" applyBorder="1" applyAlignment="1">
      <alignment horizontal="right"/>
    </xf>
    <xf numFmtId="0" fontId="6" fillId="0" borderId="18" xfId="233" applyFont="1" applyBorder="1"/>
    <xf numFmtId="0" fontId="32" fillId="0" borderId="18" xfId="233" applyFont="1" applyBorder="1"/>
    <xf numFmtId="0" fontId="34" fillId="0" borderId="18" xfId="233" quotePrefix="1" applyFont="1" applyBorder="1" applyAlignment="1">
      <alignment horizontal="centerContinuous"/>
    </xf>
    <xf numFmtId="2" fontId="34" fillId="0" borderId="0" xfId="233" quotePrefix="1" applyNumberFormat="1" applyFont="1" applyAlignment="1">
      <alignment horizontal="centerContinuous"/>
    </xf>
    <xf numFmtId="0" fontId="32" fillId="0" borderId="51" xfId="233" applyFont="1" applyBorder="1" applyAlignment="1">
      <alignment horizontal="center"/>
    </xf>
    <xf numFmtId="2" fontId="32" fillId="0" borderId="10" xfId="234" applyNumberFormat="1" applyFont="1" applyBorder="1" applyAlignment="1">
      <alignment horizontal="left"/>
    </xf>
    <xf numFmtId="43" fontId="32" fillId="0" borderId="0" xfId="234" applyNumberFormat="1" applyFont="1"/>
    <xf numFmtId="180" fontId="32" fillId="0" borderId="0" xfId="234" applyNumberFormat="1" applyFont="1" applyFill="1" applyBorder="1" applyAlignment="1"/>
    <xf numFmtId="43" fontId="32" fillId="0" borderId="10" xfId="20" applyNumberFormat="1" applyFont="1" applyFill="1" applyBorder="1" applyAlignment="1"/>
    <xf numFmtId="43" fontId="32" fillId="0" borderId="10" xfId="20" applyFont="1" applyFill="1" applyBorder="1" applyAlignment="1"/>
    <xf numFmtId="165" fontId="32" fillId="0" borderId="10" xfId="20" applyNumberFormat="1" applyFont="1" applyFill="1" applyBorder="1" applyAlignment="1"/>
    <xf numFmtId="1" fontId="32" fillId="0" borderId="10" xfId="20" applyNumberFormat="1" applyFont="1" applyFill="1" applyBorder="1" applyAlignment="1">
      <alignment horizontal="right"/>
    </xf>
    <xf numFmtId="165" fontId="32" fillId="0" borderId="10" xfId="20" applyNumberFormat="1" applyFont="1" applyFill="1" applyBorder="1" applyAlignment="1">
      <alignment horizontal="left" indent="1"/>
    </xf>
    <xf numFmtId="43" fontId="32" fillId="64" borderId="10" xfId="20" applyNumberFormat="1" applyFont="1" applyFill="1" applyBorder="1"/>
    <xf numFmtId="43" fontId="32" fillId="64" borderId="10" xfId="20" applyFont="1" applyFill="1" applyBorder="1" applyAlignment="1"/>
    <xf numFmtId="43" fontId="32" fillId="64" borderId="10" xfId="20" applyNumberFormat="1" applyFont="1" applyFill="1" applyBorder="1" applyAlignment="1"/>
    <xf numFmtId="180" fontId="32" fillId="64" borderId="10" xfId="20" applyNumberFormat="1" applyFont="1" applyFill="1" applyBorder="1" applyAlignment="1"/>
    <xf numFmtId="43" fontId="32" fillId="0" borderId="10" xfId="20" quotePrefix="1" applyNumberFormat="1" applyFont="1" applyBorder="1" applyAlignment="1">
      <alignment horizontal="left"/>
    </xf>
    <xf numFmtId="180" fontId="32" fillId="0" borderId="10" xfId="20" applyNumberFormat="1" applyFont="1" applyFill="1" applyBorder="1" applyAlignment="1"/>
    <xf numFmtId="37" fontId="32" fillId="0" borderId="10" xfId="20" applyNumberFormat="1" applyFont="1" applyFill="1" applyBorder="1" applyAlignment="1"/>
    <xf numFmtId="1" fontId="32" fillId="0" borderId="10" xfId="20" applyNumberFormat="1" applyFont="1" applyFill="1" applyBorder="1" applyAlignment="1"/>
    <xf numFmtId="178" fontId="32" fillId="0" borderId="10" xfId="20" applyNumberFormat="1" applyFont="1" applyFill="1" applyBorder="1" applyAlignment="1"/>
    <xf numFmtId="165" fontId="32" fillId="0" borderId="10" xfId="20" applyNumberFormat="1" applyFont="1" applyFill="1" applyBorder="1" applyAlignment="1">
      <alignment horizontal="left" indent="2"/>
    </xf>
    <xf numFmtId="43" fontId="32" fillId="21" borderId="10" xfId="20" applyNumberFormat="1" applyFont="1" applyFill="1" applyBorder="1"/>
    <xf numFmtId="43" fontId="32" fillId="21" borderId="10" xfId="20" applyFont="1" applyFill="1" applyBorder="1"/>
    <xf numFmtId="43" fontId="32" fillId="0" borderId="10" xfId="20" quotePrefix="1" applyNumberFormat="1" applyFont="1" applyFill="1" applyBorder="1" applyAlignment="1">
      <alignment horizontal="left"/>
    </xf>
    <xf numFmtId="43" fontId="32" fillId="0" borderId="10" xfId="20" applyNumberFormat="1" applyFont="1" applyBorder="1" applyAlignment="1"/>
    <xf numFmtId="165" fontId="32" fillId="0" borderId="66" xfId="20" applyNumberFormat="1" applyFont="1" applyFill="1" applyBorder="1" applyAlignment="1"/>
    <xf numFmtId="165" fontId="32" fillId="0" borderId="22" xfId="20" applyNumberFormat="1" applyFont="1" applyFill="1" applyBorder="1" applyAlignment="1"/>
    <xf numFmtId="0" fontId="32" fillId="0" borderId="39" xfId="0" applyFont="1" applyBorder="1" applyAlignment="1">
      <alignment horizontal="center"/>
    </xf>
    <xf numFmtId="180" fontId="32" fillId="0" borderId="51" xfId="20" applyNumberFormat="1" applyFont="1" applyFill="1" applyBorder="1" applyAlignment="1"/>
    <xf numFmtId="165" fontId="32" fillId="0" borderId="0" xfId="20" applyNumberFormat="1" applyFont="1" applyFill="1" applyBorder="1" applyAlignment="1"/>
    <xf numFmtId="43" fontId="32" fillId="0" borderId="66" xfId="232" applyNumberFormat="1" applyFont="1" applyBorder="1" applyAlignment="1"/>
    <xf numFmtId="43" fontId="32" fillId="0" borderId="44" xfId="20" applyFont="1" applyBorder="1" applyAlignment="1"/>
    <xf numFmtId="0" fontId="32" fillId="0" borderId="16" xfId="231" applyFont="1" applyBorder="1" applyAlignment="1">
      <alignment horizontal="center"/>
    </xf>
    <xf numFmtId="0" fontId="6" fillId="41" borderId="31" xfId="231" quotePrefix="1" applyFont="1" applyFill="1" applyBorder="1" applyAlignment="1">
      <alignment horizontal="left"/>
    </xf>
    <xf numFmtId="0" fontId="6" fillId="41" borderId="12" xfId="231" quotePrefix="1" applyFont="1" applyFill="1" applyBorder="1" applyAlignment="1">
      <alignment horizontal="left"/>
    </xf>
    <xf numFmtId="43" fontId="32" fillId="0" borderId="10" xfId="20" quotePrefix="1" applyFont="1" applyBorder="1" applyAlignment="1">
      <alignment horizontal="left"/>
    </xf>
    <xf numFmtId="43" fontId="32" fillId="0" borderId="10" xfId="20" quotePrefix="1" applyFont="1" applyFill="1" applyBorder="1" applyAlignment="1">
      <alignment horizontal="left"/>
    </xf>
    <xf numFmtId="165" fontId="5" fillId="0" borderId="50" xfId="231" applyNumberFormat="1" applyFont="1" applyBorder="1" applyAlignment="1"/>
    <xf numFmtId="43" fontId="32" fillId="0" borderId="66" xfId="232" applyFont="1" applyBorder="1" applyAlignment="1"/>
    <xf numFmtId="2" fontId="5" fillId="0" borderId="0" xfId="0" applyNumberFormat="1" applyFont="1"/>
    <xf numFmtId="43" fontId="32" fillId="0" borderId="51" xfId="20" applyFont="1" applyFill="1" applyBorder="1" applyAlignment="1"/>
    <xf numFmtId="183" fontId="0" fillId="41" borderId="0" xfId="0" applyNumberFormat="1" applyFont="1" applyFill="1"/>
    <xf numFmtId="0" fontId="79" fillId="41" borderId="0" xfId="0" applyFont="1" applyFill="1"/>
    <xf numFmtId="43" fontId="32" fillId="0" borderId="49" xfId="20" applyNumberFormat="1" applyFont="1" applyBorder="1" applyAlignment="1"/>
    <xf numFmtId="165" fontId="32" fillId="0" borderId="51" xfId="20" applyNumberFormat="1" applyFont="1" applyFill="1" applyBorder="1" applyAlignment="1"/>
    <xf numFmtId="184" fontId="0" fillId="0" borderId="0" xfId="0" applyNumberFormat="1" applyFont="1"/>
    <xf numFmtId="1" fontId="27" fillId="41" borderId="0" xfId="0" applyNumberFormat="1" applyFont="1" applyFill="1" applyBorder="1" applyAlignment="1">
      <alignment horizontal="right"/>
    </xf>
    <xf numFmtId="3" fontId="0" fillId="41" borderId="0" xfId="0" quotePrefix="1" applyNumberFormat="1" applyFill="1" applyAlignment="1">
      <alignment horizontal="left"/>
    </xf>
    <xf numFmtId="43" fontId="45" fillId="41" borderId="0" xfId="20" applyFont="1" applyFill="1"/>
    <xf numFmtId="43" fontId="0" fillId="41" borderId="0" xfId="0" applyNumberFormat="1" applyFont="1" applyFill="1"/>
    <xf numFmtId="177" fontId="32" fillId="0" borderId="10" xfId="20" applyNumberFormat="1" applyFont="1" applyFill="1" applyBorder="1" applyAlignment="1"/>
    <xf numFmtId="43" fontId="32" fillId="65" borderId="0" xfId="20" applyFont="1" applyFill="1"/>
    <xf numFmtId="43" fontId="32" fillId="65" borderId="0" xfId="232" applyFont="1" applyFill="1"/>
    <xf numFmtId="43" fontId="32" fillId="65" borderId="0" xfId="20" applyNumberFormat="1" applyFont="1" applyFill="1"/>
    <xf numFmtId="178" fontId="32" fillId="65" borderId="0" xfId="232" applyNumberFormat="1" applyFont="1" applyFill="1"/>
    <xf numFmtId="0" fontId="32" fillId="0" borderId="40" xfId="231" applyFont="1" applyBorder="1"/>
    <xf numFmtId="0" fontId="32" fillId="0" borderId="19" xfId="232" applyNumberFormat="1" applyFont="1" applyBorder="1" applyAlignment="1">
      <alignment horizontal="center"/>
    </xf>
    <xf numFmtId="165" fontId="5" fillId="0" borderId="51" xfId="0" applyNumberFormat="1" applyFont="1" applyBorder="1" applyAlignment="1"/>
    <xf numFmtId="43" fontId="32" fillId="0" borderId="51" xfId="20" applyNumberFormat="1" applyFont="1" applyBorder="1" applyAlignment="1"/>
    <xf numFmtId="180" fontId="32" fillId="0" borderId="10" xfId="32" applyNumberFormat="1" applyFont="1" applyFill="1" applyBorder="1" applyAlignment="1">
      <alignment horizontal="right"/>
    </xf>
    <xf numFmtId="165" fontId="32" fillId="0" borderId="10" xfId="32" applyNumberFormat="1" applyFont="1" applyFill="1" applyBorder="1" applyAlignment="1">
      <alignment horizontal="right"/>
    </xf>
    <xf numFmtId="43" fontId="32" fillId="21" borderId="10" xfId="32" applyNumberFormat="1" applyFont="1" applyFill="1" applyBorder="1" applyAlignment="1">
      <alignment horizontal="right"/>
    </xf>
    <xf numFmtId="43" fontId="32" fillId="0" borderId="10" xfId="32" applyNumberFormat="1" applyFont="1" applyFill="1" applyBorder="1" applyAlignment="1">
      <alignment horizontal="right"/>
    </xf>
    <xf numFmtId="43" fontId="32" fillId="64" borderId="10" xfId="32" applyNumberFormat="1" applyFont="1" applyFill="1" applyBorder="1" applyAlignment="1">
      <alignment horizontal="right"/>
    </xf>
    <xf numFmtId="165" fontId="32" fillId="0" borderId="66" xfId="32" applyNumberFormat="1" applyFont="1" applyFill="1" applyBorder="1" applyAlignment="1">
      <alignment horizontal="right"/>
    </xf>
    <xf numFmtId="180" fontId="32" fillId="0" borderId="51" xfId="232" applyNumberFormat="1" applyFont="1" applyFill="1" applyBorder="1" applyAlignment="1">
      <alignment horizontal="center"/>
    </xf>
    <xf numFmtId="180" fontId="32" fillId="0" borderId="10" xfId="32" applyNumberFormat="1" applyFont="1" applyFill="1" applyBorder="1" applyAlignment="1">
      <alignment horizontal="center"/>
    </xf>
    <xf numFmtId="43" fontId="32" fillId="0" borderId="51" xfId="232" applyNumberFormat="1" applyFont="1" applyFill="1" applyBorder="1" applyAlignment="1">
      <alignment horizontal="right"/>
    </xf>
    <xf numFmtId="178" fontId="77" fillId="0" borderId="10" xfId="20" applyNumberFormat="1" applyFont="1" applyFill="1" applyBorder="1" applyAlignment="1"/>
    <xf numFmtId="0" fontId="81" fillId="0" borderId="0" xfId="0" applyFont="1" applyAlignment="1">
      <alignment horizontal="center"/>
    </xf>
    <xf numFmtId="0" fontId="82" fillId="0" borderId="0" xfId="0" applyFont="1" applyFill="1"/>
    <xf numFmtId="165" fontId="43" fillId="0" borderId="0" xfId="33" applyNumberFormat="1" applyFont="1"/>
    <xf numFmtId="0" fontId="1" fillId="0" borderId="0" xfId="55" applyFont="1"/>
    <xf numFmtId="0" fontId="83" fillId="66" borderId="7" xfId="0" applyFont="1" applyFill="1" applyBorder="1" applyAlignment="1">
      <alignment horizontal="center"/>
    </xf>
    <xf numFmtId="0" fontId="83" fillId="66" borderId="67" xfId="0" applyFont="1" applyFill="1" applyBorder="1"/>
    <xf numFmtId="171" fontId="84" fillId="66" borderId="9" xfId="34" applyNumberFormat="1" applyFont="1" applyFill="1" applyBorder="1" applyAlignment="1">
      <alignment horizontal="center"/>
    </xf>
    <xf numFmtId="171" fontId="84" fillId="66" borderId="11" xfId="34" applyNumberFormat="1" applyFont="1" applyFill="1" applyBorder="1" applyAlignment="1">
      <alignment horizontal="center"/>
    </xf>
    <xf numFmtId="0" fontId="83" fillId="0" borderId="33" xfId="0" quotePrefix="1" applyNumberFormat="1" applyFont="1" applyFill="1" applyBorder="1" applyAlignment="1">
      <alignment horizontal="center"/>
    </xf>
    <xf numFmtId="0" fontId="83" fillId="0" borderId="3" xfId="0" applyFont="1" applyFill="1" applyBorder="1" applyAlignment="1">
      <alignment horizontal="left"/>
    </xf>
    <xf numFmtId="171" fontId="84" fillId="0" borderId="10" xfId="34" applyNumberFormat="1" applyFont="1" applyBorder="1" applyAlignment="1"/>
    <xf numFmtId="0" fontId="1" fillId="0" borderId="0" xfId="55" applyFont="1" applyFill="1" applyBorder="1"/>
    <xf numFmtId="0" fontId="85" fillId="0" borderId="0" xfId="55" applyFont="1" applyFill="1" applyBorder="1" applyAlignment="1"/>
    <xf numFmtId="0" fontId="85" fillId="0" borderId="0" xfId="55" applyFont="1" applyFill="1" applyBorder="1"/>
    <xf numFmtId="171" fontId="85" fillId="0" borderId="0" xfId="38" applyNumberFormat="1" applyFont="1" applyFill="1" applyBorder="1" applyAlignment="1">
      <alignment horizontal="left"/>
    </xf>
    <xf numFmtId="171" fontId="43" fillId="0" borderId="0" xfId="38" applyNumberFormat="1" applyFont="1"/>
    <xf numFmtId="0" fontId="1" fillId="0" borderId="0" xfId="55" applyFont="1" applyFill="1"/>
    <xf numFmtId="0" fontId="83" fillId="0" borderId="36" xfId="0" quotePrefix="1" applyNumberFormat="1" applyFont="1" applyFill="1" applyBorder="1" applyAlignment="1">
      <alignment horizontal="center"/>
    </xf>
    <xf numFmtId="0" fontId="83" fillId="0" borderId="24" xfId="0" applyFont="1" applyFill="1" applyBorder="1" applyAlignment="1">
      <alignment horizontal="left"/>
    </xf>
    <xf numFmtId="171" fontId="84" fillId="0" borderId="22" xfId="34" applyNumberFormat="1" applyFont="1" applyBorder="1" applyAlignment="1"/>
    <xf numFmtId="0" fontId="83" fillId="0" borderId="0" xfId="0" applyFont="1" applyAlignment="1">
      <alignment horizontal="center"/>
    </xf>
    <xf numFmtId="0" fontId="84" fillId="66" borderId="38" xfId="0" quotePrefix="1" applyFont="1" applyFill="1" applyBorder="1" applyAlignment="1">
      <alignment horizontal="center"/>
    </xf>
    <xf numFmtId="0" fontId="84" fillId="66" borderId="17" xfId="0" applyFont="1" applyFill="1" applyBorder="1" applyAlignment="1">
      <alignment horizontal="center"/>
    </xf>
    <xf numFmtId="0" fontId="80" fillId="0" borderId="0" xfId="55" applyFont="1"/>
    <xf numFmtId="0" fontId="86" fillId="41" borderId="0" xfId="0" quotePrefix="1" applyFont="1" applyFill="1" applyAlignment="1">
      <alignment horizontal="left"/>
    </xf>
    <xf numFmtId="0" fontId="78" fillId="41" borderId="0" xfId="0" applyFont="1" applyFill="1"/>
    <xf numFmtId="0" fontId="86" fillId="41" borderId="0" xfId="0" applyFont="1" applyFill="1"/>
    <xf numFmtId="14" fontId="86" fillId="41" borderId="0" xfId="0" applyNumberFormat="1" applyFont="1" applyFill="1" applyAlignment="1">
      <alignment wrapText="1"/>
    </xf>
    <xf numFmtId="0" fontId="86" fillId="41" borderId="0" xfId="0" applyFont="1" applyFill="1" applyAlignment="1">
      <alignment wrapText="1"/>
    </xf>
    <xf numFmtId="3" fontId="86" fillId="41" borderId="6" xfId="0" applyNumberFormat="1" applyFont="1" applyFill="1" applyBorder="1" applyAlignment="1">
      <alignment horizontal="right"/>
    </xf>
    <xf numFmtId="3" fontId="86" fillId="41" borderId="25" xfId="0" applyNumberFormat="1" applyFont="1" applyFill="1" applyBorder="1" applyAlignment="1">
      <alignment horizontal="right"/>
    </xf>
    <xf numFmtId="3" fontId="86" fillId="41" borderId="8" xfId="0" applyNumberFormat="1" applyFont="1" applyFill="1" applyBorder="1" applyAlignment="1">
      <alignment horizontal="right"/>
    </xf>
    <xf numFmtId="0" fontId="78" fillId="41" borderId="0" xfId="0" quotePrefix="1" applyFont="1" applyFill="1" applyAlignment="1">
      <alignment horizontal="left"/>
    </xf>
    <xf numFmtId="10" fontId="78" fillId="41" borderId="46" xfId="0" applyNumberFormat="1" applyFont="1" applyFill="1" applyBorder="1" applyAlignment="1">
      <alignment horizontal="right"/>
    </xf>
    <xf numFmtId="10" fontId="78" fillId="41" borderId="0" xfId="0" applyNumberFormat="1" applyFont="1" applyFill="1" applyBorder="1" applyAlignment="1">
      <alignment horizontal="right"/>
    </xf>
    <xf numFmtId="0" fontId="78" fillId="41" borderId="26" xfId="0" applyFont="1" applyFill="1" applyBorder="1" applyAlignment="1">
      <alignment horizontal="right"/>
    </xf>
    <xf numFmtId="0" fontId="78" fillId="41" borderId="0" xfId="0" applyFont="1" applyFill="1" applyAlignment="1">
      <alignment horizontal="left"/>
    </xf>
    <xf numFmtId="3" fontId="78" fillId="41" borderId="46" xfId="29" applyNumberFormat="1" applyFont="1" applyFill="1" applyBorder="1" applyAlignment="1">
      <alignment horizontal="right"/>
    </xf>
    <xf numFmtId="3" fontId="78" fillId="41" borderId="0" xfId="29" applyNumberFormat="1" applyFont="1" applyFill="1" applyBorder="1" applyAlignment="1">
      <alignment horizontal="right"/>
    </xf>
    <xf numFmtId="3" fontId="78" fillId="41" borderId="0" xfId="0" applyNumberFormat="1" applyFont="1" applyFill="1" applyBorder="1" applyAlignment="1">
      <alignment horizontal="right"/>
    </xf>
    <xf numFmtId="3" fontId="78" fillId="41" borderId="26" xfId="29" applyNumberFormat="1" applyFont="1" applyFill="1" applyBorder="1" applyAlignment="1">
      <alignment horizontal="right"/>
    </xf>
    <xf numFmtId="3" fontId="78" fillId="41" borderId="46" xfId="0" applyNumberFormat="1" applyFont="1" applyFill="1" applyBorder="1" applyAlignment="1">
      <alignment horizontal="center"/>
    </xf>
    <xf numFmtId="3" fontId="78" fillId="41" borderId="0" xfId="0" applyNumberFormat="1" applyFont="1" applyFill="1" applyBorder="1" applyAlignment="1">
      <alignment horizontal="center"/>
    </xf>
    <xf numFmtId="0" fontId="78" fillId="41" borderId="26" xfId="0" applyFont="1" applyFill="1" applyBorder="1" applyAlignment="1">
      <alignment horizontal="center"/>
    </xf>
    <xf numFmtId="37" fontId="86" fillId="41" borderId="46" xfId="0" applyNumberFormat="1" applyFont="1" applyFill="1" applyBorder="1" applyAlignment="1">
      <alignment horizontal="right"/>
    </xf>
    <xf numFmtId="37" fontId="86" fillId="41" borderId="0" xfId="0" applyNumberFormat="1" applyFont="1" applyFill="1" applyBorder="1" applyAlignment="1">
      <alignment horizontal="right"/>
    </xf>
    <xf numFmtId="37" fontId="86" fillId="41" borderId="26" xfId="0" applyNumberFormat="1" applyFont="1" applyFill="1" applyBorder="1" applyAlignment="1">
      <alignment horizontal="right"/>
    </xf>
    <xf numFmtId="37" fontId="78" fillId="41" borderId="46" xfId="20" applyNumberFormat="1" applyFont="1" applyFill="1" applyBorder="1" applyAlignment="1">
      <alignment horizontal="right"/>
    </xf>
    <xf numFmtId="37" fontId="78" fillId="41" borderId="0" xfId="20" applyNumberFormat="1" applyFont="1" applyFill="1" applyBorder="1" applyAlignment="1">
      <alignment horizontal="right"/>
    </xf>
    <xf numFmtId="37" fontId="78" fillId="41" borderId="26" xfId="20" applyNumberFormat="1" applyFont="1" applyFill="1" applyBorder="1" applyAlignment="1">
      <alignment horizontal="right"/>
    </xf>
    <xf numFmtId="3" fontId="78" fillId="41" borderId="46" xfId="0" applyNumberFormat="1" applyFont="1" applyFill="1" applyBorder="1" applyAlignment="1">
      <alignment horizontal="right"/>
    </xf>
    <xf numFmtId="0" fontId="78" fillId="41" borderId="0" xfId="0" quotePrefix="1" applyFont="1" applyFill="1" applyAlignment="1">
      <alignment horizontal="left" vertical="top" wrapText="1"/>
    </xf>
    <xf numFmtId="0" fontId="78" fillId="41" borderId="0" xfId="0" applyFont="1" applyFill="1" applyAlignment="1">
      <alignment vertical="top"/>
    </xf>
    <xf numFmtId="10" fontId="78" fillId="41" borderId="0" xfId="56" applyNumberFormat="1" applyFont="1" applyFill="1" applyBorder="1"/>
    <xf numFmtId="0" fontId="87" fillId="41" borderId="0" xfId="0" applyFont="1" applyFill="1"/>
    <xf numFmtId="0" fontId="78" fillId="41" borderId="0" xfId="0" quotePrefix="1" applyFont="1" applyFill="1" applyBorder="1" applyAlignment="1">
      <alignment horizontal="left"/>
    </xf>
    <xf numFmtId="5" fontId="88" fillId="41" borderId="13" xfId="0" applyNumberFormat="1" applyFont="1" applyFill="1" applyBorder="1" applyAlignment="1">
      <alignment horizontal="right" vertical="top"/>
    </xf>
    <xf numFmtId="5" fontId="88" fillId="41" borderId="68" xfId="0" applyNumberFormat="1" applyFont="1" applyFill="1" applyBorder="1" applyAlignment="1">
      <alignment horizontal="right" vertical="top"/>
    </xf>
    <xf numFmtId="5" fontId="88" fillId="41" borderId="48" xfId="0" applyNumberFormat="1" applyFont="1" applyFill="1" applyBorder="1" applyAlignment="1">
      <alignment horizontal="right" vertical="top"/>
    </xf>
    <xf numFmtId="20" fontId="86" fillId="41" borderId="47" xfId="0" quotePrefix="1" applyNumberFormat="1" applyFont="1" applyFill="1" applyBorder="1" applyAlignment="1">
      <alignment horizontal="left" vertical="top" wrapText="1"/>
    </xf>
    <xf numFmtId="0" fontId="86" fillId="41" borderId="6" xfId="0" quotePrefix="1" applyFont="1" applyFill="1" applyBorder="1" applyAlignment="1">
      <alignment horizontal="left"/>
    </xf>
    <xf numFmtId="0" fontId="78" fillId="41" borderId="16" xfId="0" quotePrefix="1" applyFont="1" applyFill="1" applyBorder="1" applyAlignment="1">
      <alignment horizontal="left"/>
    </xf>
    <xf numFmtId="164" fontId="78" fillId="41" borderId="16" xfId="0" applyNumberFormat="1" applyFont="1" applyFill="1" applyBorder="1" applyAlignment="1">
      <alignment horizontal="right"/>
    </xf>
    <xf numFmtId="164" fontId="78" fillId="41" borderId="18" xfId="0" applyNumberFormat="1" applyFont="1" applyFill="1" applyBorder="1" applyAlignment="1">
      <alignment horizontal="right"/>
    </xf>
    <xf numFmtId="164" fontId="78" fillId="41" borderId="19" xfId="0" applyNumberFormat="1" applyFont="1" applyFill="1" applyBorder="1" applyAlignment="1">
      <alignment horizontal="right"/>
    </xf>
    <xf numFmtId="0" fontId="87" fillId="41" borderId="6" xfId="0" applyFont="1" applyFill="1" applyBorder="1" applyAlignment="1">
      <alignment horizontal="center"/>
    </xf>
    <xf numFmtId="0" fontId="87" fillId="41" borderId="25" xfId="0" applyFont="1" applyFill="1" applyBorder="1" applyAlignment="1">
      <alignment horizontal="center"/>
    </xf>
    <xf numFmtId="0" fontId="87" fillId="41" borderId="8" xfId="0" applyFont="1" applyFill="1" applyBorder="1" applyAlignment="1">
      <alignment horizontal="center"/>
    </xf>
    <xf numFmtId="0" fontId="78" fillId="41" borderId="46" xfId="0" applyFont="1" applyFill="1" applyBorder="1" applyAlignment="1">
      <alignment horizontal="left"/>
    </xf>
    <xf numFmtId="0" fontId="86" fillId="41" borderId="16" xfId="0" applyFont="1" applyFill="1" applyBorder="1" applyAlignment="1">
      <alignment horizontal="left"/>
    </xf>
    <xf numFmtId="3" fontId="86" fillId="41" borderId="23" xfId="0" applyNumberFormat="1" applyFont="1" applyFill="1" applyBorder="1" applyAlignment="1">
      <alignment horizontal="right"/>
    </xf>
    <xf numFmtId="3" fontId="86" fillId="41" borderId="34" xfId="0" applyNumberFormat="1" applyFont="1" applyFill="1" applyBorder="1" applyAlignment="1">
      <alignment horizontal="right"/>
    </xf>
    <xf numFmtId="3" fontId="86" fillId="41" borderId="35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21" borderId="0" xfId="0" applyFont="1" applyFill="1" applyAlignment="1">
      <alignment horizontal="left"/>
    </xf>
    <xf numFmtId="0" fontId="84" fillId="0" borderId="0" xfId="0" applyFont="1" applyAlignment="1">
      <alignment horizontal="left"/>
    </xf>
    <xf numFmtId="0" fontId="80" fillId="0" borderId="0" xfId="55" applyFont="1" applyAlignment="1">
      <alignment horizontal="left"/>
    </xf>
    <xf numFmtId="165" fontId="89" fillId="0" borderId="0" xfId="33" applyNumberFormat="1" applyFont="1" applyAlignment="1">
      <alignment horizontal="left"/>
    </xf>
    <xf numFmtId="0" fontId="86" fillId="41" borderId="0" xfId="0" applyFont="1" applyFill="1" applyAlignment="1">
      <alignment horizontal="left"/>
    </xf>
    <xf numFmtId="0" fontId="6" fillId="0" borderId="0" xfId="231" applyFont="1" applyAlignment="1">
      <alignment horizontal="left"/>
    </xf>
    <xf numFmtId="0" fontId="32" fillId="0" borderId="0" xfId="231" applyFont="1" applyAlignment="1">
      <alignment horizontal="left"/>
    </xf>
    <xf numFmtId="2" fontId="32" fillId="0" borderId="0" xfId="231" applyNumberFormat="1" applyFont="1" applyAlignment="1">
      <alignment horizontal="left"/>
    </xf>
    <xf numFmtId="43" fontId="27" fillId="41" borderId="13" xfId="20" quotePrefix="1" applyFont="1" applyFill="1" applyBorder="1" applyAlignment="1">
      <alignment horizontal="center"/>
    </xf>
    <xf numFmtId="43" fontId="27" fillId="41" borderId="15" xfId="20" quotePrefix="1" applyFont="1" applyFill="1" applyBorder="1" applyAlignment="1">
      <alignment horizontal="center"/>
    </xf>
    <xf numFmtId="43" fontId="27" fillId="41" borderId="14" xfId="20" quotePrefix="1" applyFont="1" applyFill="1" applyBorder="1" applyAlignment="1">
      <alignment horizontal="center"/>
    </xf>
    <xf numFmtId="0" fontId="0" fillId="41" borderId="13" xfId="0" quotePrefix="1" applyFill="1" applyBorder="1" applyAlignment="1">
      <alignment horizontal="center"/>
    </xf>
    <xf numFmtId="0" fontId="0" fillId="41" borderId="15" xfId="0" quotePrefix="1" applyFont="1" applyFill="1" applyBorder="1" applyAlignment="1">
      <alignment horizontal="center"/>
    </xf>
    <xf numFmtId="0" fontId="0" fillId="41" borderId="13" xfId="0" quotePrefix="1" applyFont="1" applyFill="1" applyBorder="1" applyAlignment="1">
      <alignment horizontal="center"/>
    </xf>
    <xf numFmtId="0" fontId="86" fillId="42" borderId="13" xfId="0" quotePrefix="1" applyFont="1" applyFill="1" applyBorder="1" applyAlignment="1">
      <alignment horizontal="center"/>
    </xf>
    <xf numFmtId="0" fontId="86" fillId="42" borderId="14" xfId="0" quotePrefix="1" applyFont="1" applyFill="1" applyBorder="1" applyAlignment="1">
      <alignment horizontal="center"/>
    </xf>
    <xf numFmtId="0" fontId="86" fillId="42" borderId="15" xfId="0" quotePrefix="1" applyFont="1" applyFill="1" applyBorder="1" applyAlignment="1">
      <alignment horizontal="center"/>
    </xf>
    <xf numFmtId="0" fontId="86" fillId="41" borderId="6" xfId="0" quotePrefix="1" applyFont="1" applyFill="1" applyBorder="1" applyAlignment="1">
      <alignment horizontal="center" wrapText="1"/>
    </xf>
    <xf numFmtId="0" fontId="86" fillId="41" borderId="25" xfId="0" applyFont="1" applyFill="1" applyBorder="1" applyAlignment="1">
      <alignment horizontal="center" wrapText="1"/>
    </xf>
    <xf numFmtId="0" fontId="86" fillId="41" borderId="8" xfId="0" applyFont="1" applyFill="1" applyBorder="1" applyAlignment="1">
      <alignment horizontal="center" wrapText="1"/>
    </xf>
  </cellXfs>
  <cellStyles count="235">
    <cellStyle name="20% - Accent1 2" xfId="172"/>
    <cellStyle name="20% - Accent1 3" xfId="109"/>
    <cellStyle name="20% - Accent2 2" xfId="173"/>
    <cellStyle name="20% - Accent2 3" xfId="110"/>
    <cellStyle name="20% - Accent3 2" xfId="174"/>
    <cellStyle name="20% - Accent3 3" xfId="111"/>
    <cellStyle name="20% - Accent4 2" xfId="175"/>
    <cellStyle name="20% - Accent4 3" xfId="112"/>
    <cellStyle name="20% - Accent5 2" xfId="176"/>
    <cellStyle name="20% - Accent5 3" xfId="113"/>
    <cellStyle name="20% - Accent6 2" xfId="177"/>
    <cellStyle name="20% - Accent6 3" xfId="114"/>
    <cellStyle name="40% - Accent1 2" xfId="178"/>
    <cellStyle name="40% - Accent1 3" xfId="115"/>
    <cellStyle name="40% - Accent2 2" xfId="116"/>
    <cellStyle name="40% - Accent3 2" xfId="179"/>
    <cellStyle name="40% - Accent3 3" xfId="117"/>
    <cellStyle name="40% - Accent4 2" xfId="180"/>
    <cellStyle name="40% - Accent4 3" xfId="118"/>
    <cellStyle name="40% - Accent5 2" xfId="181"/>
    <cellStyle name="40% - Accent5 3" xfId="119"/>
    <cellStyle name="40% - Accent6 2" xfId="182"/>
    <cellStyle name="40% - Accent6 3" xfId="120"/>
    <cellStyle name="60% - Accent1 2" xfId="183"/>
    <cellStyle name="60% - Accent1 3" xfId="121"/>
    <cellStyle name="60% - Accent2 2" xfId="122"/>
    <cellStyle name="60% - Accent3 2" xfId="184"/>
    <cellStyle name="60% - Accent3 3" xfId="123"/>
    <cellStyle name="60% - Accent4 2" xfId="185"/>
    <cellStyle name="60% - Accent4 3" xfId="124"/>
    <cellStyle name="60% - Accent5 2" xfId="186"/>
    <cellStyle name="60% - Accent5 3" xfId="125"/>
    <cellStyle name="60% - Accent6 2" xfId="187"/>
    <cellStyle name="60% - Accent6 3" xfId="126"/>
    <cellStyle name="Accent1 - 20%" xfId="1"/>
    <cellStyle name="Accent1 - 20% 2" xfId="189"/>
    <cellStyle name="Accent1 - 40%" xfId="2"/>
    <cellStyle name="Accent1 - 40% 2" xfId="190"/>
    <cellStyle name="Accent1 - 60%" xfId="3"/>
    <cellStyle name="Accent1 2" xfId="188"/>
    <cellStyle name="Accent1 3" xfId="127"/>
    <cellStyle name="Accent1 4" xfId="155"/>
    <cellStyle name="Accent2 - 20%" xfId="4"/>
    <cellStyle name="Accent2 - 20% 2" xfId="192"/>
    <cellStyle name="Accent2 - 40%" xfId="5"/>
    <cellStyle name="Accent2 - 40% 2" xfId="193"/>
    <cellStyle name="Accent2 - 60%" xfId="6"/>
    <cellStyle name="Accent2 2" xfId="191"/>
    <cellStyle name="Accent2 3" xfId="128"/>
    <cellStyle name="Accent2 4" xfId="154"/>
    <cellStyle name="Accent3 - 20%" xfId="7"/>
    <cellStyle name="Accent3 - 20% 2" xfId="195"/>
    <cellStyle name="Accent3 - 40%" xfId="8"/>
    <cellStyle name="Accent3 - 40% 2" xfId="196"/>
    <cellStyle name="Accent3 - 60%" xfId="9"/>
    <cellStyle name="Accent3 2" xfId="194"/>
    <cellStyle name="Accent3 3" xfId="129"/>
    <cellStyle name="Accent3 4" xfId="226"/>
    <cellStyle name="Accent4 - 20%" xfId="10"/>
    <cellStyle name="Accent4 - 20% 2" xfId="198"/>
    <cellStyle name="Accent4 - 40%" xfId="11"/>
    <cellStyle name="Accent4 - 40% 2" xfId="199"/>
    <cellStyle name="Accent4 - 60%" xfId="12"/>
    <cellStyle name="Accent4 2" xfId="197"/>
    <cellStyle name="Accent4 3" xfId="130"/>
    <cellStyle name="Accent4 4" xfId="138"/>
    <cellStyle name="Accent5 - 20%" xfId="13"/>
    <cellStyle name="Accent5 - 20% 2" xfId="201"/>
    <cellStyle name="Accent5 - 40%" xfId="14"/>
    <cellStyle name="Accent5 - 40% 2" xfId="202"/>
    <cellStyle name="Accent5 - 60%" xfId="15"/>
    <cellStyle name="Accent5 2" xfId="200"/>
    <cellStyle name="Accent5 3" xfId="131"/>
    <cellStyle name="Accent5 4" xfId="210"/>
    <cellStyle name="Accent6 - 20%" xfId="16"/>
    <cellStyle name="Accent6 - 20% 2" xfId="204"/>
    <cellStyle name="Accent6 - 40%" xfId="17"/>
    <cellStyle name="Accent6 - 40% 2" xfId="205"/>
    <cellStyle name="Accent6 - 60%" xfId="18"/>
    <cellStyle name="Accent6 2" xfId="203"/>
    <cellStyle name="Accent6 3" xfId="132"/>
    <cellStyle name="Accent6 4" xfId="136"/>
    <cellStyle name="Actual Date" xfId="19"/>
    <cellStyle name="Bad 2" xfId="206"/>
    <cellStyle name="Bad 3" xfId="133"/>
    <cellStyle name="Calculation 2" xfId="207"/>
    <cellStyle name="Calculation 3" xfId="134"/>
    <cellStyle name="Check Cell 2" xfId="208"/>
    <cellStyle name="Check Cell 3" xfId="135"/>
    <cellStyle name="Comma" xfId="20" builtinId="3"/>
    <cellStyle name="Comma  - Style1" xfId="21"/>
    <cellStyle name="Comma  - Style2" xfId="22"/>
    <cellStyle name="Comma  - Style3" xfId="23"/>
    <cellStyle name="Comma  - Style4" xfId="24"/>
    <cellStyle name="Comma  - Style5" xfId="25"/>
    <cellStyle name="Comma  - Style6" xfId="26"/>
    <cellStyle name="Comma  - Style7" xfId="27"/>
    <cellStyle name="Comma  - Style8" xfId="28"/>
    <cellStyle name="Comma 2" xfId="29"/>
    <cellStyle name="Comma 2 2" xfId="30"/>
    <cellStyle name="Comma 2 3" xfId="209"/>
    <cellStyle name="Comma 2 4" xfId="137"/>
    <cellStyle name="Comma 3" xfId="31"/>
    <cellStyle name="Comma 3 2" xfId="227"/>
    <cellStyle name="Comma 4" xfId="32"/>
    <cellStyle name="Comma 5" xfId="33"/>
    <cellStyle name="Comma 6" xfId="232"/>
    <cellStyle name="Comma 7" xfId="234"/>
    <cellStyle name="Currency" xfId="34" builtinId="4"/>
    <cellStyle name="Currency 2" xfId="35"/>
    <cellStyle name="Currency 2 2" xfId="211"/>
    <cellStyle name="Currency 3" xfId="36"/>
    <cellStyle name="Currency 4" xfId="37"/>
    <cellStyle name="Currency 5" xfId="38"/>
    <cellStyle name="Date" xfId="39"/>
    <cellStyle name="Emphasis 1" xfId="40"/>
    <cellStyle name="Emphasis 2" xfId="41"/>
    <cellStyle name="Emphasis 3" xfId="42"/>
    <cellStyle name="Explanatory Text 2" xfId="139"/>
    <cellStyle name="Fixed" xfId="43"/>
    <cellStyle name="Good 2" xfId="212"/>
    <cellStyle name="Good 3" xfId="140"/>
    <cellStyle name="Grey" xfId="44"/>
    <cellStyle name="HEADER" xfId="45"/>
    <cellStyle name="Heading 1 2" xfId="213"/>
    <cellStyle name="Heading 1 3" xfId="141"/>
    <cellStyle name="Heading 2 2" xfId="214"/>
    <cellStyle name="Heading 2 3" xfId="142"/>
    <cellStyle name="Heading 3 2" xfId="215"/>
    <cellStyle name="Heading 3 3" xfId="143"/>
    <cellStyle name="Heading 4 2" xfId="216"/>
    <cellStyle name="Heading 4 3" xfId="144"/>
    <cellStyle name="Heading1" xfId="46"/>
    <cellStyle name="Heading2" xfId="47"/>
    <cellStyle name="HIGHLIGHT" xfId="48"/>
    <cellStyle name="Input [yellow]" xfId="49"/>
    <cellStyle name="Input 2" xfId="217"/>
    <cellStyle name="Input 3" xfId="145"/>
    <cellStyle name="Input 4" xfId="230"/>
    <cellStyle name="Linked Cell 2" xfId="218"/>
    <cellStyle name="Linked Cell 3" xfId="146"/>
    <cellStyle name="Neutral 2" xfId="219"/>
    <cellStyle name="Neutral 3" xfId="147"/>
    <cellStyle name="no dec" xfId="50"/>
    <cellStyle name="Normal" xfId="0" builtinId="0"/>
    <cellStyle name="Normal - Style1" xfId="51"/>
    <cellStyle name="Normal 2" xfId="52"/>
    <cellStyle name="Normal 3" xfId="53"/>
    <cellStyle name="Normal 3 2" xfId="228"/>
    <cellStyle name="Normal 3 3" xfId="148"/>
    <cellStyle name="Normal 4" xfId="54"/>
    <cellStyle name="Normal 5" xfId="55"/>
    <cellStyle name="Normal 6" xfId="231"/>
    <cellStyle name="Normal 7" xfId="233"/>
    <cellStyle name="Note 2" xfId="220"/>
    <cellStyle name="Note 3" xfId="149"/>
    <cellStyle name="Output 2" xfId="221"/>
    <cellStyle name="Output 3" xfId="150"/>
    <cellStyle name="Percent" xfId="56" builtinId="5"/>
    <cellStyle name="Percent [2]" xfId="57"/>
    <cellStyle name="Percent 2" xfId="58"/>
    <cellStyle name="Percent 2 2" xfId="222"/>
    <cellStyle name="Percent 3" xfId="59"/>
    <cellStyle name="SAPBEXaggData" xfId="60"/>
    <cellStyle name="SAPBEXaggDataEmph" xfId="61"/>
    <cellStyle name="SAPBEXaggDataEmph 2" xfId="151"/>
    <cellStyle name="SAPBEXaggItem" xfId="62"/>
    <cellStyle name="SAPBEXaggItem 2" xfId="152"/>
    <cellStyle name="SAPBEXaggItemX" xfId="63"/>
    <cellStyle name="SAPBEXaggItemX 2" xfId="153"/>
    <cellStyle name="SAPBEXchaText" xfId="64"/>
    <cellStyle name="SAPBEXchaText 2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ilterText 2" xfId="156"/>
    <cellStyle name="SAPBEXformats" xfId="78"/>
    <cellStyle name="SAPBEXheaderItem" xfId="79"/>
    <cellStyle name="SAPBEXheaderText" xfId="80"/>
    <cellStyle name="SAPBEXheaderText 2" xfId="157"/>
    <cellStyle name="SAPBEXHLevel0" xfId="81"/>
    <cellStyle name="SAPBEXHLevel0 2" xfId="82"/>
    <cellStyle name="SAPBEXHLevel0X" xfId="83"/>
    <cellStyle name="SAPBEXHLevel0X 2" xfId="158"/>
    <cellStyle name="SAPBEXHLevel1" xfId="84"/>
    <cellStyle name="SAPBEXHLevel1 2" xfId="159"/>
    <cellStyle name="SAPBEXHLevel1X" xfId="85"/>
    <cellStyle name="SAPBEXHLevel1X 2" xfId="160"/>
    <cellStyle name="SAPBEXHLevel2" xfId="86"/>
    <cellStyle name="SAPBEXHLevel2 2" xfId="161"/>
    <cellStyle name="SAPBEXHLevel2X" xfId="87"/>
    <cellStyle name="SAPBEXHLevel2X 2" xfId="162"/>
    <cellStyle name="SAPBEXHLevel3" xfId="88"/>
    <cellStyle name="SAPBEXHLevel3 2" xfId="89"/>
    <cellStyle name="SAPBEXHLevel3X" xfId="90"/>
    <cellStyle name="SAPBEXHLevel3X 2" xfId="163"/>
    <cellStyle name="SAPBEXinputData" xfId="91"/>
    <cellStyle name="SAPBEXresData" xfId="92"/>
    <cellStyle name="SAPBEXresData 2" xfId="164"/>
    <cellStyle name="SAPBEXresDataEmph" xfId="93"/>
    <cellStyle name="SAPBEXresDataEmph 2" xfId="165"/>
    <cellStyle name="SAPBEXresItem" xfId="94"/>
    <cellStyle name="SAPBEXresItem 2" xfId="166"/>
    <cellStyle name="SAPBEXresItemX" xfId="95"/>
    <cellStyle name="SAPBEXresItemX 2" xfId="167"/>
    <cellStyle name="SAPBEXstdData" xfId="96"/>
    <cellStyle name="SAPBEXstdDataEmph" xfId="97"/>
    <cellStyle name="SAPBEXstdItem" xfId="98"/>
    <cellStyle name="SAPBEXstdItemX" xfId="99"/>
    <cellStyle name="SAPBEXstdItemX 2" xfId="168"/>
    <cellStyle name="SAPBEXtitle" xfId="100"/>
    <cellStyle name="SAPBEXundefined" xfId="101"/>
    <cellStyle name="SEM-BPS-data" xfId="102"/>
    <cellStyle name="Sheet Title" xfId="103"/>
    <cellStyle name="Style 1" xfId="104"/>
    <cellStyle name="Style 1 2" xfId="229"/>
    <cellStyle name="Title 2" xfId="223"/>
    <cellStyle name="Title 3" xfId="169"/>
    <cellStyle name="Total 2" xfId="224"/>
    <cellStyle name="Total 3" xfId="170"/>
    <cellStyle name="Unprot" xfId="105"/>
    <cellStyle name="Unprot$" xfId="106"/>
    <cellStyle name="Unprot_monci" xfId="107"/>
    <cellStyle name="Unprotect" xfId="108"/>
    <cellStyle name="Warning Text 2" xfId="225"/>
    <cellStyle name="Warning Text 3" xfId="171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COMBCYC/PMG/performance/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Documents%20and%20Settings/aal0diw/Local%20Settings/Temporary%20Internet%20Files/Content.Outlook/X6JGFBZ0/C.Home.RemoteAccess.tfr0qbi/Goals%20DSM/2003%20IRP/List%20of%20Measure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TEMP/C.Home.RemoteAccess.tfr0qbi/Goals%20DSM/2003%20IRP/List%20of%20Measures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emp/C.Home.RemoteAccess.tfr0qbi/Goals%20DSM/2003%20IRP/List%20of%20Measures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"/>
  <sheetViews>
    <sheetView tabSelected="1" zoomScaleNormal="100" workbookViewId="0">
      <selection activeCell="A5" sqref="A5"/>
    </sheetView>
  </sheetViews>
  <sheetFormatPr defaultRowHeight="11.25"/>
  <cols>
    <col min="1" max="1" width="9.140625" style="1"/>
    <col min="2" max="2" width="10" style="1" bestFit="1" customWidth="1"/>
    <col min="3" max="3" width="12" style="2" customWidth="1"/>
    <col min="4" max="4" width="17.140625" style="2" customWidth="1"/>
    <col min="5" max="5" width="13.5703125" style="2" customWidth="1"/>
    <col min="6" max="6" width="13.140625" style="3" customWidth="1"/>
    <col min="7" max="7" width="13.42578125" style="1" customWidth="1"/>
    <col min="8" max="8" width="11.7109375" style="1" customWidth="1"/>
    <col min="9" max="9" width="16.42578125" style="2" customWidth="1"/>
    <col min="10" max="10" width="3.85546875" style="1" customWidth="1"/>
    <col min="11" max="11" width="1.5703125" style="4" customWidth="1"/>
    <col min="12" max="12" width="13.28515625" style="1" customWidth="1"/>
    <col min="13" max="13" width="13.5703125" style="1" customWidth="1"/>
    <col min="14" max="14" width="13.7109375" style="1" customWidth="1"/>
    <col min="15" max="15" width="10.5703125" style="1" customWidth="1"/>
    <col min="16" max="16" width="18.140625" style="1" bestFit="1" customWidth="1"/>
    <col min="17" max="18" width="6.28515625" style="1" bestFit="1" customWidth="1"/>
    <col min="19" max="19" width="11" style="1" bestFit="1" customWidth="1"/>
    <col min="20" max="20" width="17.7109375" style="1" bestFit="1" customWidth="1"/>
    <col min="21" max="21" width="14" style="1" bestFit="1" customWidth="1"/>
    <col min="22" max="23" width="6.28515625" style="1" bestFit="1" customWidth="1"/>
    <col min="24" max="16384" width="9.140625" style="1"/>
  </cols>
  <sheetData>
    <row r="1" spans="1:13" s="393" customFormat="1">
      <c r="A1" s="393" t="s">
        <v>20</v>
      </c>
      <c r="C1" s="394"/>
      <c r="D1" s="394"/>
      <c r="E1" s="394"/>
      <c r="F1" s="394"/>
      <c r="I1" s="394"/>
      <c r="K1" s="395"/>
    </row>
    <row r="2" spans="1:13" s="393" customFormat="1">
      <c r="A2" s="393" t="s">
        <v>123</v>
      </c>
      <c r="C2" s="394"/>
      <c r="D2" s="394"/>
      <c r="E2" s="394"/>
      <c r="F2" s="394"/>
      <c r="I2" s="394"/>
      <c r="K2" s="395"/>
    </row>
    <row r="3" spans="1:13" s="393" customFormat="1">
      <c r="A3" s="393" t="s">
        <v>124</v>
      </c>
      <c r="C3" s="394"/>
      <c r="D3" s="394"/>
      <c r="E3" s="394"/>
      <c r="F3" s="394"/>
      <c r="I3" s="394"/>
      <c r="K3" s="395"/>
    </row>
    <row r="4" spans="1:13" s="393" customFormat="1">
      <c r="A4" s="393" t="s">
        <v>125</v>
      </c>
      <c r="C4" s="394"/>
      <c r="D4" s="394"/>
      <c r="E4" s="394"/>
      <c r="F4" s="394"/>
      <c r="I4" s="394"/>
      <c r="K4" s="395"/>
    </row>
    <row r="5" spans="1:13" s="393" customFormat="1" ht="12.75">
      <c r="A5" s="396" t="s">
        <v>129</v>
      </c>
      <c r="C5" s="394"/>
      <c r="D5" s="394"/>
      <c r="E5" s="394"/>
      <c r="F5" s="394"/>
      <c r="I5" s="394"/>
      <c r="K5" s="395"/>
    </row>
    <row r="6" spans="1:13" s="393" customFormat="1">
      <c r="A6" s="393" t="s">
        <v>126</v>
      </c>
      <c r="C6" s="394"/>
      <c r="D6" s="394"/>
      <c r="E6" s="394"/>
      <c r="F6" s="394"/>
      <c r="I6" s="394"/>
      <c r="K6" s="395"/>
    </row>
    <row r="7" spans="1:13" s="393" customFormat="1">
      <c r="C7" s="394"/>
      <c r="D7" s="394"/>
      <c r="E7" s="394"/>
      <c r="F7" s="394"/>
      <c r="I7" s="394"/>
      <c r="K7" s="395"/>
    </row>
    <row r="8" spans="1:13" s="5" customFormat="1" ht="12.75">
      <c r="A8" s="43" t="s">
        <v>28</v>
      </c>
      <c r="B8" s="43"/>
      <c r="C8" s="46"/>
      <c r="D8" s="43"/>
      <c r="E8" s="43"/>
      <c r="F8" s="44"/>
      <c r="G8" s="43"/>
      <c r="H8" s="43"/>
      <c r="I8" s="45" t="s">
        <v>0</v>
      </c>
      <c r="J8" s="44">
        <v>18</v>
      </c>
      <c r="K8" s="54"/>
    </row>
    <row r="9" spans="1:13" s="5" customFormat="1" ht="12.75">
      <c r="A9" s="43"/>
      <c r="B9" s="43"/>
      <c r="C9" s="43"/>
      <c r="D9" s="43"/>
      <c r="E9" s="43"/>
      <c r="F9" s="44"/>
      <c r="G9" s="43"/>
      <c r="H9" s="43"/>
      <c r="I9" s="43"/>
      <c r="J9" s="43"/>
      <c r="K9" s="55"/>
    </row>
    <row r="10" spans="1:13" s="5" customFormat="1" ht="12.75">
      <c r="A10" s="43" t="s">
        <v>1</v>
      </c>
      <c r="B10" s="43"/>
      <c r="C10" s="43" t="s">
        <v>20</v>
      </c>
      <c r="D10" s="46"/>
      <c r="E10" s="46"/>
      <c r="F10" s="47"/>
      <c r="G10" s="46"/>
      <c r="H10" s="46"/>
      <c r="I10" s="43"/>
      <c r="J10" s="43"/>
      <c r="K10" s="55"/>
    </row>
    <row r="11" spans="1:13" s="5" customFormat="1" ht="12.75">
      <c r="A11" s="43" t="s">
        <v>2</v>
      </c>
      <c r="B11" s="46"/>
      <c r="C11" s="48" t="s">
        <v>84</v>
      </c>
      <c r="D11" s="46"/>
      <c r="E11" s="46"/>
      <c r="F11" s="47"/>
      <c r="G11" s="46"/>
      <c r="H11" s="46"/>
      <c r="I11" s="43"/>
      <c r="J11" s="43"/>
      <c r="K11" s="55"/>
      <c r="M11" s="91"/>
    </row>
    <row r="12" spans="1:13" s="5" customFormat="1" ht="12.75">
      <c r="A12" s="43" t="s">
        <v>3</v>
      </c>
      <c r="B12" s="46"/>
      <c r="C12" s="49" t="s">
        <v>19</v>
      </c>
      <c r="D12" s="49"/>
      <c r="E12" s="49"/>
      <c r="F12" s="50"/>
      <c r="G12" s="49"/>
      <c r="H12" s="49"/>
      <c r="I12" s="43"/>
      <c r="J12" s="43"/>
      <c r="K12" s="55"/>
      <c r="M12" s="91"/>
    </row>
    <row r="13" spans="1:13" s="5" customFormat="1" ht="12.75">
      <c r="A13" s="43" t="s">
        <v>4</v>
      </c>
      <c r="B13" s="46"/>
      <c r="C13" s="98">
        <v>2013</v>
      </c>
      <c r="D13" s="46"/>
      <c r="E13" s="46"/>
      <c r="F13" s="44"/>
      <c r="G13" s="43"/>
      <c r="H13" s="46"/>
      <c r="I13" s="47"/>
      <c r="J13" s="43"/>
      <c r="K13" s="55"/>
      <c r="M13" s="91"/>
    </row>
    <row r="14" spans="1:13" s="5" customFormat="1" ht="12.75">
      <c r="A14" s="43"/>
      <c r="B14" s="46"/>
      <c r="C14" s="46"/>
      <c r="D14" s="46"/>
      <c r="E14" s="46"/>
      <c r="F14" s="44"/>
      <c r="G14" s="43"/>
      <c r="H14" s="46"/>
      <c r="I14" s="47"/>
      <c r="J14" s="43"/>
      <c r="K14" s="55"/>
      <c r="M14" s="91"/>
    </row>
    <row r="15" spans="1:13" s="5" customFormat="1" ht="12.75">
      <c r="A15" s="44" t="s">
        <v>5</v>
      </c>
      <c r="B15" s="44" t="s">
        <v>6</v>
      </c>
      <c r="C15" s="44" t="s">
        <v>7</v>
      </c>
      <c r="D15" s="44" t="s">
        <v>8</v>
      </c>
      <c r="E15" s="44" t="s">
        <v>9</v>
      </c>
      <c r="F15" s="47" t="s">
        <v>10</v>
      </c>
      <c r="G15" s="47" t="s">
        <v>31</v>
      </c>
      <c r="H15" s="44" t="s">
        <v>11</v>
      </c>
      <c r="I15" s="44" t="s">
        <v>12</v>
      </c>
      <c r="J15" s="43"/>
      <c r="K15" s="55"/>
      <c r="M15" s="91"/>
    </row>
    <row r="16" spans="1:13" s="5" customFormat="1" ht="13.5" thickBot="1">
      <c r="A16" s="44"/>
      <c r="B16" s="44"/>
      <c r="C16" s="44"/>
      <c r="D16" s="44"/>
      <c r="E16" s="44" t="s">
        <v>13</v>
      </c>
      <c r="F16" s="47"/>
      <c r="G16" s="47"/>
      <c r="H16" s="47" t="s">
        <v>14</v>
      </c>
      <c r="I16" s="44" t="s">
        <v>15</v>
      </c>
      <c r="J16" s="43"/>
      <c r="K16" s="55"/>
      <c r="M16" s="91"/>
    </row>
    <row r="17" spans="1:20" s="5" customFormat="1" ht="15.75" thickBot="1">
      <c r="A17" s="7"/>
      <c r="B17" s="8"/>
      <c r="C17" s="9"/>
      <c r="D17" s="403" t="s">
        <v>21</v>
      </c>
      <c r="E17" s="404"/>
      <c r="F17" s="405" t="s">
        <v>22</v>
      </c>
      <c r="G17" s="405"/>
      <c r="H17" s="405"/>
      <c r="I17" s="404"/>
      <c r="J17" s="43"/>
      <c r="K17" s="55"/>
    </row>
    <row r="18" spans="1:20" s="5" customFormat="1" ht="51.75" thickBot="1">
      <c r="A18" s="56" t="s">
        <v>16</v>
      </c>
      <c r="B18" s="57" t="s">
        <v>23</v>
      </c>
      <c r="C18" s="58" t="s">
        <v>24</v>
      </c>
      <c r="D18" s="100" t="s">
        <v>39</v>
      </c>
      <c r="E18" s="58" t="s">
        <v>26</v>
      </c>
      <c r="F18" s="59" t="s">
        <v>27</v>
      </c>
      <c r="G18" s="40" t="s">
        <v>25</v>
      </c>
      <c r="H18" s="60" t="s">
        <v>26</v>
      </c>
      <c r="I18" s="114" t="s">
        <v>61</v>
      </c>
      <c r="J18" s="43"/>
      <c r="K18" s="55"/>
    </row>
    <row r="19" spans="1:20" s="5" customFormat="1" ht="12.75">
      <c r="A19" s="62">
        <v>2010</v>
      </c>
      <c r="B19" s="63">
        <v>4010837.3548591528</v>
      </c>
      <c r="C19" s="64">
        <v>4010837.3548591528</v>
      </c>
      <c r="D19" s="63">
        <v>0</v>
      </c>
      <c r="E19" s="65">
        <f>+D19/C19</f>
        <v>0</v>
      </c>
      <c r="F19" s="66">
        <v>0</v>
      </c>
      <c r="G19" s="67">
        <f>+F19</f>
        <v>0</v>
      </c>
      <c r="H19" s="68">
        <f>+G19/C19</f>
        <v>0</v>
      </c>
      <c r="I19" s="69">
        <f>+G19-D19</f>
        <v>0</v>
      </c>
      <c r="J19" s="43"/>
      <c r="K19" s="55"/>
      <c r="L19" s="61"/>
    </row>
    <row r="20" spans="1:20" s="5" customFormat="1" ht="12.75">
      <c r="A20" s="70">
        <v>2011</v>
      </c>
      <c r="B20" s="63">
        <v>4056427.5102924532</v>
      </c>
      <c r="C20" s="64">
        <f>B20-D19</f>
        <v>4056427.5102924532</v>
      </c>
      <c r="D20" s="71">
        <f>L21</f>
        <v>4588.3097434448337</v>
      </c>
      <c r="E20" s="73">
        <f>+D20/C20</f>
        <v>1.1311208524749487E-3</v>
      </c>
      <c r="F20" s="74">
        <v>523</v>
      </c>
      <c r="G20" s="75">
        <f>+F20</f>
        <v>523</v>
      </c>
      <c r="H20" s="76">
        <f>+G20/C20</f>
        <v>1.2893118357790983E-4</v>
      </c>
      <c r="I20" s="77">
        <f>+G20-D20</f>
        <v>-4065.3097434448337</v>
      </c>
      <c r="J20" s="43"/>
      <c r="K20" s="55"/>
      <c r="L20" s="61">
        <v>1366.285102614725</v>
      </c>
      <c r="M20" s="91"/>
      <c r="N20" s="115"/>
    </row>
    <row r="21" spans="1:20" s="5" customFormat="1" ht="12.75">
      <c r="A21" s="70">
        <v>2012</v>
      </c>
      <c r="B21" s="63">
        <v>4141910.0631841868</v>
      </c>
      <c r="C21" s="64">
        <f>B21-D20</f>
        <v>4137321.7534407419</v>
      </c>
      <c r="D21" s="71">
        <f>L22+D20</f>
        <v>9470.3097434448337</v>
      </c>
      <c r="E21" s="73">
        <f>+D21/C21</f>
        <v>2.2889952263366975E-3</v>
      </c>
      <c r="F21" s="128">
        <v>1145</v>
      </c>
      <c r="G21" s="75">
        <f>+F21+G20</f>
        <v>1668</v>
      </c>
      <c r="H21" s="76">
        <f>+G21/C21</f>
        <v>4.0315936236112954E-4</v>
      </c>
      <c r="I21" s="77">
        <f>+G21-D21</f>
        <v>-7802.3097434448337</v>
      </c>
      <c r="J21" s="43"/>
      <c r="K21" s="55"/>
      <c r="L21" s="61">
        <v>4588.3097434448337</v>
      </c>
      <c r="M21" s="91"/>
      <c r="O21" s="6"/>
      <c r="P21" s="6"/>
      <c r="Q21" s="6"/>
      <c r="R21" s="6"/>
      <c r="S21" s="6"/>
      <c r="T21" s="6"/>
    </row>
    <row r="22" spans="1:20" s="5" customFormat="1" ht="12.75">
      <c r="A22" s="70">
        <v>2013</v>
      </c>
      <c r="B22" s="63">
        <v>4226977.7148722634</v>
      </c>
      <c r="C22" s="64">
        <f>B22-D21</f>
        <v>4217507.4051288189</v>
      </c>
      <c r="D22" s="71">
        <f>L23+D21</f>
        <v>14444.309743444834</v>
      </c>
      <c r="E22" s="73">
        <f>+D22/C22</f>
        <v>3.4248451409663021E-3</v>
      </c>
      <c r="F22" s="128">
        <f>'2013 Solar Actuals'!S11</f>
        <v>1084</v>
      </c>
      <c r="G22" s="75">
        <f>+F22+G21</f>
        <v>2752</v>
      </c>
      <c r="H22" s="76">
        <f>+G22/C22</f>
        <v>6.5251811926953646E-4</v>
      </c>
      <c r="I22" s="77">
        <f>+G22-D22</f>
        <v>-11692.309743444834</v>
      </c>
      <c r="J22" s="43"/>
      <c r="K22" s="55"/>
      <c r="L22" s="61">
        <v>4882</v>
      </c>
    </row>
    <row r="23" spans="1:20" s="5" customFormat="1" ht="12.75">
      <c r="A23" s="70">
        <v>2014</v>
      </c>
      <c r="B23" s="63">
        <v>4311222.6681935266</v>
      </c>
      <c r="C23" s="64">
        <f>B23-D22</f>
        <v>4296778.3584500821</v>
      </c>
      <c r="D23" s="71">
        <f>L24+D22</f>
        <v>19414.309743444835</v>
      </c>
      <c r="E23" s="73">
        <f>+D23/C23</f>
        <v>4.5183409810432701E-3</v>
      </c>
      <c r="F23" s="74"/>
      <c r="G23" s="75"/>
      <c r="H23" s="78"/>
      <c r="I23" s="77"/>
      <c r="J23" s="43"/>
      <c r="K23" s="55"/>
      <c r="L23" s="61">
        <v>4974</v>
      </c>
    </row>
    <row r="24" spans="1:20" s="5" customFormat="1" ht="12.75">
      <c r="A24" s="70">
        <v>2015</v>
      </c>
      <c r="B24" s="71"/>
      <c r="C24" s="72"/>
      <c r="D24" s="71"/>
      <c r="E24" s="73"/>
      <c r="F24" s="74"/>
      <c r="G24" s="75"/>
      <c r="H24" s="78"/>
      <c r="I24" s="77"/>
      <c r="J24" s="43"/>
      <c r="K24" s="55"/>
      <c r="L24" s="61">
        <v>4970</v>
      </c>
      <c r="M24" s="91"/>
    </row>
    <row r="25" spans="1:20" s="5" customFormat="1" ht="12.75">
      <c r="A25" s="70">
        <v>2016</v>
      </c>
      <c r="B25" s="71"/>
      <c r="C25" s="72"/>
      <c r="D25" s="71"/>
      <c r="E25" s="73"/>
      <c r="F25" s="74"/>
      <c r="G25" s="75"/>
      <c r="H25" s="78"/>
      <c r="I25" s="77"/>
      <c r="J25" s="43"/>
      <c r="K25" s="55"/>
      <c r="M25" s="91"/>
    </row>
    <row r="26" spans="1:20" s="5" customFormat="1" ht="12.75">
      <c r="A26" s="70">
        <v>2017</v>
      </c>
      <c r="B26" s="71"/>
      <c r="C26" s="72"/>
      <c r="D26" s="71"/>
      <c r="E26" s="73"/>
      <c r="F26" s="74"/>
      <c r="G26" s="75"/>
      <c r="H26" s="78"/>
      <c r="I26" s="77"/>
      <c r="J26" s="43"/>
      <c r="K26" s="55"/>
      <c r="M26" s="91"/>
    </row>
    <row r="27" spans="1:20" s="5" customFormat="1" ht="12.75">
      <c r="A27" s="70">
        <v>2018</v>
      </c>
      <c r="B27" s="71"/>
      <c r="C27" s="72"/>
      <c r="D27" s="71"/>
      <c r="E27" s="73"/>
      <c r="F27" s="74"/>
      <c r="G27" s="75"/>
      <c r="H27" s="78"/>
      <c r="I27" s="77"/>
      <c r="J27" s="43"/>
      <c r="K27" s="55"/>
      <c r="M27" s="91"/>
    </row>
    <row r="28" spans="1:20" s="5" customFormat="1" ht="13.5" thickBot="1">
      <c r="A28" s="79">
        <v>2019</v>
      </c>
      <c r="B28" s="36"/>
      <c r="C28" s="37"/>
      <c r="D28" s="36"/>
      <c r="E28" s="80"/>
      <c r="F28" s="81"/>
      <c r="G28" s="82"/>
      <c r="H28" s="83"/>
      <c r="I28" s="84"/>
      <c r="J28" s="43"/>
      <c r="K28" s="55"/>
      <c r="M28" t="s">
        <v>52</v>
      </c>
      <c r="N28" s="91">
        <f>F22</f>
        <v>1084</v>
      </c>
    </row>
    <row r="29" spans="1:20" s="5" customFormat="1" ht="13.5" thickBot="1">
      <c r="A29" s="43"/>
      <c r="B29" s="44"/>
      <c r="C29" s="93"/>
      <c r="D29" s="44"/>
      <c r="E29" s="43"/>
      <c r="F29" s="44"/>
      <c r="G29" s="43"/>
      <c r="H29" s="43"/>
      <c r="I29" s="43"/>
      <c r="J29" s="43"/>
      <c r="K29" s="55"/>
      <c r="M29" t="s">
        <v>87</v>
      </c>
      <c r="N29" s="5">
        <v>1068</v>
      </c>
      <c r="O29" s="91"/>
      <c r="P29" s="91"/>
    </row>
    <row r="30" spans="1:20" s="5" customFormat="1" ht="15" thickBot="1">
      <c r="A30" s="11"/>
      <c r="B30" s="12"/>
      <c r="C30" s="13"/>
      <c r="D30" s="406" t="s">
        <v>89</v>
      </c>
      <c r="E30" s="407"/>
      <c r="F30" s="408" t="s">
        <v>34</v>
      </c>
      <c r="G30" s="407"/>
      <c r="H30" s="43"/>
      <c r="I30" s="43"/>
      <c r="J30" s="43"/>
      <c r="K30" s="55"/>
      <c r="M30" s="149" t="s">
        <v>33</v>
      </c>
      <c r="N30" s="150"/>
    </row>
    <row r="31" spans="1:20" s="5" customFormat="1" ht="13.5" thickBot="1">
      <c r="A31" s="41">
        <f>C13</f>
        <v>2013</v>
      </c>
      <c r="B31" s="15"/>
      <c r="C31" s="16"/>
      <c r="D31" s="17" t="s">
        <v>17</v>
      </c>
      <c r="E31" s="18" t="s">
        <v>18</v>
      </c>
      <c r="F31" s="17" t="s">
        <v>17</v>
      </c>
      <c r="G31" s="18" t="s">
        <v>18</v>
      </c>
      <c r="H31" s="43"/>
      <c r="I31" s="43"/>
      <c r="J31" s="43"/>
      <c r="K31" s="55"/>
      <c r="M31" s="141" t="s">
        <v>17</v>
      </c>
      <c r="N31" s="142" t="s">
        <v>18</v>
      </c>
      <c r="P31" s="6"/>
      <c r="Q31" s="6"/>
    </row>
    <row r="32" spans="1:20" s="5" customFormat="1" ht="12.75">
      <c r="A32" s="85" t="s">
        <v>29</v>
      </c>
      <c r="B32" s="20"/>
      <c r="C32" s="21"/>
      <c r="D32" s="22">
        <f>+M32</f>
        <v>0.22</v>
      </c>
      <c r="E32" s="23">
        <f t="shared" ref="D32:E34" si="0">+N32</f>
        <v>0.23745700000000003</v>
      </c>
      <c r="F32" s="24">
        <f>'2013 Solar Actuals'!Q12</f>
        <v>234.96</v>
      </c>
      <c r="G32" s="25">
        <f>'2013 Solar Actuals'!Q60</f>
        <v>253.60407600000002</v>
      </c>
      <c r="H32" s="129"/>
      <c r="I32" s="129"/>
      <c r="J32" s="43"/>
      <c r="K32" s="55"/>
      <c r="M32" s="143">
        <f>F32/N29</f>
        <v>0.22</v>
      </c>
      <c r="N32" s="144">
        <f>G32/N29</f>
        <v>0.23745700000000003</v>
      </c>
      <c r="P32" s="6"/>
      <c r="Q32" s="6"/>
    </row>
    <row r="33" spans="1:17" s="5" customFormat="1" ht="12.75">
      <c r="A33" s="86" t="s">
        <v>30</v>
      </c>
      <c r="B33" s="27"/>
      <c r="C33" s="28"/>
      <c r="D33" s="29">
        <f t="shared" si="0"/>
        <v>0.44999999999999996</v>
      </c>
      <c r="E33" s="30">
        <f>+N33</f>
        <v>0.48570749999999996</v>
      </c>
      <c r="F33" s="31">
        <f>'2013 Solar Actuals'!Q14</f>
        <v>480.59999999999997</v>
      </c>
      <c r="G33" s="32">
        <f>'2013 Solar Actuals'!Q62</f>
        <v>518.73560999999995</v>
      </c>
      <c r="H33" s="129"/>
      <c r="I33" s="129"/>
      <c r="J33" s="43"/>
      <c r="K33" s="55"/>
      <c r="M33" s="145">
        <f>F33/N29</f>
        <v>0.44999999999999996</v>
      </c>
      <c r="N33" s="146">
        <f>G33/N29</f>
        <v>0.48570749999999996</v>
      </c>
      <c r="P33" s="131"/>
      <c r="Q33" s="6"/>
    </row>
    <row r="34" spans="1:17" s="5" customFormat="1" ht="13.5" thickBot="1">
      <c r="A34" s="87" t="s">
        <v>32</v>
      </c>
      <c r="B34" s="34"/>
      <c r="C34" s="35"/>
      <c r="D34" s="36">
        <f t="shared" si="0"/>
        <v>1481.996254681648</v>
      </c>
      <c r="E34" s="37">
        <f>+N34</f>
        <v>1574.4431810486892</v>
      </c>
      <c r="F34" s="109">
        <f>'2013 Solar Actuals'!Q13*1000000</f>
        <v>1582772</v>
      </c>
      <c r="G34" s="110">
        <f>'2013 Solar Actuals'!Q61*1000000</f>
        <v>1681505.31736</v>
      </c>
      <c r="H34" s="129"/>
      <c r="I34" s="129"/>
      <c r="J34" s="43"/>
      <c r="K34" s="55"/>
      <c r="M34" s="147">
        <f>F34/N29</f>
        <v>1481.996254681648</v>
      </c>
      <c r="N34" s="148">
        <f>G34/N29</f>
        <v>1574.4431810486892</v>
      </c>
      <c r="P34" s="132"/>
      <c r="Q34" s="6"/>
    </row>
    <row r="35" spans="1:17" s="5" customFormat="1" ht="13.5" thickBot="1">
      <c r="A35" s="43"/>
      <c r="B35" s="43"/>
      <c r="C35" s="43"/>
      <c r="D35" s="43"/>
      <c r="E35" s="94"/>
      <c r="F35" s="95"/>
      <c r="G35" s="96"/>
      <c r="H35" s="97"/>
      <c r="I35" s="43"/>
      <c r="J35" s="43"/>
      <c r="K35" s="55"/>
      <c r="N35" s="133"/>
      <c r="P35" s="6"/>
      <c r="Q35" s="6"/>
    </row>
    <row r="36" spans="1:17" s="5" customFormat="1" ht="13.5" thickBot="1">
      <c r="A36" s="53">
        <f>A31</f>
        <v>2013</v>
      </c>
      <c r="B36" s="89"/>
      <c r="C36" s="14"/>
      <c r="D36" s="90"/>
      <c r="E36" s="43"/>
      <c r="F36" s="43"/>
      <c r="G36" s="292"/>
      <c r="H36" s="88"/>
      <c r="I36" s="88"/>
      <c r="J36" s="43"/>
      <c r="K36" s="55"/>
      <c r="M36" t="s">
        <v>88</v>
      </c>
      <c r="N36" s="6">
        <v>16</v>
      </c>
      <c r="P36" s="133"/>
    </row>
    <row r="37" spans="1:17" s="5" customFormat="1" ht="13.5" thickBot="1">
      <c r="A37" s="19" t="s">
        <v>37</v>
      </c>
      <c r="B37" s="20"/>
      <c r="C37" s="21"/>
      <c r="D37" s="51">
        <f>+D38*1000/F22</f>
        <v>1284.9192988929888</v>
      </c>
      <c r="E37" s="43"/>
      <c r="F37" s="44"/>
      <c r="G37" s="88"/>
      <c r="H37" s="233"/>
      <c r="I37" s="233"/>
      <c r="J37" s="43"/>
      <c r="K37" s="55"/>
      <c r="M37" s="149" t="s">
        <v>33</v>
      </c>
      <c r="N37" s="150"/>
      <c r="P37" s="117"/>
    </row>
    <row r="38" spans="1:17" s="5" customFormat="1" ht="13.5" thickBot="1">
      <c r="A38" s="26" t="s">
        <v>35</v>
      </c>
      <c r="B38" s="27"/>
      <c r="C38" s="28"/>
      <c r="D38" s="123">
        <f>'ECCR Cost'!C11/1000</f>
        <v>1392.8525199999997</v>
      </c>
      <c r="E38" s="43"/>
      <c r="F38" s="44"/>
      <c r="G38" s="43"/>
      <c r="H38" s="43"/>
      <c r="I38" s="43"/>
      <c r="J38" s="43"/>
      <c r="K38" s="55"/>
      <c r="L38" s="6"/>
      <c r="M38" s="141" t="s">
        <v>17</v>
      </c>
      <c r="N38" s="142" t="s">
        <v>18</v>
      </c>
      <c r="P38" s="117"/>
    </row>
    <row r="39" spans="1:17" s="5" customFormat="1" ht="13.5" thickBot="1">
      <c r="A39" s="33" t="s">
        <v>36</v>
      </c>
      <c r="B39" s="34"/>
      <c r="C39" s="35"/>
      <c r="D39" s="125">
        <f>'NPV 2013'!B32</f>
        <v>-82.520569074545335</v>
      </c>
      <c r="E39" s="43"/>
      <c r="F39" s="44"/>
      <c r="G39" s="43"/>
      <c r="H39" s="43"/>
      <c r="I39" s="43"/>
      <c r="J39" s="43"/>
      <c r="K39" s="55"/>
      <c r="L39" s="6"/>
      <c r="M39" s="143">
        <f>F32/N36</f>
        <v>14.685</v>
      </c>
      <c r="N39" s="144">
        <f>G32/N36</f>
        <v>15.850254750000001</v>
      </c>
    </row>
    <row r="40" spans="1:17" s="5" customFormat="1" ht="12.75">
      <c r="A40" s="43"/>
      <c r="B40" s="43"/>
      <c r="C40" s="43"/>
      <c r="D40" s="43"/>
      <c r="E40" s="43"/>
      <c r="F40" s="44"/>
      <c r="G40" s="43"/>
      <c r="H40" s="43"/>
      <c r="I40" s="99"/>
      <c r="J40" s="43"/>
      <c r="K40" s="55"/>
      <c r="L40" s="6"/>
      <c r="M40" s="145">
        <f>F33/N36</f>
        <v>30.037499999999998</v>
      </c>
      <c r="N40" s="146">
        <f>G33/N36</f>
        <v>32.420975624999997</v>
      </c>
    </row>
    <row r="41" spans="1:17" s="5" customFormat="1" ht="15" thickBot="1">
      <c r="A41" s="52" t="s">
        <v>38</v>
      </c>
      <c r="B41" s="43"/>
      <c r="C41" s="43"/>
      <c r="D41" s="43"/>
      <c r="E41" s="43"/>
      <c r="F41" s="43"/>
      <c r="G41" s="43"/>
      <c r="H41" s="43"/>
      <c r="I41" s="43"/>
      <c r="J41" s="43"/>
      <c r="K41" s="55"/>
      <c r="L41" s="151"/>
      <c r="M41" s="147">
        <f>F34/N36</f>
        <v>98923.25</v>
      </c>
      <c r="N41" s="148">
        <f>G34/N36</f>
        <v>105094.082335</v>
      </c>
    </row>
    <row r="42" spans="1:17" s="5" customFormat="1" ht="14.25">
      <c r="A42" s="52" t="s">
        <v>118</v>
      </c>
      <c r="B42" s="43"/>
      <c r="C42" s="43"/>
      <c r="D42" s="43"/>
      <c r="E42" s="43"/>
      <c r="F42" s="43"/>
      <c r="G42" s="43"/>
      <c r="H42" s="43"/>
      <c r="I42" s="43"/>
      <c r="J42" s="43"/>
      <c r="K42" s="55"/>
      <c r="L42" s="151"/>
      <c r="M42" s="152"/>
      <c r="N42" s="152"/>
    </row>
    <row r="43" spans="1:17" s="5" customFormat="1" ht="12.75">
      <c r="A43" s="43"/>
      <c r="B43" s="43"/>
      <c r="C43" s="43"/>
      <c r="D43" s="43"/>
      <c r="E43" s="43"/>
      <c r="F43" s="44"/>
      <c r="G43" s="43"/>
      <c r="H43" s="43"/>
      <c r="I43" s="43"/>
      <c r="J43" s="43"/>
      <c r="K43" s="55"/>
      <c r="L43" s="6"/>
      <c r="M43" s="6"/>
    </row>
    <row r="44" spans="1:17" s="5" customFormat="1" ht="12.75">
      <c r="A44" s="43" t="str">
        <f>A8</f>
        <v xml:space="preserve">DEMAND-SIDE MANAGEMENT ANNUAL REPORT </v>
      </c>
      <c r="B44" s="43"/>
      <c r="C44" s="46"/>
      <c r="D44" s="43"/>
      <c r="E44" s="43"/>
      <c r="F44" s="44"/>
      <c r="G44" s="43"/>
      <c r="H44" s="43"/>
      <c r="I44" s="45" t="s">
        <v>0</v>
      </c>
      <c r="J44" s="44">
        <f>+J8+1</f>
        <v>19</v>
      </c>
      <c r="K44" s="55"/>
      <c r="L44" s="6"/>
      <c r="M44" s="235"/>
      <c r="N44" s="235"/>
      <c r="P44" s="117"/>
    </row>
    <row r="45" spans="1:17" s="5" customFormat="1" ht="12.75">
      <c r="A45" s="43"/>
      <c r="B45" s="43"/>
      <c r="C45" s="43"/>
      <c r="D45" s="43"/>
      <c r="E45" s="43"/>
      <c r="F45" s="44"/>
      <c r="G45" s="43"/>
      <c r="H45" s="43"/>
      <c r="I45" s="43"/>
      <c r="J45" s="43"/>
      <c r="K45" s="55"/>
      <c r="M45" s="91"/>
      <c r="N45" s="91"/>
      <c r="P45" s="117"/>
    </row>
    <row r="46" spans="1:17" s="5" customFormat="1" ht="12.75">
      <c r="A46" s="43" t="str">
        <f t="shared" ref="A46:C49" si="1">A10</f>
        <v>Utility:</v>
      </c>
      <c r="B46" s="43"/>
      <c r="C46" s="43" t="str">
        <f t="shared" si="1"/>
        <v>Florida Power &amp; Light Company</v>
      </c>
      <c r="D46" s="46"/>
      <c r="E46" s="46"/>
      <c r="F46" s="47"/>
      <c r="G46" s="46"/>
      <c r="H46" s="46"/>
      <c r="I46" s="43"/>
      <c r="J46" s="43"/>
      <c r="K46" s="55"/>
    </row>
    <row r="47" spans="1:17" s="5" customFormat="1" ht="12.75">
      <c r="A47" s="43" t="str">
        <f t="shared" si="1"/>
        <v>Program Name:</v>
      </c>
      <c r="B47" s="46"/>
      <c r="C47" s="48" t="s">
        <v>85</v>
      </c>
      <c r="D47" s="46"/>
      <c r="E47" s="46"/>
      <c r="F47" s="47"/>
      <c r="G47" s="46"/>
      <c r="H47" s="46"/>
      <c r="I47" s="43"/>
      <c r="J47" s="43"/>
      <c r="K47" s="55"/>
      <c r="P47" s="236"/>
    </row>
    <row r="48" spans="1:17" s="5" customFormat="1" ht="12.75">
      <c r="A48" s="43" t="str">
        <f t="shared" si="1"/>
        <v>Program Start Date:</v>
      </c>
      <c r="B48" s="46"/>
      <c r="C48" s="49" t="str">
        <f>C$12</f>
        <v>May 2011</v>
      </c>
      <c r="D48" s="49"/>
      <c r="E48" s="49"/>
      <c r="F48" s="50"/>
      <c r="G48" s="49"/>
      <c r="H48" s="49"/>
      <c r="I48" s="43"/>
      <c r="J48" s="43"/>
      <c r="K48" s="55"/>
      <c r="P48" s="236"/>
    </row>
    <row r="49" spans="1:15" s="5" customFormat="1" ht="12.75">
      <c r="A49" s="43" t="str">
        <f t="shared" si="1"/>
        <v>Reporting Period:</v>
      </c>
      <c r="B49" s="46"/>
      <c r="C49" s="98">
        <f t="shared" si="1"/>
        <v>2013</v>
      </c>
      <c r="D49" s="46"/>
      <c r="E49" s="46"/>
      <c r="F49" s="44"/>
      <c r="G49" s="43"/>
      <c r="H49" s="46"/>
      <c r="I49" s="47"/>
      <c r="J49" s="43"/>
      <c r="K49" s="55"/>
    </row>
    <row r="50" spans="1:15" s="5" customFormat="1" ht="12.75">
      <c r="A50" s="43"/>
      <c r="B50" s="46"/>
      <c r="C50" s="46"/>
      <c r="D50" s="46"/>
      <c r="E50" s="46"/>
      <c r="F50" s="44"/>
      <c r="G50" s="43"/>
      <c r="H50" s="46"/>
      <c r="I50" s="47"/>
      <c r="J50" s="43"/>
      <c r="K50" s="55"/>
    </row>
    <row r="51" spans="1:15" s="5" customFormat="1" ht="12.75">
      <c r="A51" s="44" t="s">
        <v>5</v>
      </c>
      <c r="B51" s="44" t="s">
        <v>6</v>
      </c>
      <c r="C51" s="44" t="s">
        <v>7</v>
      </c>
      <c r="D51" s="44" t="s">
        <v>8</v>
      </c>
      <c r="E51" s="44" t="s">
        <v>9</v>
      </c>
      <c r="F51" s="47" t="s">
        <v>10</v>
      </c>
      <c r="G51" s="47" t="s">
        <v>31</v>
      </c>
      <c r="H51" s="44" t="s">
        <v>11</v>
      </c>
      <c r="I51" s="44" t="s">
        <v>12</v>
      </c>
      <c r="J51" s="43"/>
      <c r="K51" s="55"/>
    </row>
    <row r="52" spans="1:15" s="5" customFormat="1" ht="13.5" thickBot="1">
      <c r="A52" s="44"/>
      <c r="B52" s="44"/>
      <c r="C52" s="44"/>
      <c r="D52" s="44"/>
      <c r="E52" s="44" t="s">
        <v>13</v>
      </c>
      <c r="F52" s="47"/>
      <c r="G52" s="47"/>
      <c r="H52" s="47" t="s">
        <v>14</v>
      </c>
      <c r="I52" s="44" t="s">
        <v>15</v>
      </c>
      <c r="J52" s="43"/>
      <c r="K52" s="55"/>
    </row>
    <row r="53" spans="1:15" s="5" customFormat="1" ht="15.75" thickBot="1">
      <c r="A53" s="7"/>
      <c r="B53" s="8"/>
      <c r="C53" s="9"/>
      <c r="D53" s="403" t="s">
        <v>21</v>
      </c>
      <c r="E53" s="404"/>
      <c r="F53" s="405" t="s">
        <v>22</v>
      </c>
      <c r="G53" s="405"/>
      <c r="H53" s="405"/>
      <c r="I53" s="404"/>
      <c r="J53" s="43"/>
      <c r="K53" s="55"/>
    </row>
    <row r="54" spans="1:15" s="5" customFormat="1" ht="51.75" thickBot="1">
      <c r="A54" s="56" t="s">
        <v>16</v>
      </c>
      <c r="B54" s="57" t="s">
        <v>23</v>
      </c>
      <c r="C54" s="58" t="s">
        <v>24</v>
      </c>
      <c r="D54" s="100" t="s">
        <v>39</v>
      </c>
      <c r="E54" s="58" t="s">
        <v>26</v>
      </c>
      <c r="F54" s="59" t="s">
        <v>27</v>
      </c>
      <c r="G54" s="40" t="s">
        <v>25</v>
      </c>
      <c r="H54" s="60" t="s">
        <v>26</v>
      </c>
      <c r="I54" s="114" t="s">
        <v>61</v>
      </c>
      <c r="J54" s="43"/>
      <c r="K54" s="55"/>
    </row>
    <row r="55" spans="1:15" s="5" customFormat="1" ht="12.75">
      <c r="A55" s="62">
        <v>2010</v>
      </c>
      <c r="B55" s="63">
        <v>4010837.3548591528</v>
      </c>
      <c r="C55" s="64">
        <v>404</v>
      </c>
      <c r="D55" s="63">
        <v>0</v>
      </c>
      <c r="E55" s="65">
        <f>SUM($D$55:D55)/SUM($C$55:C55)</f>
        <v>0</v>
      </c>
      <c r="F55" s="66">
        <v>0</v>
      </c>
      <c r="G55" s="67">
        <f>+F55</f>
        <v>0</v>
      </c>
      <c r="H55" s="68">
        <f>+G55/C55</f>
        <v>0</v>
      </c>
      <c r="I55" s="69">
        <f>+G55-D55</f>
        <v>0</v>
      </c>
      <c r="J55" s="43"/>
      <c r="K55" s="55"/>
    </row>
    <row r="56" spans="1:15" s="5" customFormat="1" ht="15">
      <c r="A56" s="70">
        <v>2011</v>
      </c>
      <c r="B56" s="63">
        <v>4056427.5102924532</v>
      </c>
      <c r="C56" s="64">
        <v>404</v>
      </c>
      <c r="D56" s="71">
        <f>L56</f>
        <v>200</v>
      </c>
      <c r="E56" s="73">
        <f>D56/SUM($C$55:C56)</f>
        <v>0.24752475247524752</v>
      </c>
      <c r="F56" s="74">
        <v>0</v>
      </c>
      <c r="G56" s="75">
        <f>+F56</f>
        <v>0</v>
      </c>
      <c r="H56" s="76">
        <f>G56/SUM($C$55:C56)</f>
        <v>0</v>
      </c>
      <c r="I56" s="77">
        <f>+G56-D56</f>
        <v>-200</v>
      </c>
      <c r="J56" s="43"/>
      <c r="K56" s="55"/>
      <c r="L56" s="91">
        <v>200</v>
      </c>
      <c r="M56" s="91"/>
      <c r="O56" s="121"/>
    </row>
    <row r="57" spans="1:15" s="5" customFormat="1" ht="15">
      <c r="A57" s="70">
        <v>2012</v>
      </c>
      <c r="B57" s="63">
        <v>4141910.0631841868</v>
      </c>
      <c r="C57" s="64">
        <v>404</v>
      </c>
      <c r="D57" s="71">
        <f>L57+D56</f>
        <v>400</v>
      </c>
      <c r="E57" s="73">
        <f>D57/SUM($C$55:C57)</f>
        <v>0.33003300330033003</v>
      </c>
      <c r="F57" s="128">
        <v>113</v>
      </c>
      <c r="G57" s="75">
        <f>+F57+G56</f>
        <v>113</v>
      </c>
      <c r="H57" s="76">
        <f>G57/SUM($C$55:C57)</f>
        <v>9.3234323432343238E-2</v>
      </c>
      <c r="I57" s="77">
        <f>+G57-D57</f>
        <v>-287</v>
      </c>
      <c r="J57" s="43"/>
      <c r="K57" s="55"/>
      <c r="L57" s="91">
        <v>200</v>
      </c>
      <c r="M57" s="91"/>
      <c r="O57" s="121"/>
    </row>
    <row r="58" spans="1:15" s="5" customFormat="1" ht="12.75">
      <c r="A58" s="70">
        <v>2013</v>
      </c>
      <c r="B58" s="63">
        <v>4226977.7148722634</v>
      </c>
      <c r="C58" s="64">
        <v>404</v>
      </c>
      <c r="D58" s="71">
        <f>L58+D57</f>
        <v>600</v>
      </c>
      <c r="E58" s="73">
        <f>D58/SUM($C$55:C58)</f>
        <v>0.37128712871287128</v>
      </c>
      <c r="F58" s="128">
        <f>'2013 Solar Actuals'!S18</f>
        <v>103</v>
      </c>
      <c r="G58" s="75">
        <f>+F58+G57</f>
        <v>216</v>
      </c>
      <c r="H58" s="76">
        <f>G58/SUM($C$55:C58)</f>
        <v>0.13366336633663367</v>
      </c>
      <c r="I58" s="77">
        <f>+G58-D58</f>
        <v>-384</v>
      </c>
      <c r="J58" s="43"/>
      <c r="K58" s="55"/>
      <c r="L58" s="91">
        <v>200</v>
      </c>
      <c r="M58" s="91"/>
      <c r="O58" s="91"/>
    </row>
    <row r="59" spans="1:15" s="5" customFormat="1" ht="12.75">
      <c r="A59" s="70">
        <v>2014</v>
      </c>
      <c r="B59" s="63">
        <v>4311222.6681935266</v>
      </c>
      <c r="C59" s="64">
        <v>404</v>
      </c>
      <c r="D59" s="71">
        <f>L59+D58</f>
        <v>800</v>
      </c>
      <c r="E59" s="73">
        <f>D59/SUM($C$55:C59)</f>
        <v>0.39603960396039606</v>
      </c>
      <c r="F59" s="74"/>
      <c r="G59" s="75"/>
      <c r="H59" s="78"/>
      <c r="I59" s="77"/>
      <c r="J59" s="43"/>
      <c r="K59" s="55"/>
      <c r="L59" s="91">
        <v>200</v>
      </c>
      <c r="M59" s="91"/>
      <c r="N59" s="91"/>
    </row>
    <row r="60" spans="1:15" s="5" customFormat="1" ht="12.75">
      <c r="A60" s="70">
        <v>2015</v>
      </c>
      <c r="B60" s="71"/>
      <c r="C60" s="72"/>
      <c r="D60" s="71"/>
      <c r="E60" s="73"/>
      <c r="F60" s="74"/>
      <c r="G60" s="75"/>
      <c r="H60" s="78"/>
      <c r="I60" s="77"/>
      <c r="J60" s="43"/>
      <c r="K60" s="55"/>
      <c r="M60" s="296"/>
      <c r="N60" s="91"/>
    </row>
    <row r="61" spans="1:15" s="5" customFormat="1" ht="12.75">
      <c r="A61" s="70">
        <v>2016</v>
      </c>
      <c r="B61" s="71"/>
      <c r="C61" s="72"/>
      <c r="D61" s="71"/>
      <c r="E61" s="73"/>
      <c r="F61" s="74"/>
      <c r="G61" s="75"/>
      <c r="H61" s="78"/>
      <c r="I61" s="77"/>
      <c r="J61" s="43"/>
      <c r="K61" s="55"/>
      <c r="M61" s="91"/>
    </row>
    <row r="62" spans="1:15" s="5" customFormat="1" ht="12.75">
      <c r="A62" s="70">
        <v>2017</v>
      </c>
      <c r="B62" s="71"/>
      <c r="C62" s="72"/>
      <c r="D62" s="71"/>
      <c r="E62" s="73"/>
      <c r="F62" s="74"/>
      <c r="G62" s="75"/>
      <c r="H62" s="78"/>
      <c r="I62" s="77"/>
      <c r="J62" s="43"/>
      <c r="K62" s="55"/>
      <c r="M62" s="91"/>
    </row>
    <row r="63" spans="1:15" s="5" customFormat="1" ht="12.75">
      <c r="A63" s="70">
        <v>2018</v>
      </c>
      <c r="B63" s="71"/>
      <c r="C63" s="72"/>
      <c r="D63" s="71"/>
      <c r="E63" s="73"/>
      <c r="F63" s="74"/>
      <c r="G63" s="75"/>
      <c r="H63" s="78"/>
      <c r="I63" s="77"/>
      <c r="J63" s="43"/>
      <c r="K63" s="55"/>
      <c r="M63" s="153"/>
      <c r="N63" s="154"/>
    </row>
    <row r="64" spans="1:15" s="5" customFormat="1" ht="13.5" thickBot="1">
      <c r="A64" s="79">
        <v>2019</v>
      </c>
      <c r="B64" s="36"/>
      <c r="C64" s="37"/>
      <c r="D64" s="36"/>
      <c r="E64" s="80"/>
      <c r="F64" s="81"/>
      <c r="G64" s="82"/>
      <c r="H64" s="83"/>
      <c r="I64" s="84"/>
      <c r="J64" s="43"/>
      <c r="K64" s="55"/>
      <c r="M64" s="153"/>
      <c r="N64" s="10"/>
    </row>
    <row r="65" spans="1:14" s="5" customFormat="1" ht="13.5" thickBot="1">
      <c r="A65" s="43"/>
      <c r="B65" s="44"/>
      <c r="C65" s="93"/>
      <c r="D65" s="44"/>
      <c r="E65" s="43"/>
      <c r="F65" s="44"/>
      <c r="G65" s="43"/>
      <c r="H65" s="43"/>
      <c r="I65" s="43"/>
      <c r="J65" s="43"/>
      <c r="K65" s="55"/>
      <c r="M65" s="155"/>
      <c r="N65" s="155"/>
    </row>
    <row r="66" spans="1:14" s="5" customFormat="1" ht="13.5" thickBot="1">
      <c r="A66" s="11"/>
      <c r="B66" s="12"/>
      <c r="C66" s="13"/>
      <c r="D66" s="408" t="s">
        <v>33</v>
      </c>
      <c r="E66" s="407"/>
      <c r="F66" s="408" t="s">
        <v>34</v>
      </c>
      <c r="G66" s="407"/>
      <c r="H66" s="43"/>
      <c r="I66" s="43"/>
      <c r="J66" s="43"/>
      <c r="K66" s="55"/>
      <c r="M66" s="156"/>
      <c r="N66" s="156"/>
    </row>
    <row r="67" spans="1:14" s="5" customFormat="1" ht="13.5" thickBot="1">
      <c r="A67" s="41">
        <f t="shared" ref="A67" si="2">A31</f>
        <v>2013</v>
      </c>
      <c r="B67" s="15"/>
      <c r="C67" s="16"/>
      <c r="D67" s="17" t="s">
        <v>17</v>
      </c>
      <c r="E67" s="18" t="s">
        <v>18</v>
      </c>
      <c r="F67" s="17" t="s">
        <v>17</v>
      </c>
      <c r="G67" s="18" t="s">
        <v>18</v>
      </c>
      <c r="H67" s="43"/>
      <c r="I67" s="43"/>
      <c r="J67" s="43"/>
      <c r="K67" s="55"/>
      <c r="M67" s="157"/>
      <c r="N67" s="157"/>
    </row>
    <row r="68" spans="1:14" s="5" customFormat="1" ht="12.75">
      <c r="A68" s="85" t="str">
        <f t="shared" ref="A68" si="3">A32</f>
        <v>Summer kW Reduction</v>
      </c>
      <c r="B68" s="20"/>
      <c r="C68" s="21"/>
      <c r="D68" s="22">
        <f>+F68/F58</f>
        <v>0.22000000000000003</v>
      </c>
      <c r="E68" s="23">
        <f>+G68/F58</f>
        <v>0.23745699999999997</v>
      </c>
      <c r="F68" s="24">
        <f>'2013 Solar Actuals'!Q19</f>
        <v>22.660000000000004</v>
      </c>
      <c r="G68" s="25">
        <f>'2013 Solar Actuals'!Q67</f>
        <v>24.458070999999997</v>
      </c>
      <c r="H68" s="129"/>
      <c r="I68" s="129"/>
      <c r="J68" s="43"/>
      <c r="K68" s="55"/>
      <c r="M68" s="157"/>
      <c r="N68" s="157"/>
    </row>
    <row r="69" spans="1:14" s="5" customFormat="1" ht="12.75">
      <c r="A69" s="86" t="str">
        <f t="shared" ref="A69" si="4">A33</f>
        <v>Winter kW Reduction</v>
      </c>
      <c r="B69" s="27"/>
      <c r="C69" s="28"/>
      <c r="D69" s="29">
        <f>+F69/F58</f>
        <v>0.45</v>
      </c>
      <c r="E69" s="30">
        <f>+G69/F58</f>
        <v>0.48570749999999996</v>
      </c>
      <c r="F69" s="31">
        <f>'2013 Solar Actuals'!Q21</f>
        <v>46.35</v>
      </c>
      <c r="G69" s="32">
        <f>'2013 Solar Actuals'!Q69</f>
        <v>50.027872499999994</v>
      </c>
      <c r="H69" s="129"/>
      <c r="I69" s="129"/>
      <c r="J69" s="43"/>
      <c r="K69" s="55"/>
      <c r="M69" s="152"/>
      <c r="N69" s="152"/>
    </row>
    <row r="70" spans="1:14" s="5" customFormat="1" ht="13.5" thickBot="1">
      <c r="A70" s="87" t="str">
        <f t="shared" ref="A70" si="5">A34</f>
        <v>kWh Reduction</v>
      </c>
      <c r="B70" s="34"/>
      <c r="C70" s="35"/>
      <c r="D70" s="36">
        <f>+F70/F58</f>
        <v>1482</v>
      </c>
      <c r="E70" s="37">
        <f>+G70/F58</f>
        <v>1574.4471600000002</v>
      </c>
      <c r="F70" s="38">
        <f>'2013 Solar Actuals'!Q20*1000000</f>
        <v>152646</v>
      </c>
      <c r="G70" s="39">
        <f>'2013 Solar Actuals'!Q68*1000000</f>
        <v>162168.05748000002</v>
      </c>
      <c r="H70" s="129"/>
      <c r="I70" s="129"/>
      <c r="J70" s="43"/>
      <c r="K70" s="55"/>
      <c r="M70" s="10"/>
      <c r="N70" s="158"/>
    </row>
    <row r="71" spans="1:14" s="5" customFormat="1" ht="13.5" thickBot="1">
      <c r="A71" s="43"/>
      <c r="B71" s="43"/>
      <c r="C71" s="43"/>
      <c r="D71" s="43"/>
      <c r="E71" s="94"/>
      <c r="F71" s="95"/>
      <c r="G71" s="96"/>
      <c r="H71" s="97"/>
      <c r="J71" s="43"/>
      <c r="K71" s="55"/>
      <c r="M71" s="153"/>
      <c r="N71" s="10"/>
    </row>
    <row r="72" spans="1:14" s="5" customFormat="1" ht="13.5" thickBot="1">
      <c r="A72" s="53">
        <f t="shared" ref="A72" si="6">A36</f>
        <v>2013</v>
      </c>
      <c r="B72" s="89"/>
      <c r="C72" s="14"/>
      <c r="D72" s="90"/>
      <c r="E72" s="43"/>
      <c r="F72" s="44"/>
      <c r="G72" s="292"/>
      <c r="H72" s="43"/>
      <c r="I72" s="43"/>
      <c r="J72" s="43"/>
      <c r="K72" s="55"/>
      <c r="M72" s="155"/>
      <c r="N72" s="155"/>
    </row>
    <row r="73" spans="1:14" s="5" customFormat="1" ht="12.75">
      <c r="A73" s="19" t="str">
        <f t="shared" ref="A73" si="7">A37</f>
        <v>Utility Cost per Installation</v>
      </c>
      <c r="B73" s="20"/>
      <c r="C73" s="21"/>
      <c r="D73" s="51">
        <f>+D74*1000/F58</f>
        <v>4661.6768932038831</v>
      </c>
      <c r="E73" s="122"/>
      <c r="F73" s="44"/>
      <c r="G73" s="42"/>
      <c r="H73" s="43"/>
      <c r="I73" s="43"/>
      <c r="J73" s="43"/>
      <c r="K73" s="55"/>
      <c r="M73" s="156"/>
      <c r="N73" s="156"/>
    </row>
    <row r="74" spans="1:14" s="5" customFormat="1" ht="12.75">
      <c r="A74" s="26" t="str">
        <f t="shared" ref="A74" si="8">A38</f>
        <v>Total Utility Program Cost ($000)</v>
      </c>
      <c r="B74" s="27"/>
      <c r="C74" s="28"/>
      <c r="D74" s="123">
        <f>'ECCR Cost'!C12/1000</f>
        <v>480.15271999999999</v>
      </c>
      <c r="E74" s="43"/>
      <c r="F74" s="44"/>
      <c r="G74" s="43"/>
      <c r="H74" s="43"/>
      <c r="I74" s="43"/>
      <c r="J74" s="43"/>
      <c r="K74" s="55"/>
      <c r="M74" s="157"/>
      <c r="N74" s="157"/>
    </row>
    <row r="75" spans="1:14" s="5" customFormat="1" ht="13.5" thickBot="1">
      <c r="A75" s="33" t="str">
        <f t="shared" ref="A75" si="9">A39</f>
        <v>Net Benefits ($000)</v>
      </c>
      <c r="B75" s="34"/>
      <c r="C75" s="35"/>
      <c r="D75" s="126">
        <f>'NPV 2013'!C32</f>
        <v>-41.810127333625822</v>
      </c>
      <c r="E75" s="43"/>
      <c r="F75" s="44"/>
      <c r="G75" s="43"/>
      <c r="H75" s="43"/>
      <c r="I75" s="43"/>
      <c r="J75" s="43"/>
      <c r="K75" s="55"/>
      <c r="M75" s="157"/>
      <c r="N75" s="157"/>
    </row>
    <row r="76" spans="1:14" s="5" customFormat="1" ht="12.75">
      <c r="A76" s="43"/>
      <c r="B76" s="43"/>
      <c r="C76" s="43"/>
      <c r="D76" s="43"/>
      <c r="E76" s="43"/>
      <c r="F76" s="44"/>
      <c r="G76" s="43"/>
      <c r="H76" s="43"/>
      <c r="I76" s="99"/>
      <c r="J76" s="43"/>
      <c r="K76" s="55"/>
      <c r="M76" s="152"/>
      <c r="N76" s="152"/>
    </row>
    <row r="77" spans="1:14" s="5" customFormat="1" ht="14.25">
      <c r="A77" s="52" t="s">
        <v>38</v>
      </c>
      <c r="B77" s="43"/>
      <c r="C77" s="43"/>
      <c r="D77" s="43"/>
      <c r="E77" s="43"/>
      <c r="F77" s="43"/>
      <c r="G77" s="43"/>
      <c r="H77" s="43"/>
      <c r="I77" s="43"/>
      <c r="J77" s="43"/>
      <c r="K77" s="55"/>
    </row>
    <row r="78" spans="1:14" s="5" customFormat="1" ht="12.75">
      <c r="A78" s="43"/>
      <c r="B78" s="43"/>
      <c r="C78" s="43"/>
      <c r="D78" s="43"/>
      <c r="E78" s="43"/>
      <c r="F78" s="44"/>
      <c r="G78" s="43"/>
      <c r="H78" s="43"/>
      <c r="I78" s="43"/>
      <c r="J78" s="43"/>
      <c r="K78" s="55"/>
    </row>
    <row r="79" spans="1:14" s="5" customFormat="1" ht="12.75">
      <c r="A79" s="43" t="s">
        <v>28</v>
      </c>
      <c r="B79" s="43"/>
      <c r="C79" s="46"/>
      <c r="D79" s="43"/>
      <c r="E79" s="43"/>
      <c r="F79" s="44"/>
      <c r="G79" s="43"/>
      <c r="H79" s="43"/>
      <c r="I79" s="45" t="s">
        <v>0</v>
      </c>
      <c r="J79" s="44">
        <f>+J44+1</f>
        <v>20</v>
      </c>
      <c r="K79" s="54"/>
    </row>
    <row r="80" spans="1:14" s="5" customFormat="1" ht="12.75">
      <c r="A80" s="43"/>
      <c r="B80" s="43"/>
      <c r="C80" s="43"/>
      <c r="D80" s="43"/>
      <c r="E80" s="43"/>
      <c r="F80" s="44"/>
      <c r="G80" s="43"/>
      <c r="H80" s="43"/>
      <c r="I80" s="43"/>
      <c r="J80" s="43"/>
      <c r="K80" s="55"/>
    </row>
    <row r="81" spans="1:18" s="5" customFormat="1" ht="12.75">
      <c r="A81" s="43" t="s">
        <v>1</v>
      </c>
      <c r="B81" s="43"/>
      <c r="C81" s="43" t="s">
        <v>20</v>
      </c>
      <c r="D81" s="46"/>
      <c r="E81" s="46"/>
      <c r="F81" s="47"/>
      <c r="G81" s="46"/>
      <c r="H81" s="46"/>
      <c r="I81" s="43"/>
      <c r="J81" s="43"/>
      <c r="K81" s="55"/>
    </row>
    <row r="82" spans="1:18" s="5" customFormat="1" ht="12.75">
      <c r="A82" s="43" t="s">
        <v>2</v>
      </c>
      <c r="B82" s="46"/>
      <c r="C82" s="48" t="s">
        <v>50</v>
      </c>
      <c r="D82" s="46"/>
      <c r="E82" s="46"/>
      <c r="F82" s="47"/>
      <c r="G82" s="46"/>
      <c r="H82" s="46"/>
      <c r="I82" s="43"/>
      <c r="J82" s="43"/>
      <c r="K82" s="55"/>
      <c r="R82" s="105"/>
    </row>
    <row r="83" spans="1:18" s="5" customFormat="1" ht="12.75">
      <c r="A83" s="43" t="s">
        <v>3</v>
      </c>
      <c r="B83" s="46"/>
      <c r="C83" s="49" t="str">
        <f>C$12</f>
        <v>May 2011</v>
      </c>
      <c r="D83" s="49"/>
      <c r="E83" s="49"/>
      <c r="F83" s="50"/>
      <c r="G83" s="49"/>
      <c r="H83" s="49"/>
      <c r="I83" s="43"/>
      <c r="J83" s="43"/>
      <c r="K83" s="55"/>
    </row>
    <row r="84" spans="1:18" s="5" customFormat="1" ht="12.75">
      <c r="A84" s="43" t="s">
        <v>4</v>
      </c>
      <c r="B84" s="46"/>
      <c r="C84" s="98">
        <v>2013</v>
      </c>
      <c r="D84" s="46"/>
      <c r="E84" s="46"/>
      <c r="F84" s="44"/>
      <c r="G84" s="43"/>
      <c r="H84" s="46"/>
      <c r="I84" s="47"/>
      <c r="J84" s="43"/>
      <c r="K84" s="55"/>
    </row>
    <row r="85" spans="1:18" s="5" customFormat="1" ht="12.75">
      <c r="A85" s="43"/>
      <c r="B85" s="46"/>
      <c r="C85" s="46"/>
      <c r="D85" s="46"/>
      <c r="E85" s="46"/>
      <c r="F85" s="44"/>
      <c r="G85" s="43"/>
      <c r="H85" s="46"/>
      <c r="I85" s="47"/>
      <c r="J85" s="43"/>
      <c r="K85" s="55"/>
    </row>
    <row r="86" spans="1:18" s="5" customFormat="1" ht="12.75">
      <c r="A86" s="44" t="s">
        <v>5</v>
      </c>
      <c r="B86" s="44" t="s">
        <v>6</v>
      </c>
      <c r="C86" s="44" t="s">
        <v>7</v>
      </c>
      <c r="D86" s="44" t="s">
        <v>8</v>
      </c>
      <c r="E86" s="44" t="s">
        <v>9</v>
      </c>
      <c r="F86" s="47" t="s">
        <v>10</v>
      </c>
      <c r="G86" s="47" t="s">
        <v>31</v>
      </c>
      <c r="H86" s="44" t="s">
        <v>11</v>
      </c>
      <c r="I86" s="44" t="s">
        <v>12</v>
      </c>
      <c r="J86" s="43"/>
      <c r="K86" s="55"/>
    </row>
    <row r="87" spans="1:18" s="5" customFormat="1" ht="13.5" thickBot="1">
      <c r="A87" s="44"/>
      <c r="B87" s="44"/>
      <c r="C87" s="44"/>
      <c r="D87" s="44"/>
      <c r="E87" s="44" t="s">
        <v>13</v>
      </c>
      <c r="F87" s="47"/>
      <c r="G87" s="47"/>
      <c r="H87" s="47" t="s">
        <v>14</v>
      </c>
      <c r="I87" s="44" t="s">
        <v>15</v>
      </c>
      <c r="J87" s="43"/>
      <c r="K87" s="55"/>
    </row>
    <row r="88" spans="1:18" s="5" customFormat="1" ht="15.75" thickBot="1">
      <c r="A88" s="7"/>
      <c r="B88" s="8"/>
      <c r="C88" s="9"/>
      <c r="D88" s="403" t="s">
        <v>21</v>
      </c>
      <c r="E88" s="404"/>
      <c r="F88" s="405" t="s">
        <v>22</v>
      </c>
      <c r="G88" s="405"/>
      <c r="H88" s="405"/>
      <c r="I88" s="404"/>
      <c r="J88" s="43"/>
      <c r="K88" s="55"/>
      <c r="L88" s="6"/>
    </row>
    <row r="89" spans="1:18" s="5" customFormat="1" ht="51.75" thickBot="1">
      <c r="A89" s="56" t="s">
        <v>16</v>
      </c>
      <c r="B89" s="57" t="s">
        <v>23</v>
      </c>
      <c r="C89" s="58" t="s">
        <v>24</v>
      </c>
      <c r="D89" s="100" t="s">
        <v>39</v>
      </c>
      <c r="E89" s="58" t="s">
        <v>26</v>
      </c>
      <c r="F89" s="59" t="s">
        <v>27</v>
      </c>
      <c r="G89" s="40" t="s">
        <v>25</v>
      </c>
      <c r="H89" s="60" t="s">
        <v>26</v>
      </c>
      <c r="I89" s="114" t="s">
        <v>61</v>
      </c>
      <c r="J89" s="43"/>
      <c r="K89" s="55"/>
      <c r="L89" s="106"/>
    </row>
    <row r="90" spans="1:18" s="5" customFormat="1" ht="12.75">
      <c r="A90" s="62">
        <v>2010</v>
      </c>
      <c r="B90" s="63">
        <v>534490.00855934958</v>
      </c>
      <c r="C90" s="103">
        <f>B90</f>
        <v>534490.00855934958</v>
      </c>
      <c r="D90" s="63">
        <v>0</v>
      </c>
      <c r="E90" s="65">
        <f>+D90/C90</f>
        <v>0</v>
      </c>
      <c r="F90" s="66">
        <v>0</v>
      </c>
      <c r="G90" s="67">
        <f>+F90</f>
        <v>0</v>
      </c>
      <c r="H90" s="68">
        <f>+G90/C90</f>
        <v>0</v>
      </c>
      <c r="I90" s="69">
        <f>+G90-D90</f>
        <v>0</v>
      </c>
      <c r="J90" s="43"/>
      <c r="K90" s="55"/>
      <c r="L90" s="6"/>
    </row>
    <row r="91" spans="1:18" s="5" customFormat="1" ht="12.75">
      <c r="A91" s="70">
        <v>2011</v>
      </c>
      <c r="B91" s="63">
        <v>547696.76814248285</v>
      </c>
      <c r="C91" s="64">
        <f>B91-D90</f>
        <v>547696.76814248285</v>
      </c>
      <c r="D91" s="71">
        <f>L91</f>
        <v>42.594443641718271</v>
      </c>
      <c r="E91" s="73">
        <f>+D91/C91</f>
        <v>7.7770120474103955E-5</v>
      </c>
      <c r="F91" s="74">
        <v>9</v>
      </c>
      <c r="G91" s="75">
        <f>+F91</f>
        <v>9</v>
      </c>
      <c r="H91" s="76">
        <f>+G91/C91</f>
        <v>1.6432450442465745E-5</v>
      </c>
      <c r="I91" s="77">
        <f>+G91-D91</f>
        <v>-33.594443641718271</v>
      </c>
      <c r="J91" s="43"/>
      <c r="K91" s="55"/>
      <c r="L91" s="116">
        <v>42.594443641718271</v>
      </c>
    </row>
    <row r="92" spans="1:18" s="5" customFormat="1" ht="12.75">
      <c r="A92" s="70">
        <v>2012</v>
      </c>
      <c r="B92" s="63">
        <v>561575.9303068415</v>
      </c>
      <c r="C92" s="64">
        <f>B92-D91</f>
        <v>561533.33586319978</v>
      </c>
      <c r="D92" s="71">
        <f>L92+D91</f>
        <v>94.428708908554881</v>
      </c>
      <c r="E92" s="73">
        <f>+D92/C92</f>
        <v>1.6816224946538083E-4</v>
      </c>
      <c r="F92" s="128">
        <v>22</v>
      </c>
      <c r="G92" s="75">
        <f>+F92+G91</f>
        <v>31</v>
      </c>
      <c r="H92" s="76">
        <f>+G92/C92</f>
        <v>5.5205983367570171E-5</v>
      </c>
      <c r="I92" s="77">
        <f>+G92-D92</f>
        <v>-63.428708908554881</v>
      </c>
      <c r="J92" s="43"/>
      <c r="K92" s="55"/>
      <c r="L92" s="116">
        <v>51.834265266836603</v>
      </c>
    </row>
    <row r="93" spans="1:18" s="5" customFormat="1" ht="12.75">
      <c r="A93" s="70">
        <v>2013</v>
      </c>
      <c r="B93" s="63">
        <v>575597.69705652446</v>
      </c>
      <c r="C93" s="64">
        <f>B93-D92</f>
        <v>575503.26834761596</v>
      </c>
      <c r="D93" s="71">
        <f>L93+D92</f>
        <v>157.18100800475628</v>
      </c>
      <c r="E93" s="73">
        <f>+D93/C93</f>
        <v>2.7311922737824606E-4</v>
      </c>
      <c r="F93" s="128">
        <f>'2013 Solar Actuals'!S30</f>
        <v>7</v>
      </c>
      <c r="G93" s="75">
        <f>+F93+G92</f>
        <v>38</v>
      </c>
      <c r="H93" s="76">
        <f>+G93/C93</f>
        <v>6.6029164541681117E-5</v>
      </c>
      <c r="I93" s="77">
        <f>+G93-D93</f>
        <v>-119.18100800475628</v>
      </c>
      <c r="J93" s="43"/>
      <c r="K93" s="55"/>
      <c r="L93" s="116">
        <v>62.752299096201398</v>
      </c>
    </row>
    <row r="94" spans="1:18" s="5" customFormat="1" ht="12.75">
      <c r="A94" s="70">
        <v>2014</v>
      </c>
      <c r="B94" s="63">
        <v>590087.02019112988</v>
      </c>
      <c r="C94" s="64">
        <f>B94-D93</f>
        <v>589929.83918312518</v>
      </c>
      <c r="D94" s="71">
        <f>L94+D93</f>
        <v>232.70037648191527</v>
      </c>
      <c r="E94" s="73">
        <f>+D94/C94</f>
        <v>3.9445432494842958E-4</v>
      </c>
      <c r="F94" s="74"/>
      <c r="G94" s="75"/>
      <c r="H94" s="78"/>
      <c r="I94" s="77"/>
      <c r="J94" s="43"/>
      <c r="K94" s="55"/>
      <c r="L94" s="116">
        <v>75.519368477158977</v>
      </c>
    </row>
    <row r="95" spans="1:18" s="5" customFormat="1" ht="12.75">
      <c r="A95" s="70">
        <v>2015</v>
      </c>
      <c r="B95" s="71"/>
      <c r="C95" s="72"/>
      <c r="D95" s="71"/>
      <c r="E95" s="73"/>
      <c r="F95" s="74"/>
      <c r="G95" s="75"/>
      <c r="H95" s="78"/>
      <c r="I95" s="77"/>
      <c r="J95" s="43"/>
      <c r="K95" s="55"/>
    </row>
    <row r="96" spans="1:18" s="5" customFormat="1" ht="12.75">
      <c r="A96" s="70">
        <v>2016</v>
      </c>
      <c r="B96" s="71"/>
      <c r="C96" s="72"/>
      <c r="D96" s="71"/>
      <c r="E96" s="73"/>
      <c r="F96" s="74"/>
      <c r="G96" s="75"/>
      <c r="H96" s="78"/>
      <c r="I96" s="77"/>
      <c r="J96" s="43"/>
      <c r="K96" s="55"/>
    </row>
    <row r="97" spans="1:15" s="5" customFormat="1" ht="12.75">
      <c r="A97" s="70">
        <v>2017</v>
      </c>
      <c r="B97" s="71"/>
      <c r="C97" s="72"/>
      <c r="D97" s="71"/>
      <c r="E97" s="73"/>
      <c r="F97" s="74"/>
      <c r="G97" s="75"/>
      <c r="H97" s="78"/>
      <c r="I97" s="77"/>
      <c r="J97" s="43"/>
      <c r="K97" s="55"/>
    </row>
    <row r="98" spans="1:15" s="5" customFormat="1" ht="12.75">
      <c r="A98" s="70">
        <v>2018</v>
      </c>
      <c r="B98" s="71"/>
      <c r="C98" s="72"/>
      <c r="D98" s="71"/>
      <c r="E98" s="73"/>
      <c r="F98" s="74"/>
      <c r="G98" s="75"/>
      <c r="H98" s="78"/>
      <c r="I98" s="77"/>
      <c r="J98" s="43"/>
      <c r="K98" s="55"/>
    </row>
    <row r="99" spans="1:15" s="5" customFormat="1" ht="13.5" thickBot="1">
      <c r="A99" s="79">
        <v>2019</v>
      </c>
      <c r="B99" s="36"/>
      <c r="C99" s="37"/>
      <c r="D99" s="36"/>
      <c r="E99" s="80"/>
      <c r="F99" s="81"/>
      <c r="G99" s="82"/>
      <c r="H99" s="83"/>
      <c r="I99" s="84"/>
      <c r="J99" s="43"/>
      <c r="K99" s="55"/>
      <c r="M99" t="s">
        <v>52</v>
      </c>
      <c r="N99" s="91">
        <f>F93</f>
        <v>7</v>
      </c>
    </row>
    <row r="100" spans="1:15" s="5" customFormat="1" ht="13.5" thickBot="1">
      <c r="A100" s="43"/>
      <c r="B100" s="44"/>
      <c r="C100" s="93"/>
      <c r="D100" s="44"/>
      <c r="E100" s="43"/>
      <c r="F100" s="44"/>
      <c r="G100" s="43"/>
      <c r="H100" s="43"/>
      <c r="I100" s="43"/>
      <c r="J100" s="43"/>
      <c r="K100" s="55"/>
      <c r="M100" t="s">
        <v>87</v>
      </c>
      <c r="N100" s="5">
        <v>5</v>
      </c>
      <c r="O100" t="s">
        <v>90</v>
      </c>
    </row>
    <row r="101" spans="1:15" s="5" customFormat="1" ht="15" thickBot="1">
      <c r="A101" s="11"/>
      <c r="B101" s="12"/>
      <c r="C101" s="13"/>
      <c r="D101" s="406" t="s">
        <v>89</v>
      </c>
      <c r="E101" s="407"/>
      <c r="F101" s="408" t="s">
        <v>34</v>
      </c>
      <c r="G101" s="407"/>
      <c r="H101" s="43"/>
      <c r="I101" s="43"/>
      <c r="J101" s="43"/>
      <c r="K101" s="55"/>
      <c r="M101" s="149" t="s">
        <v>33</v>
      </c>
      <c r="N101" s="150"/>
    </row>
    <row r="102" spans="1:15" s="5" customFormat="1" ht="13.5" thickBot="1">
      <c r="A102" s="41">
        <v>2013</v>
      </c>
      <c r="B102" s="15"/>
      <c r="C102" s="16"/>
      <c r="D102" s="17" t="s">
        <v>17</v>
      </c>
      <c r="E102" s="18" t="s">
        <v>18</v>
      </c>
      <c r="F102" s="17" t="s">
        <v>17</v>
      </c>
      <c r="G102" s="18" t="s">
        <v>18</v>
      </c>
      <c r="H102" s="43"/>
      <c r="I102" s="43"/>
      <c r="J102" s="43"/>
      <c r="K102" s="55"/>
      <c r="M102" s="141" t="s">
        <v>17</v>
      </c>
      <c r="N102" s="142" t="s">
        <v>18</v>
      </c>
    </row>
    <row r="103" spans="1:15" s="5" customFormat="1" ht="12.75">
      <c r="A103" s="85" t="s">
        <v>29</v>
      </c>
      <c r="B103" s="20"/>
      <c r="C103" s="21"/>
      <c r="D103" s="101">
        <f>+M103</f>
        <v>0.66580000000000006</v>
      </c>
      <c r="E103" s="23">
        <f t="shared" ref="D103:E105" si="10">+N103</f>
        <v>0.71863123000000007</v>
      </c>
      <c r="F103" s="24">
        <f>'2013 Solar Actuals'!Q31</f>
        <v>3.3290000000000002</v>
      </c>
      <c r="G103" s="25">
        <f>'2013 Solar Actuals'!Q79</f>
        <v>3.5931561500000004</v>
      </c>
      <c r="H103" s="129"/>
      <c r="I103" s="129"/>
      <c r="J103" s="43"/>
      <c r="K103" s="55"/>
      <c r="M103" s="143">
        <f>F103/N100</f>
        <v>0.66580000000000006</v>
      </c>
      <c r="N103" s="144">
        <f>G103/N100</f>
        <v>0.71863123000000007</v>
      </c>
    </row>
    <row r="104" spans="1:15" s="5" customFormat="1" ht="12.75">
      <c r="A104" s="86" t="s">
        <v>30</v>
      </c>
      <c r="B104" s="27"/>
      <c r="C104" s="28"/>
      <c r="D104" s="29">
        <f t="shared" si="10"/>
        <v>4.7319999999999994E-2</v>
      </c>
      <c r="E104" s="30">
        <f t="shared" si="10"/>
        <v>5.1074841999999995E-2</v>
      </c>
      <c r="F104" s="31">
        <f>'2013 Solar Actuals'!Q33</f>
        <v>0.23659999999999998</v>
      </c>
      <c r="G104" s="32">
        <f>'2013 Solar Actuals'!Q81</f>
        <v>0.25537420999999999</v>
      </c>
      <c r="H104" s="129"/>
      <c r="I104" s="129"/>
      <c r="J104" s="43"/>
      <c r="K104" s="55"/>
      <c r="M104" s="145">
        <f>F104/N100</f>
        <v>4.7319999999999994E-2</v>
      </c>
      <c r="N104" s="146">
        <f>G104/N100</f>
        <v>5.1074841999999995E-2</v>
      </c>
    </row>
    <row r="105" spans="1:15" s="5" customFormat="1" ht="13.5" thickBot="1">
      <c r="A105" s="87" t="s">
        <v>32</v>
      </c>
      <c r="B105" s="34"/>
      <c r="C105" s="35"/>
      <c r="D105" s="36">
        <f t="shared" si="10"/>
        <v>2433.9865400000003</v>
      </c>
      <c r="E105" s="37">
        <f t="shared" si="10"/>
        <v>2585.8186203652003</v>
      </c>
      <c r="F105" s="109">
        <f>'2013 Solar Actuals'!Q32*1000000</f>
        <v>12169.932700000001</v>
      </c>
      <c r="G105" s="110">
        <f>'2013 Solar Actuals'!Q80*1000000</f>
        <v>12929.093101826002</v>
      </c>
      <c r="H105" s="129"/>
      <c r="I105" s="129"/>
      <c r="J105" s="43"/>
      <c r="K105" s="55"/>
      <c r="M105" s="147">
        <f>F105/N100</f>
        <v>2433.9865400000003</v>
      </c>
      <c r="N105" s="148">
        <f>G105/N100</f>
        <v>2585.8186203652003</v>
      </c>
    </row>
    <row r="106" spans="1:15" s="5" customFormat="1" ht="13.5" thickBot="1">
      <c r="A106" s="43"/>
      <c r="B106" s="43"/>
      <c r="C106" s="43"/>
      <c r="D106" s="43"/>
      <c r="E106" s="94"/>
      <c r="F106" s="95"/>
      <c r="G106" s="297"/>
      <c r="H106" s="97"/>
      <c r="I106" s="43"/>
      <c r="J106" s="43"/>
      <c r="K106" s="55"/>
      <c r="N106" s="133"/>
    </row>
    <row r="107" spans="1:15" s="5" customFormat="1" ht="13.5" thickBot="1">
      <c r="A107" s="53">
        <v>2013</v>
      </c>
      <c r="B107" s="89"/>
      <c r="C107" s="14"/>
      <c r="D107" s="90"/>
      <c r="E107" s="43"/>
      <c r="F107" s="44"/>
      <c r="G107" s="293"/>
      <c r="H107" s="43"/>
      <c r="I107" s="43"/>
      <c r="J107" s="43"/>
      <c r="K107" s="55"/>
      <c r="M107" t="s">
        <v>88</v>
      </c>
      <c r="N107" s="6">
        <v>2</v>
      </c>
    </row>
    <row r="108" spans="1:15" s="5" customFormat="1" ht="13.5" thickBot="1">
      <c r="A108" s="19" t="s">
        <v>37</v>
      </c>
      <c r="B108" s="20"/>
      <c r="C108" s="21"/>
      <c r="D108" s="102">
        <f>+D109*1000/F93</f>
        <v>18043.944285714289</v>
      </c>
      <c r="E108" s="42"/>
      <c r="F108" s="44"/>
      <c r="G108" s="298"/>
      <c r="H108" s="43"/>
      <c r="I108" s="43"/>
      <c r="J108" s="43"/>
      <c r="K108" s="55"/>
      <c r="M108" s="149" t="s">
        <v>33</v>
      </c>
      <c r="N108" s="150"/>
    </row>
    <row r="109" spans="1:15" s="5" customFormat="1" ht="13.5" thickBot="1">
      <c r="A109" s="26" t="s">
        <v>35</v>
      </c>
      <c r="B109" s="27"/>
      <c r="C109" s="28"/>
      <c r="D109" s="123">
        <f>'ECCR Cost'!C14/1000</f>
        <v>126.30761000000001</v>
      </c>
      <c r="E109" s="43"/>
      <c r="F109" s="42"/>
      <c r="G109" s="43"/>
      <c r="H109" s="43"/>
      <c r="I109" s="43"/>
      <c r="J109" s="43"/>
      <c r="K109" s="55"/>
      <c r="M109" s="141" t="s">
        <v>17</v>
      </c>
      <c r="N109" s="142" t="s">
        <v>18</v>
      </c>
    </row>
    <row r="110" spans="1:15" s="5" customFormat="1" ht="13.5" thickBot="1">
      <c r="A110" s="33" t="s">
        <v>36</v>
      </c>
      <c r="B110" s="34"/>
      <c r="C110" s="35"/>
      <c r="D110" s="126">
        <f>'NPV 2013'!D32</f>
        <v>-2.765570990432638</v>
      </c>
      <c r="E110" s="43"/>
      <c r="F110" s="44"/>
      <c r="G110" s="43"/>
      <c r="H110" s="43"/>
      <c r="I110" s="43"/>
      <c r="J110" s="43"/>
      <c r="K110" s="55"/>
      <c r="M110" s="143">
        <f>F103/N107</f>
        <v>1.6645000000000001</v>
      </c>
      <c r="N110" s="144">
        <f>G103/N107</f>
        <v>1.7965780750000002</v>
      </c>
    </row>
    <row r="111" spans="1:15" s="5" customFormat="1" ht="12.75">
      <c r="A111" s="43"/>
      <c r="B111" s="43"/>
      <c r="C111" s="43"/>
      <c r="D111" s="43"/>
      <c r="E111" s="43"/>
      <c r="F111" s="44"/>
      <c r="G111" s="43"/>
      <c r="H111" s="43"/>
      <c r="I111" s="99"/>
      <c r="J111" s="43"/>
      <c r="K111" s="55"/>
      <c r="M111" s="145">
        <f>F104/N107</f>
        <v>0.11829999999999999</v>
      </c>
      <c r="N111" s="146">
        <f>G104/N107</f>
        <v>0.127687105</v>
      </c>
    </row>
    <row r="112" spans="1:15" s="5" customFormat="1" ht="15" thickBot="1">
      <c r="A112" s="52" t="s">
        <v>38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55"/>
      <c r="M112" s="147">
        <f>F105/N107</f>
        <v>6084.9663500000006</v>
      </c>
      <c r="N112" s="148">
        <f>G105/N107</f>
        <v>6464.5465509130008</v>
      </c>
    </row>
    <row r="113" spans="1:13" s="5" customFormat="1" ht="14.25">
      <c r="A113" s="52" t="s">
        <v>119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55"/>
    </row>
    <row r="114" spans="1:13" s="5" customFormat="1" ht="12.75">
      <c r="A114" s="43"/>
      <c r="B114" s="43"/>
      <c r="C114" s="43"/>
      <c r="D114" s="43"/>
      <c r="E114" s="43"/>
      <c r="F114" s="44"/>
      <c r="G114" s="43"/>
      <c r="H114" s="43"/>
      <c r="I114" s="43"/>
      <c r="J114" s="43"/>
      <c r="K114" s="55"/>
    </row>
    <row r="115" spans="1:13" s="5" customFormat="1" ht="12.75">
      <c r="A115" s="43" t="str">
        <f>A79</f>
        <v xml:space="preserve">DEMAND-SIDE MANAGEMENT ANNUAL REPORT </v>
      </c>
      <c r="B115" s="43"/>
      <c r="C115" s="46"/>
      <c r="D115" s="43"/>
      <c r="E115" s="43"/>
      <c r="F115" s="44"/>
      <c r="G115" s="43"/>
      <c r="H115" s="43"/>
      <c r="I115" s="45" t="s">
        <v>0</v>
      </c>
      <c r="J115" s="44">
        <f>+J79+1</f>
        <v>21</v>
      </c>
      <c r="K115" s="54"/>
    </row>
    <row r="116" spans="1:13" s="5" customFormat="1" ht="12.75">
      <c r="A116" s="43"/>
      <c r="B116" s="43"/>
      <c r="C116" s="43"/>
      <c r="D116" s="43"/>
      <c r="E116" s="43"/>
      <c r="F116" s="44"/>
      <c r="G116" s="43"/>
      <c r="H116" s="43"/>
      <c r="I116" s="43"/>
      <c r="J116" s="43"/>
      <c r="K116" s="55"/>
    </row>
    <row r="117" spans="1:13" s="5" customFormat="1" ht="12.75">
      <c r="A117" s="43" t="str">
        <f t="shared" ref="A117" si="11">A81</f>
        <v>Utility:</v>
      </c>
      <c r="B117" s="43"/>
      <c r="C117" s="43" t="s">
        <v>20</v>
      </c>
      <c r="D117" s="46"/>
      <c r="E117" s="46"/>
      <c r="F117" s="47"/>
      <c r="G117" s="46"/>
      <c r="H117" s="46"/>
      <c r="I117" s="43"/>
      <c r="J117" s="43"/>
      <c r="K117" s="55"/>
    </row>
    <row r="118" spans="1:13" s="5" customFormat="1" ht="12.75">
      <c r="A118" s="43" t="str">
        <f t="shared" ref="A118" si="12">A82</f>
        <v>Program Name:</v>
      </c>
      <c r="B118" s="46"/>
      <c r="C118" s="48" t="s">
        <v>86</v>
      </c>
      <c r="D118" s="46"/>
      <c r="E118" s="46"/>
      <c r="F118" s="47"/>
      <c r="G118" s="46"/>
      <c r="H118" s="46"/>
      <c r="I118" s="43"/>
      <c r="J118" s="43"/>
      <c r="K118" s="55"/>
    </row>
    <row r="119" spans="1:13" s="5" customFormat="1" ht="12.75">
      <c r="A119" s="43" t="str">
        <f t="shared" ref="A119" si="13">A83</f>
        <v>Program Start Date:</v>
      </c>
      <c r="B119" s="46"/>
      <c r="C119" s="49" t="str">
        <f>C$12</f>
        <v>May 2011</v>
      </c>
      <c r="D119" s="49"/>
      <c r="E119" s="49"/>
      <c r="F119" s="50"/>
      <c r="G119" s="49"/>
      <c r="H119" s="49"/>
      <c r="I119" s="43"/>
      <c r="J119" s="43"/>
      <c r="K119" s="55"/>
    </row>
    <row r="120" spans="1:13" s="5" customFormat="1" ht="12.75">
      <c r="A120" s="43" t="str">
        <f t="shared" ref="A120" si="14">A84</f>
        <v>Reporting Period:</v>
      </c>
      <c r="B120" s="46"/>
      <c r="C120" s="98">
        <v>2013</v>
      </c>
      <c r="D120" s="46"/>
      <c r="E120" s="46"/>
      <c r="F120" s="44"/>
      <c r="G120" s="43"/>
      <c r="H120" s="46"/>
      <c r="I120" s="47"/>
      <c r="J120" s="43"/>
      <c r="K120" s="55"/>
    </row>
    <row r="121" spans="1:13" s="5" customFormat="1" ht="12.75">
      <c r="A121" s="43"/>
      <c r="B121" s="46"/>
      <c r="C121" s="46"/>
      <c r="D121" s="46"/>
      <c r="E121" s="46"/>
      <c r="F121" s="44"/>
      <c r="G121" s="43"/>
      <c r="H121" s="46"/>
      <c r="I121" s="47"/>
      <c r="J121" s="43"/>
      <c r="K121" s="55"/>
    </row>
    <row r="122" spans="1:13" s="5" customFormat="1" ht="12.75">
      <c r="A122" s="44" t="s">
        <v>5</v>
      </c>
      <c r="B122" s="44" t="s">
        <v>6</v>
      </c>
      <c r="C122" s="44" t="s">
        <v>7</v>
      </c>
      <c r="D122" s="44" t="s">
        <v>8</v>
      </c>
      <c r="E122" s="44" t="s">
        <v>9</v>
      </c>
      <c r="F122" s="47" t="s">
        <v>10</v>
      </c>
      <c r="G122" s="47" t="s">
        <v>31</v>
      </c>
      <c r="H122" s="44" t="s">
        <v>11</v>
      </c>
      <c r="I122" s="44" t="s">
        <v>12</v>
      </c>
      <c r="J122" s="43"/>
      <c r="K122" s="55"/>
    </row>
    <row r="123" spans="1:13" s="5" customFormat="1" ht="13.5" thickBot="1">
      <c r="A123" s="44"/>
      <c r="B123" s="44"/>
      <c r="C123" s="44"/>
      <c r="D123" s="44"/>
      <c r="E123" s="44" t="s">
        <v>13</v>
      </c>
      <c r="F123" s="47"/>
      <c r="G123" s="47"/>
      <c r="H123" s="47" t="s">
        <v>14</v>
      </c>
      <c r="I123" s="44" t="s">
        <v>15</v>
      </c>
      <c r="J123" s="43"/>
      <c r="K123" s="55"/>
    </row>
    <row r="124" spans="1:13" s="5" customFormat="1" ht="15.75" thickBot="1">
      <c r="A124" s="7"/>
      <c r="B124" s="8"/>
      <c r="C124" s="9"/>
      <c r="D124" s="403" t="s">
        <v>21</v>
      </c>
      <c r="E124" s="404"/>
      <c r="F124" s="405" t="s">
        <v>22</v>
      </c>
      <c r="G124" s="405"/>
      <c r="H124" s="405"/>
      <c r="I124" s="404"/>
      <c r="J124" s="43"/>
      <c r="K124" s="55"/>
    </row>
    <row r="125" spans="1:13" s="5" customFormat="1" ht="51.75" thickBot="1">
      <c r="A125" s="56" t="s">
        <v>16</v>
      </c>
      <c r="B125" s="57" t="s">
        <v>23</v>
      </c>
      <c r="C125" s="58" t="s">
        <v>24</v>
      </c>
      <c r="D125" s="100" t="s">
        <v>39</v>
      </c>
      <c r="E125" s="58" t="s">
        <v>26</v>
      </c>
      <c r="F125" s="59" t="s">
        <v>27</v>
      </c>
      <c r="G125" s="40" t="s">
        <v>25</v>
      </c>
      <c r="H125" s="60" t="s">
        <v>26</v>
      </c>
      <c r="I125" s="114" t="s">
        <v>61</v>
      </c>
      <c r="J125" s="43"/>
      <c r="K125" s="55"/>
    </row>
    <row r="126" spans="1:13" s="5" customFormat="1" ht="12.75">
      <c r="A126" s="62">
        <v>2010</v>
      </c>
      <c r="B126" s="63">
        <v>4010837.3548591528</v>
      </c>
      <c r="C126" s="64">
        <f>B126</f>
        <v>4010837.3548591528</v>
      </c>
      <c r="D126" s="63">
        <v>0</v>
      </c>
      <c r="E126" s="65">
        <f>+D126/C126</f>
        <v>0</v>
      </c>
      <c r="F126" s="66">
        <v>0</v>
      </c>
      <c r="G126" s="67">
        <f>+F126</f>
        <v>0</v>
      </c>
      <c r="H126" s="68">
        <f>+G126/C126</f>
        <v>0</v>
      </c>
      <c r="I126" s="69">
        <f>+G126-D126</f>
        <v>0</v>
      </c>
      <c r="J126" s="43"/>
      <c r="K126" s="55"/>
    </row>
    <row r="127" spans="1:13" s="5" customFormat="1" ht="12.75">
      <c r="A127" s="70">
        <v>2011</v>
      </c>
      <c r="B127" s="63">
        <v>4056427.5102924532</v>
      </c>
      <c r="C127" s="64">
        <f>B127-D126</f>
        <v>4056427.5102924532</v>
      </c>
      <c r="D127" s="71">
        <f>L127</f>
        <v>340</v>
      </c>
      <c r="E127" s="73">
        <f>+D127/C127</f>
        <v>8.3817595442618241E-5</v>
      </c>
      <c r="F127" s="74">
        <v>271</v>
      </c>
      <c r="G127" s="75">
        <f>+F127</f>
        <v>271</v>
      </c>
      <c r="H127" s="76">
        <f>+G127/C127</f>
        <v>6.6807554014557482E-5</v>
      </c>
      <c r="I127" s="77">
        <f>+G127-D127</f>
        <v>-69</v>
      </c>
      <c r="J127" s="43"/>
      <c r="K127" s="55"/>
      <c r="L127" s="92">
        <v>340</v>
      </c>
      <c r="M127" s="91"/>
    </row>
    <row r="128" spans="1:13" s="5" customFormat="1" ht="12.75">
      <c r="A128" s="70">
        <v>2012</v>
      </c>
      <c r="B128" s="63">
        <v>4141910.0631841868</v>
      </c>
      <c r="C128" s="64">
        <f>B128-D127</f>
        <v>4141570.0631841868</v>
      </c>
      <c r="D128" s="71">
        <f>L128+D127</f>
        <v>680</v>
      </c>
      <c r="E128" s="73">
        <f>+D128/C128</f>
        <v>1.6418894033563489E-4</v>
      </c>
      <c r="F128" s="128">
        <v>225</v>
      </c>
      <c r="G128" s="75">
        <f>+F128+G127</f>
        <v>496</v>
      </c>
      <c r="H128" s="76">
        <f>+G128/C128</f>
        <v>1.1976134471540426E-4</v>
      </c>
      <c r="I128" s="77">
        <f>+G128-D128</f>
        <v>-184</v>
      </c>
      <c r="J128" s="43"/>
      <c r="K128" s="55"/>
      <c r="L128" s="92">
        <v>340</v>
      </c>
      <c r="M128" s="91"/>
    </row>
    <row r="129" spans="1:14" s="5" customFormat="1" ht="12.75">
      <c r="A129" s="70">
        <v>2013</v>
      </c>
      <c r="B129" s="63">
        <v>4226977.7148722634</v>
      </c>
      <c r="C129" s="64">
        <f>B129-D128</f>
        <v>4226297.7148722634</v>
      </c>
      <c r="D129" s="71">
        <f>L129+D128</f>
        <v>1020</v>
      </c>
      <c r="E129" s="73">
        <f>+D129/C129</f>
        <v>2.413459885730811E-4</v>
      </c>
      <c r="F129" s="128">
        <f>'2013 Solar Actuals'!S24</f>
        <v>278</v>
      </c>
      <c r="G129" s="75">
        <f>+F129+G128</f>
        <v>774</v>
      </c>
      <c r="H129" s="76">
        <f>+G129/C129</f>
        <v>1.8313901485839682E-4</v>
      </c>
      <c r="I129" s="77">
        <f>+G129-D129</f>
        <v>-246</v>
      </c>
      <c r="J129" s="43"/>
      <c r="K129" s="55"/>
      <c r="L129" s="92">
        <v>340</v>
      </c>
      <c r="M129" s="91"/>
    </row>
    <row r="130" spans="1:14" s="5" customFormat="1" ht="12.75">
      <c r="A130" s="70">
        <v>2014</v>
      </c>
      <c r="B130" s="63">
        <v>4311222.6681935266</v>
      </c>
      <c r="C130" s="64">
        <f>B130-D129</f>
        <v>4310202.6681935266</v>
      </c>
      <c r="D130" s="71">
        <f>L130+D129</f>
        <v>1360</v>
      </c>
      <c r="E130" s="73">
        <f>+D130/C130</f>
        <v>3.1553040650174281E-4</v>
      </c>
      <c r="F130" s="74"/>
      <c r="G130" s="75"/>
      <c r="H130" s="78"/>
      <c r="I130" s="77"/>
      <c r="J130" s="43"/>
      <c r="K130" s="55"/>
      <c r="L130" s="92">
        <v>340</v>
      </c>
      <c r="M130" s="91"/>
    </row>
    <row r="131" spans="1:14" s="5" customFormat="1" ht="12.75">
      <c r="A131" s="70">
        <v>2015</v>
      </c>
      <c r="B131" s="71"/>
      <c r="C131" s="72"/>
      <c r="D131" s="71"/>
      <c r="E131" s="73"/>
      <c r="F131" s="74"/>
      <c r="G131" s="75"/>
      <c r="H131" s="78"/>
      <c r="I131" s="77"/>
      <c r="J131" s="43"/>
      <c r="K131" s="55"/>
      <c r="L131" s="92"/>
      <c r="M131" s="91"/>
    </row>
    <row r="132" spans="1:14" s="5" customFormat="1" ht="12.75">
      <c r="A132" s="70">
        <v>2016</v>
      </c>
      <c r="B132" s="71"/>
      <c r="C132" s="72"/>
      <c r="D132" s="71"/>
      <c r="E132" s="73"/>
      <c r="F132" s="74"/>
      <c r="G132" s="75"/>
      <c r="H132" s="78"/>
      <c r="I132" s="77"/>
      <c r="J132" s="43"/>
      <c r="K132" s="55"/>
      <c r="L132" s="92"/>
      <c r="M132" s="91"/>
    </row>
    <row r="133" spans="1:14" s="5" customFormat="1" ht="12.75">
      <c r="A133" s="70">
        <v>2017</v>
      </c>
      <c r="B133" s="71"/>
      <c r="C133" s="72"/>
      <c r="D133" s="71"/>
      <c r="E133" s="73"/>
      <c r="F133" s="74"/>
      <c r="G133" s="75"/>
      <c r="H133" s="78"/>
      <c r="I133" s="77"/>
      <c r="J133" s="43"/>
      <c r="K133" s="55"/>
      <c r="L133" s="92"/>
      <c r="M133" s="232"/>
      <c r="N133" s="232"/>
    </row>
    <row r="134" spans="1:14" s="5" customFormat="1" ht="12.75">
      <c r="A134" s="70">
        <v>2018</v>
      </c>
      <c r="B134" s="71"/>
      <c r="C134" s="72"/>
      <c r="D134" s="71"/>
      <c r="E134" s="73"/>
      <c r="F134" s="74"/>
      <c r="G134" s="75"/>
      <c r="H134" s="78"/>
      <c r="I134" s="77"/>
      <c r="J134" s="43"/>
      <c r="K134" s="55"/>
      <c r="L134" s="92"/>
      <c r="M134" s="232"/>
      <c r="N134" s="232"/>
    </row>
    <row r="135" spans="1:14" s="5" customFormat="1" ht="13.5" thickBot="1">
      <c r="A135" s="79">
        <v>2019</v>
      </c>
      <c r="B135" s="36"/>
      <c r="C135" s="37"/>
      <c r="D135" s="36"/>
      <c r="E135" s="80"/>
      <c r="F135" s="81"/>
      <c r="G135" s="82"/>
      <c r="H135" s="83"/>
      <c r="I135" s="84"/>
      <c r="J135" s="43"/>
      <c r="K135" s="55"/>
      <c r="M135" s="232"/>
      <c r="N135" s="232"/>
    </row>
    <row r="136" spans="1:14" s="5" customFormat="1" ht="13.5" thickBot="1">
      <c r="A136" s="43"/>
      <c r="B136" s="44"/>
      <c r="C136" s="93"/>
      <c r="D136" s="44"/>
      <c r="E136" s="43"/>
      <c r="F136" s="44"/>
      <c r="G136" s="43"/>
      <c r="H136" s="43"/>
      <c r="I136" s="43"/>
      <c r="J136" s="43"/>
      <c r="K136" s="55"/>
    </row>
    <row r="137" spans="1:14" s="5" customFormat="1" ht="13.5" thickBot="1">
      <c r="A137" s="11"/>
      <c r="B137" s="12"/>
      <c r="C137" s="13"/>
      <c r="D137" s="408" t="s">
        <v>33</v>
      </c>
      <c r="E137" s="407"/>
      <c r="F137" s="408" t="s">
        <v>34</v>
      </c>
      <c r="G137" s="407"/>
      <c r="H137" s="43"/>
      <c r="I137" s="43"/>
      <c r="J137" s="43"/>
      <c r="K137" s="55"/>
    </row>
    <row r="138" spans="1:14" s="5" customFormat="1" ht="13.5" thickBot="1">
      <c r="A138" s="41">
        <v>2013</v>
      </c>
      <c r="B138" s="15"/>
      <c r="C138" s="16"/>
      <c r="D138" s="17" t="s">
        <v>17</v>
      </c>
      <c r="E138" s="18" t="s">
        <v>18</v>
      </c>
      <c r="F138" s="17" t="s">
        <v>17</v>
      </c>
      <c r="G138" s="18" t="s">
        <v>18</v>
      </c>
      <c r="H138" s="43"/>
      <c r="I138" s="43"/>
      <c r="J138" s="43"/>
      <c r="K138" s="55"/>
    </row>
    <row r="139" spans="1:14" s="5" customFormat="1" ht="12.75">
      <c r="A139" s="85" t="s">
        <v>29</v>
      </c>
      <c r="B139" s="20"/>
      <c r="C139" s="21"/>
      <c r="D139" s="101">
        <f>+F139/F129</f>
        <v>3.4392111510791361</v>
      </c>
      <c r="E139" s="23">
        <f>+G139/F129</f>
        <v>3.7121125559172667</v>
      </c>
      <c r="F139" s="24">
        <f>'2013 Solar Actuals'!Q25</f>
        <v>956.10069999999985</v>
      </c>
      <c r="G139" s="25">
        <f>'2013 Solar Actuals'!Q73</f>
        <v>1031.9672905450002</v>
      </c>
      <c r="H139" s="129"/>
      <c r="I139" s="129"/>
      <c r="J139" s="43"/>
      <c r="K139" s="55"/>
    </row>
    <row r="140" spans="1:14" s="5" customFormat="1" ht="12.75">
      <c r="A140" s="86" t="s">
        <v>30</v>
      </c>
      <c r="B140" s="27"/>
      <c r="C140" s="28"/>
      <c r="D140" s="29">
        <f>+F140/F129</f>
        <v>0.10216402877697843</v>
      </c>
      <c r="E140" s="30">
        <f>+G140/F129</f>
        <v>0.11027074446043167</v>
      </c>
      <c r="F140" s="31">
        <f>'2013 Solar Actuals'!Q27</f>
        <v>28.401600000000002</v>
      </c>
      <c r="G140" s="32">
        <f>'2013 Solar Actuals'!Q75</f>
        <v>30.655266960000006</v>
      </c>
      <c r="H140" s="129"/>
      <c r="I140" s="129"/>
      <c r="J140" s="43"/>
      <c r="K140" s="55"/>
    </row>
    <row r="141" spans="1:14" s="5" customFormat="1" ht="13.5" thickBot="1">
      <c r="A141" s="87" t="s">
        <v>32</v>
      </c>
      <c r="B141" s="34"/>
      <c r="C141" s="35"/>
      <c r="D141" s="36">
        <f>+F141/F129</f>
        <v>10869.286258992806</v>
      </c>
      <c r="E141" s="37">
        <f>+G141/F129</f>
        <v>11547.312335828778</v>
      </c>
      <c r="F141" s="109">
        <f>'2013 Solar Actuals'!Q26*1000000</f>
        <v>3021661.58</v>
      </c>
      <c r="G141" s="110">
        <f>'2013 Solar Actuals'!Q74*1000000</f>
        <v>3210152.8293604003</v>
      </c>
      <c r="H141" s="129"/>
      <c r="I141" s="129"/>
      <c r="J141" s="43"/>
      <c r="K141" s="55"/>
    </row>
    <row r="142" spans="1:14" s="5" customFormat="1" ht="13.5" thickBot="1">
      <c r="A142" s="43"/>
      <c r="B142" s="43"/>
      <c r="C142" s="43"/>
      <c r="D142" s="43"/>
      <c r="E142" s="94"/>
      <c r="F142" s="95"/>
      <c r="G142" s="96"/>
      <c r="H142" s="97"/>
      <c r="I142" s="43"/>
      <c r="J142" s="43"/>
      <c r="K142" s="55"/>
    </row>
    <row r="143" spans="1:14" s="5" customFormat="1" ht="13.5" thickBot="1">
      <c r="A143" s="53">
        <v>2013</v>
      </c>
      <c r="B143" s="89"/>
      <c r="C143" s="14"/>
      <c r="D143" s="90"/>
      <c r="E143" s="43"/>
      <c r="F143" s="111"/>
      <c r="G143" s="112"/>
      <c r="H143" s="43"/>
      <c r="I143" s="43"/>
      <c r="J143" s="43"/>
      <c r="K143" s="55"/>
    </row>
    <row r="144" spans="1:14" s="5" customFormat="1" ht="12.75">
      <c r="A144" s="19" t="s">
        <v>37</v>
      </c>
      <c r="B144" s="20"/>
      <c r="C144" s="21"/>
      <c r="D144" s="102">
        <f>+D145*1000/F129</f>
        <v>15874.01226618705</v>
      </c>
      <c r="E144" s="42"/>
      <c r="F144" s="44"/>
      <c r="G144" s="42"/>
      <c r="H144" s="43"/>
      <c r="I144" s="43"/>
      <c r="J144" s="43"/>
      <c r="K144" s="55"/>
    </row>
    <row r="145" spans="1:11" s="5" customFormat="1" ht="12.75">
      <c r="A145" s="26" t="s">
        <v>35</v>
      </c>
      <c r="B145" s="27"/>
      <c r="C145" s="28"/>
      <c r="D145" s="123">
        <f>'ECCR Cost'!C13/1000</f>
        <v>4412.97541</v>
      </c>
      <c r="E145" s="43"/>
      <c r="F145" s="44"/>
      <c r="G145" s="43"/>
      <c r="H145" s="43"/>
      <c r="I145" s="43"/>
      <c r="J145" s="43"/>
      <c r="K145" s="55"/>
    </row>
    <row r="146" spans="1:11" s="5" customFormat="1" ht="13.5" thickBot="1">
      <c r="A146" s="33" t="s">
        <v>36</v>
      </c>
      <c r="B146" s="34"/>
      <c r="C146" s="35"/>
      <c r="D146" s="130">
        <f>'NPV 2013'!E32</f>
        <v>-155.6699267795434</v>
      </c>
      <c r="E146" s="43"/>
      <c r="F146" s="44"/>
      <c r="G146" s="43"/>
      <c r="H146" s="43"/>
      <c r="I146" s="43"/>
      <c r="J146" s="43"/>
      <c r="K146" s="55"/>
    </row>
    <row r="147" spans="1:11" s="5" customFormat="1" ht="12.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55"/>
    </row>
    <row r="148" spans="1:11" s="5" customFormat="1" ht="14.25">
      <c r="A148" s="52" t="s">
        <v>38</v>
      </c>
      <c r="B148" s="43"/>
      <c r="C148" s="43"/>
      <c r="D148" s="43"/>
      <c r="E148" s="43"/>
      <c r="F148" s="44"/>
      <c r="G148" s="43"/>
      <c r="H148" s="43"/>
      <c r="I148" s="43"/>
      <c r="J148" s="43"/>
      <c r="K148" s="55"/>
    </row>
    <row r="149" spans="1:11" s="5" customFormat="1" ht="14.25">
      <c r="A149" s="52"/>
      <c r="B149" s="43"/>
      <c r="C149" s="43"/>
      <c r="D149" s="43"/>
      <c r="E149" s="43"/>
      <c r="F149" s="44"/>
      <c r="G149" s="43"/>
      <c r="H149" s="43"/>
      <c r="I149" s="43"/>
      <c r="J149" s="43"/>
      <c r="K149" s="55"/>
    </row>
    <row r="150" spans="1:11" s="5" customFormat="1" ht="12.75">
      <c r="A150" s="43" t="s">
        <v>28</v>
      </c>
      <c r="B150" s="43"/>
      <c r="C150" s="46"/>
      <c r="D150" s="43"/>
      <c r="E150" s="43"/>
      <c r="F150" s="44"/>
      <c r="G150" s="43"/>
      <c r="H150" s="43"/>
      <c r="I150" s="45" t="s">
        <v>0</v>
      </c>
      <c r="J150" s="44">
        <f>+J115+1</f>
        <v>22</v>
      </c>
      <c r="K150" s="54"/>
    </row>
    <row r="151" spans="1:11" s="5" customFormat="1" ht="12.75">
      <c r="A151" s="43"/>
      <c r="B151" s="43"/>
      <c r="C151" s="43"/>
      <c r="D151" s="43"/>
      <c r="E151" s="43"/>
      <c r="F151" s="44"/>
      <c r="G151" s="43"/>
      <c r="H151" s="43"/>
      <c r="I151" s="43"/>
      <c r="J151" s="43"/>
      <c r="K151" s="55"/>
    </row>
    <row r="152" spans="1:11" s="5" customFormat="1" ht="12.75">
      <c r="A152" s="43" t="s">
        <v>1</v>
      </c>
      <c r="B152" s="43"/>
      <c r="C152" s="43" t="s">
        <v>20</v>
      </c>
      <c r="D152" s="46"/>
      <c r="E152" s="46"/>
      <c r="F152" s="47"/>
      <c r="G152" s="46"/>
      <c r="H152" s="46"/>
      <c r="I152" s="43"/>
      <c r="J152" s="43"/>
      <c r="K152" s="55"/>
    </row>
    <row r="153" spans="1:11" s="5" customFormat="1" ht="12.75">
      <c r="A153" s="43" t="s">
        <v>2</v>
      </c>
      <c r="B153" s="46"/>
      <c r="C153" s="48" t="s">
        <v>83</v>
      </c>
      <c r="D153" s="46"/>
      <c r="E153" s="46"/>
      <c r="F153" s="47"/>
      <c r="G153" s="46"/>
      <c r="H153" s="46"/>
      <c r="I153" s="43"/>
      <c r="J153" s="43"/>
      <c r="K153" s="55"/>
    </row>
    <row r="154" spans="1:11" s="5" customFormat="1" ht="12.75">
      <c r="A154" s="43" t="s">
        <v>3</v>
      </c>
      <c r="B154" s="46"/>
      <c r="C154" s="49" t="str">
        <f>C$12</f>
        <v>May 2011</v>
      </c>
      <c r="D154" s="49"/>
      <c r="E154" s="49"/>
      <c r="F154" s="50"/>
      <c r="G154" s="49"/>
      <c r="H154" s="49"/>
      <c r="I154" s="43"/>
      <c r="J154" s="43"/>
      <c r="K154" s="55"/>
    </row>
    <row r="155" spans="1:11" s="5" customFormat="1" ht="12.75">
      <c r="A155" s="43" t="s">
        <v>4</v>
      </c>
      <c r="B155" s="46"/>
      <c r="C155" s="98">
        <v>2013</v>
      </c>
      <c r="D155" s="46"/>
      <c r="E155" s="46"/>
      <c r="F155" s="44"/>
      <c r="G155" s="43"/>
      <c r="H155" s="46"/>
      <c r="I155" s="47"/>
      <c r="J155" s="43"/>
      <c r="K155" s="55"/>
    </row>
    <row r="156" spans="1:11" s="5" customFormat="1" ht="12.75">
      <c r="A156" s="43"/>
      <c r="B156" s="46"/>
      <c r="C156" s="46"/>
      <c r="D156" s="46"/>
      <c r="E156" s="46"/>
      <c r="F156" s="44"/>
      <c r="G156" s="43"/>
      <c r="H156" s="46"/>
      <c r="I156" s="47"/>
      <c r="J156" s="43"/>
      <c r="K156" s="55"/>
    </row>
    <row r="157" spans="1:11" s="5" customFormat="1" ht="12.75">
      <c r="A157" s="44" t="s">
        <v>5</v>
      </c>
      <c r="B157" s="44" t="s">
        <v>6</v>
      </c>
      <c r="C157" s="44" t="s">
        <v>7</v>
      </c>
      <c r="D157" s="44" t="s">
        <v>8</v>
      </c>
      <c r="E157" s="44" t="s">
        <v>9</v>
      </c>
      <c r="F157" s="47" t="s">
        <v>10</v>
      </c>
      <c r="G157" s="47" t="s">
        <v>31</v>
      </c>
      <c r="H157" s="44" t="s">
        <v>11</v>
      </c>
      <c r="I157" s="44" t="s">
        <v>12</v>
      </c>
      <c r="J157" s="43"/>
      <c r="K157" s="55"/>
    </row>
    <row r="158" spans="1:11" s="5" customFormat="1" ht="13.5" thickBot="1">
      <c r="A158" s="44"/>
      <c r="B158" s="44"/>
      <c r="C158" s="44"/>
      <c r="D158" s="44"/>
      <c r="E158" s="44" t="s">
        <v>13</v>
      </c>
      <c r="F158" s="47"/>
      <c r="G158" s="47"/>
      <c r="H158" s="47" t="s">
        <v>14</v>
      </c>
      <c r="I158" s="44" t="s">
        <v>15</v>
      </c>
      <c r="J158" s="43"/>
      <c r="K158" s="55"/>
    </row>
    <row r="159" spans="1:11" s="5" customFormat="1" ht="15.75" thickBot="1">
      <c r="A159" s="7"/>
      <c r="B159" s="8"/>
      <c r="C159" s="9"/>
      <c r="D159" s="403" t="s">
        <v>21</v>
      </c>
      <c r="E159" s="404"/>
      <c r="F159" s="405" t="s">
        <v>22</v>
      </c>
      <c r="G159" s="405"/>
      <c r="H159" s="405"/>
      <c r="I159" s="404"/>
      <c r="J159" s="43"/>
      <c r="K159" s="55"/>
    </row>
    <row r="160" spans="1:11" s="5" customFormat="1" ht="51.75" thickBot="1">
      <c r="A160" s="56" t="s">
        <v>16</v>
      </c>
      <c r="B160" s="57" t="s">
        <v>23</v>
      </c>
      <c r="C160" s="58" t="s">
        <v>24</v>
      </c>
      <c r="D160" s="100" t="s">
        <v>39</v>
      </c>
      <c r="E160" s="58" t="s">
        <v>26</v>
      </c>
      <c r="F160" s="59" t="s">
        <v>27</v>
      </c>
      <c r="G160" s="40" t="s">
        <v>25</v>
      </c>
      <c r="H160" s="60" t="s">
        <v>26</v>
      </c>
      <c r="I160" s="114" t="s">
        <v>61</v>
      </c>
      <c r="J160" s="43"/>
      <c r="K160" s="55"/>
    </row>
    <row r="161" spans="1:13" s="5" customFormat="1" ht="12.75">
      <c r="A161" s="62">
        <v>2010</v>
      </c>
      <c r="B161" s="63">
        <v>534490.00855934958</v>
      </c>
      <c r="C161" s="103">
        <f>B161</f>
        <v>534490.00855934958</v>
      </c>
      <c r="D161" s="63">
        <v>0</v>
      </c>
      <c r="E161" s="65">
        <f>+D161/C161</f>
        <v>0</v>
      </c>
      <c r="F161" s="66">
        <v>0</v>
      </c>
      <c r="G161" s="67">
        <f>+F161</f>
        <v>0</v>
      </c>
      <c r="H161" s="68">
        <f>+G161/C161</f>
        <v>0</v>
      </c>
      <c r="I161" s="69">
        <f>+G161-D161</f>
        <v>0</v>
      </c>
      <c r="J161" s="43"/>
      <c r="K161" s="55"/>
      <c r="L161" s="61"/>
      <c r="M161" s="91"/>
    </row>
    <row r="162" spans="1:13" s="5" customFormat="1" ht="12.75">
      <c r="A162" s="70">
        <v>2011</v>
      </c>
      <c r="B162" s="63">
        <v>547696.76814248285</v>
      </c>
      <c r="C162" s="103">
        <f>B162-D161</f>
        <v>547696.76814248285</v>
      </c>
      <c r="D162" s="71">
        <f>L162</f>
        <v>63.443218553037099</v>
      </c>
      <c r="E162" s="73">
        <f>+D162/C162</f>
        <v>1.158363938648117E-4</v>
      </c>
      <c r="F162" s="74">
        <v>31</v>
      </c>
      <c r="G162" s="75">
        <f>+F162</f>
        <v>31</v>
      </c>
      <c r="H162" s="76">
        <f>+G162/C162</f>
        <v>5.6600662635159783E-5</v>
      </c>
      <c r="I162" s="77">
        <f>+G162-D162</f>
        <v>-32.443218553037099</v>
      </c>
      <c r="J162" s="43"/>
      <c r="K162" s="55"/>
      <c r="L162" s="61">
        <v>63.443218553037099</v>
      </c>
      <c r="M162" s="91"/>
    </row>
    <row r="163" spans="1:13" s="5" customFormat="1" ht="12.75">
      <c r="A163" s="70">
        <v>2012</v>
      </c>
      <c r="B163" s="63">
        <v>561575.9303068415</v>
      </c>
      <c r="C163" s="103">
        <f>B163-D162</f>
        <v>561512.48708828841</v>
      </c>
      <c r="D163" s="71">
        <f>L163+D162</f>
        <v>129.88689462524832</v>
      </c>
      <c r="E163" s="73">
        <f>+D163/C163</f>
        <v>2.3131612851349782E-4</v>
      </c>
      <c r="F163" s="128">
        <v>66</v>
      </c>
      <c r="G163" s="75">
        <f>+F163+G162</f>
        <v>97</v>
      </c>
      <c r="H163" s="76">
        <f>+G163/C163</f>
        <v>1.7274771662334978E-4</v>
      </c>
      <c r="I163" s="77">
        <f>+G163-D163</f>
        <v>-32.886894625248317</v>
      </c>
      <c r="J163" s="43"/>
      <c r="K163" s="55"/>
      <c r="L163" s="61">
        <v>66.443676072211204</v>
      </c>
      <c r="M163" s="91"/>
    </row>
    <row r="164" spans="1:13" s="5" customFormat="1" ht="12.75">
      <c r="A164" s="70">
        <v>2013</v>
      </c>
      <c r="B164" s="63">
        <v>575597.69705652446</v>
      </c>
      <c r="C164" s="103">
        <f>B164-D163</f>
        <v>575467.81016189919</v>
      </c>
      <c r="D164" s="71">
        <f>L164+D163</f>
        <v>201.3755164199676</v>
      </c>
      <c r="E164" s="73">
        <f>+D164/C164</f>
        <v>3.4993358944493115E-4</v>
      </c>
      <c r="F164" s="128">
        <f>'2013 Solar Actuals'!S37</f>
        <v>56</v>
      </c>
      <c r="G164" s="75">
        <f>+F164+G163</f>
        <v>153</v>
      </c>
      <c r="H164" s="76">
        <f>+G164/C164</f>
        <v>2.6587064871092572E-4</v>
      </c>
      <c r="I164" s="77">
        <f>+G164-D164</f>
        <v>-48.375516419967596</v>
      </c>
      <c r="J164" s="43"/>
      <c r="K164" s="55"/>
      <c r="L164" s="61">
        <v>71.488621794719293</v>
      </c>
      <c r="M164" s="91"/>
    </row>
    <row r="165" spans="1:13" s="5" customFormat="1" ht="12.75">
      <c r="A165" s="70">
        <v>2014</v>
      </c>
      <c r="B165" s="63">
        <v>590087.02019112988</v>
      </c>
      <c r="C165" s="103">
        <f>B165-D164</f>
        <v>589885.64467470988</v>
      </c>
      <c r="D165" s="71">
        <f>L165+D164</f>
        <v>280.70928553452268</v>
      </c>
      <c r="E165" s="73">
        <f>+D165/C165</f>
        <v>4.758706845448302E-4</v>
      </c>
      <c r="F165" s="74"/>
      <c r="G165" s="75"/>
      <c r="H165" s="78"/>
      <c r="I165" s="77"/>
      <c r="J165" s="43"/>
      <c r="K165" s="55"/>
      <c r="L165" s="61">
        <v>79.333769114555054</v>
      </c>
      <c r="M165" s="91"/>
    </row>
    <row r="166" spans="1:13" s="5" customFormat="1" ht="12.75">
      <c r="A166" s="70">
        <v>2015</v>
      </c>
      <c r="B166" s="71"/>
      <c r="C166" s="72"/>
      <c r="D166" s="71"/>
      <c r="E166" s="73"/>
      <c r="F166" s="74"/>
      <c r="G166" s="75"/>
      <c r="H166" s="78"/>
      <c r="I166" s="77"/>
      <c r="J166" s="43"/>
      <c r="K166" s="55"/>
      <c r="M166" s="91"/>
    </row>
    <row r="167" spans="1:13" s="5" customFormat="1" ht="12.75">
      <c r="A167" s="70">
        <v>2016</v>
      </c>
      <c r="B167" s="71"/>
      <c r="C167" s="72"/>
      <c r="D167" s="71"/>
      <c r="E167" s="73"/>
      <c r="F167" s="74"/>
      <c r="G167" s="75"/>
      <c r="H167" s="78"/>
      <c r="I167" s="77"/>
      <c r="J167" s="43"/>
      <c r="K167" s="55"/>
      <c r="M167" s="91"/>
    </row>
    <row r="168" spans="1:13" s="5" customFormat="1" ht="12.75">
      <c r="A168" s="70">
        <v>2017</v>
      </c>
      <c r="B168" s="71"/>
      <c r="C168" s="72"/>
      <c r="D168" s="71"/>
      <c r="E168" s="73"/>
      <c r="F168" s="74"/>
      <c r="G168" s="75"/>
      <c r="H168" s="78"/>
      <c r="I168" s="77"/>
      <c r="J168" s="43"/>
      <c r="K168" s="55"/>
    </row>
    <row r="169" spans="1:13" s="5" customFormat="1" ht="12.75">
      <c r="A169" s="70">
        <v>2018</v>
      </c>
      <c r="B169" s="71"/>
      <c r="C169" s="72"/>
      <c r="D169" s="71"/>
      <c r="E169" s="73"/>
      <c r="F169" s="74"/>
      <c r="G169" s="75"/>
      <c r="H169" s="78"/>
      <c r="I169" s="77"/>
      <c r="J169" s="43"/>
      <c r="K169" s="55"/>
    </row>
    <row r="170" spans="1:13" s="5" customFormat="1" ht="13.5" thickBot="1">
      <c r="A170" s="79">
        <v>2019</v>
      </c>
      <c r="B170" s="36"/>
      <c r="C170" s="37"/>
      <c r="D170" s="36"/>
      <c r="E170" s="80"/>
      <c r="F170" s="81"/>
      <c r="G170" s="82"/>
      <c r="H170" s="83"/>
      <c r="I170" s="84"/>
      <c r="J170" s="43"/>
      <c r="K170" s="55"/>
    </row>
    <row r="171" spans="1:13" s="5" customFormat="1" ht="13.5" thickBot="1">
      <c r="A171" s="43"/>
      <c r="B171" s="44"/>
      <c r="C171" s="93"/>
      <c r="D171" s="44"/>
      <c r="E171" s="43"/>
      <c r="F171" s="44"/>
      <c r="G171" s="43"/>
      <c r="H171" s="43"/>
      <c r="I171" s="43"/>
      <c r="J171" s="43"/>
      <c r="K171" s="55"/>
    </row>
    <row r="172" spans="1:13" s="5" customFormat="1" ht="13.5" thickBot="1">
      <c r="A172" s="11"/>
      <c r="B172" s="12"/>
      <c r="C172" s="13"/>
      <c r="D172" s="408" t="s">
        <v>33</v>
      </c>
      <c r="E172" s="407"/>
      <c r="F172" s="408" t="s">
        <v>34</v>
      </c>
      <c r="G172" s="407"/>
      <c r="H172" s="43"/>
      <c r="I172" s="43"/>
      <c r="J172" s="43"/>
      <c r="K172" s="55"/>
    </row>
    <row r="173" spans="1:13" s="5" customFormat="1" ht="13.5" thickBot="1">
      <c r="A173" s="41">
        <v>2013</v>
      </c>
      <c r="B173" s="15"/>
      <c r="C173" s="16"/>
      <c r="D173" s="17" t="s">
        <v>17</v>
      </c>
      <c r="E173" s="18" t="s">
        <v>18</v>
      </c>
      <c r="F173" s="17" t="s">
        <v>17</v>
      </c>
      <c r="G173" s="18" t="s">
        <v>18</v>
      </c>
      <c r="H173" s="43"/>
      <c r="I173" s="43"/>
      <c r="J173" s="43"/>
      <c r="K173" s="55"/>
    </row>
    <row r="174" spans="1:13" s="5" customFormat="1" ht="12.75">
      <c r="A174" s="85" t="s">
        <v>29</v>
      </c>
      <c r="B174" s="20"/>
      <c r="C174" s="21"/>
      <c r="D174" s="101">
        <f>+F174/F164</f>
        <v>19.039591071428571</v>
      </c>
      <c r="E174" s="23">
        <f>+G174/F164</f>
        <v>20.550382622946426</v>
      </c>
      <c r="F174" s="24">
        <f>'2013 Solar Actuals'!Q38</f>
        <v>1066.2171000000001</v>
      </c>
      <c r="G174" s="25">
        <f>'2013 Solar Actuals'!Q86</f>
        <v>1150.8214268849999</v>
      </c>
      <c r="H174" s="129"/>
      <c r="I174" s="129"/>
      <c r="J174" s="43"/>
      <c r="K174" s="55"/>
    </row>
    <row r="175" spans="1:13" s="5" customFormat="1" ht="12.75">
      <c r="A175" s="86" t="s">
        <v>30</v>
      </c>
      <c r="B175" s="27"/>
      <c r="C175" s="28"/>
      <c r="D175" s="29">
        <f>+F175/F164</f>
        <v>0.5655446428571429</v>
      </c>
      <c r="E175" s="30">
        <f>+G175/F164</f>
        <v>0.61042061026785721</v>
      </c>
      <c r="F175" s="31">
        <f>'2013 Solar Actuals'!Q40</f>
        <v>31.670500000000001</v>
      </c>
      <c r="G175" s="32">
        <f>'2013 Solar Actuals'!Q88</f>
        <v>34.183554175000005</v>
      </c>
      <c r="H175" s="129"/>
      <c r="I175" s="129"/>
      <c r="J175" s="43"/>
      <c r="K175" s="55"/>
    </row>
    <row r="176" spans="1:13" s="5" customFormat="1" ht="13.5" thickBot="1">
      <c r="A176" s="87" t="s">
        <v>32</v>
      </c>
      <c r="B176" s="34"/>
      <c r="C176" s="35"/>
      <c r="D176" s="36">
        <f>+F176/F164</f>
        <v>60172.714999999982</v>
      </c>
      <c r="E176" s="37">
        <f>+G176/F164</f>
        <v>63926.288961700011</v>
      </c>
      <c r="F176" s="109">
        <f>'2013 Solar Actuals'!Q39*1000000</f>
        <v>3369672.0399999991</v>
      </c>
      <c r="G176" s="110">
        <f>'2013 Solar Actuals'!Q87*1000000</f>
        <v>3579872.1818552008</v>
      </c>
      <c r="H176" s="129"/>
      <c r="I176" s="129"/>
      <c r="J176" s="43"/>
      <c r="K176" s="55"/>
    </row>
    <row r="177" spans="1:15" s="5" customFormat="1" ht="13.5" thickBot="1">
      <c r="A177" s="43"/>
      <c r="B177" s="43"/>
      <c r="C177" s="43"/>
      <c r="D177" s="43"/>
      <c r="E177" s="94"/>
      <c r="F177" s="95"/>
      <c r="G177" s="96"/>
      <c r="I177" s="43"/>
      <c r="J177" s="43"/>
      <c r="K177" s="55"/>
    </row>
    <row r="178" spans="1:15" s="5" customFormat="1" ht="13.5" thickBot="1">
      <c r="A178" s="53">
        <v>2013</v>
      </c>
      <c r="B178" s="89"/>
      <c r="C178" s="14"/>
      <c r="D178" s="90"/>
      <c r="E178" s="43"/>
      <c r="F178" s="113"/>
      <c r="G178" s="43"/>
      <c r="H178" s="43"/>
      <c r="I178" s="43"/>
      <c r="J178" s="43"/>
      <c r="K178" s="55"/>
    </row>
    <row r="179" spans="1:15" s="5" customFormat="1" ht="12.75">
      <c r="A179" s="19" t="s">
        <v>37</v>
      </c>
      <c r="B179" s="20"/>
      <c r="C179" s="21"/>
      <c r="D179" s="102">
        <f>+D180*1000/F164</f>
        <v>34802.759642857141</v>
      </c>
      <c r="E179" s="42"/>
      <c r="F179" s="44"/>
      <c r="G179" s="298"/>
      <c r="H179" s="43"/>
      <c r="I179" s="43"/>
      <c r="J179" s="43"/>
      <c r="K179" s="55"/>
    </row>
    <row r="180" spans="1:15" s="5" customFormat="1" ht="12.75">
      <c r="A180" s="26" t="s">
        <v>35</v>
      </c>
      <c r="B180" s="27"/>
      <c r="C180" s="28"/>
      <c r="D180" s="123">
        <f>'ECCR Cost'!C15/1000</f>
        <v>1948.9545399999997</v>
      </c>
      <c r="E180" s="43"/>
      <c r="F180" s="44"/>
      <c r="G180" s="43"/>
      <c r="H180" s="43"/>
      <c r="I180" s="43"/>
      <c r="J180" s="43"/>
      <c r="K180" s="55"/>
    </row>
    <row r="181" spans="1:15" s="5" customFormat="1" ht="13.5" thickBot="1">
      <c r="A181" s="33" t="s">
        <v>36</v>
      </c>
      <c r="B181" s="34"/>
      <c r="C181" s="35"/>
      <c r="D181" s="126">
        <f>'NPV 2013'!F32</f>
        <v>-84.306992410628197</v>
      </c>
      <c r="E181" s="43"/>
      <c r="F181" s="44"/>
      <c r="G181" s="43"/>
      <c r="H181" s="43"/>
      <c r="I181" s="43"/>
      <c r="J181" s="43"/>
      <c r="K181" s="55"/>
    </row>
    <row r="182" spans="1:15" s="5" customFormat="1" ht="12.75">
      <c r="A182" s="43"/>
      <c r="B182" s="43"/>
      <c r="C182" s="43"/>
      <c r="D182" s="43"/>
      <c r="E182" s="43"/>
      <c r="F182" s="44"/>
      <c r="G182" s="43"/>
      <c r="H182" s="43"/>
      <c r="I182" s="99"/>
      <c r="J182" s="43"/>
      <c r="K182" s="55"/>
    </row>
    <row r="183" spans="1:15" s="5" customFormat="1" ht="14.25">
      <c r="A183" s="52" t="s">
        <v>38</v>
      </c>
      <c r="B183" s="43"/>
      <c r="C183" s="43"/>
      <c r="D183" s="43"/>
      <c r="E183" s="43"/>
      <c r="F183" s="44"/>
      <c r="G183" s="43"/>
      <c r="H183" s="43"/>
      <c r="I183" s="43"/>
      <c r="J183" s="43"/>
      <c r="K183" s="55"/>
    </row>
    <row r="184" spans="1:15" s="5" customFormat="1" ht="12.75">
      <c r="A184" s="46"/>
      <c r="B184" s="43"/>
      <c r="C184" s="43"/>
      <c r="D184" s="43"/>
      <c r="E184" s="43"/>
      <c r="F184" s="44"/>
      <c r="G184" s="43"/>
      <c r="H184" s="43"/>
      <c r="I184" s="43"/>
      <c r="J184" s="43"/>
      <c r="K184" s="55"/>
    </row>
    <row r="185" spans="1:15" s="5" customFormat="1" ht="12.75">
      <c r="A185" s="46"/>
      <c r="B185" s="43"/>
      <c r="C185" s="43"/>
      <c r="D185" s="43"/>
      <c r="E185" s="43"/>
      <c r="F185" s="44"/>
      <c r="G185" s="43"/>
      <c r="H185" s="43"/>
      <c r="I185" s="43"/>
      <c r="J185" s="43"/>
      <c r="K185" s="55"/>
    </row>
    <row r="186" spans="1:15" s="5" customFormat="1" ht="12.75">
      <c r="A186" s="43" t="s">
        <v>28</v>
      </c>
      <c r="B186" s="43"/>
      <c r="C186" s="46"/>
      <c r="D186" s="43"/>
      <c r="E186" s="43"/>
      <c r="F186" s="44"/>
      <c r="G186" s="43"/>
      <c r="H186" s="43"/>
      <c r="I186" s="45" t="s">
        <v>0</v>
      </c>
      <c r="J186" s="44">
        <f>+J150+1</f>
        <v>23</v>
      </c>
      <c r="K186" s="54"/>
    </row>
    <row r="187" spans="1:15" s="5" customFormat="1" ht="12.75">
      <c r="A187" s="43"/>
      <c r="B187" s="43"/>
      <c r="C187" s="43"/>
      <c r="D187" s="43"/>
      <c r="E187" s="43"/>
      <c r="F187" s="44"/>
      <c r="G187" s="43"/>
      <c r="H187" s="43"/>
      <c r="I187" s="43"/>
      <c r="J187" s="43"/>
      <c r="K187" s="55"/>
      <c r="O187" s="105"/>
    </row>
    <row r="188" spans="1:15" s="5" customFormat="1" ht="12.75">
      <c r="A188" s="43" t="s">
        <v>1</v>
      </c>
      <c r="B188" s="43"/>
      <c r="C188" s="43" t="s">
        <v>20</v>
      </c>
      <c r="D188" s="46"/>
      <c r="E188" s="46"/>
      <c r="F188" s="47"/>
      <c r="G188" s="46"/>
      <c r="H188" s="46"/>
      <c r="I188" s="43"/>
      <c r="J188" s="43"/>
      <c r="K188" s="55"/>
    </row>
    <row r="189" spans="1:15" s="5" customFormat="1" ht="12.75">
      <c r="A189" s="43" t="s">
        <v>2</v>
      </c>
      <c r="B189" s="46"/>
      <c r="C189" s="48" t="s">
        <v>99</v>
      </c>
      <c r="D189" s="46"/>
      <c r="E189" s="46"/>
      <c r="F189" s="47"/>
      <c r="G189" s="46"/>
      <c r="H189" s="46"/>
      <c r="I189" s="43"/>
      <c r="J189" s="43"/>
      <c r="K189" s="55"/>
    </row>
    <row r="190" spans="1:15" s="5" customFormat="1" ht="12.75">
      <c r="A190" s="43" t="s">
        <v>3</v>
      </c>
      <c r="B190" s="46"/>
      <c r="C190" s="49" t="str">
        <f>C$12</f>
        <v>May 2011</v>
      </c>
      <c r="D190" s="49"/>
      <c r="E190" s="49"/>
      <c r="F190" s="50"/>
      <c r="G190" s="49"/>
      <c r="H190" s="49"/>
      <c r="I190" s="43"/>
      <c r="J190" s="43"/>
      <c r="K190" s="55"/>
    </row>
    <row r="191" spans="1:15" s="5" customFormat="1" ht="12.75">
      <c r="A191" s="43" t="s">
        <v>4</v>
      </c>
      <c r="B191" s="46"/>
      <c r="C191" s="98">
        <v>2013</v>
      </c>
      <c r="D191" s="46"/>
      <c r="E191" s="46"/>
      <c r="F191" s="44"/>
      <c r="G191" s="43"/>
      <c r="H191" s="46"/>
      <c r="I191" s="47"/>
      <c r="J191" s="43"/>
      <c r="K191" s="55"/>
    </row>
    <row r="192" spans="1:15" s="5" customFormat="1" ht="12.75">
      <c r="A192" s="43"/>
      <c r="B192" s="46"/>
      <c r="C192" s="46"/>
      <c r="D192" s="46"/>
      <c r="E192" s="46"/>
      <c r="F192" s="44"/>
      <c r="G192" s="43"/>
      <c r="H192" s="46"/>
      <c r="I192" s="47"/>
      <c r="J192" s="43"/>
      <c r="K192" s="55"/>
    </row>
    <row r="193" spans="1:13" s="5" customFormat="1" ht="12.75">
      <c r="A193" s="44" t="s">
        <v>5</v>
      </c>
      <c r="B193" s="44" t="s">
        <v>6</v>
      </c>
      <c r="C193" s="44" t="s">
        <v>7</v>
      </c>
      <c r="D193" s="44" t="s">
        <v>8</v>
      </c>
      <c r="E193" s="44" t="s">
        <v>9</v>
      </c>
      <c r="F193" s="47" t="s">
        <v>10</v>
      </c>
      <c r="G193" s="47" t="s">
        <v>31</v>
      </c>
      <c r="H193" s="44" t="s">
        <v>11</v>
      </c>
      <c r="I193" s="44" t="s">
        <v>12</v>
      </c>
      <c r="J193" s="43"/>
      <c r="K193" s="55"/>
    </row>
    <row r="194" spans="1:13" s="5" customFormat="1" ht="13.5" thickBot="1">
      <c r="A194" s="44"/>
      <c r="B194" s="44"/>
      <c r="C194" s="44"/>
      <c r="D194" s="44"/>
      <c r="E194" s="44" t="s">
        <v>13</v>
      </c>
      <c r="F194" s="47"/>
      <c r="G194" s="47"/>
      <c r="H194" s="47" t="s">
        <v>14</v>
      </c>
      <c r="I194" s="44" t="s">
        <v>15</v>
      </c>
      <c r="J194" s="43"/>
      <c r="K194" s="55"/>
    </row>
    <row r="195" spans="1:13" s="5" customFormat="1" ht="15.75" thickBot="1">
      <c r="A195" s="7"/>
      <c r="B195" s="8"/>
      <c r="C195" s="9"/>
      <c r="D195" s="403" t="s">
        <v>21</v>
      </c>
      <c r="E195" s="404"/>
      <c r="F195" s="405" t="s">
        <v>22</v>
      </c>
      <c r="G195" s="405"/>
      <c r="H195" s="405"/>
      <c r="I195" s="404"/>
      <c r="J195" s="43"/>
      <c r="K195" s="55"/>
    </row>
    <row r="196" spans="1:13" s="5" customFormat="1" ht="51.75" thickBot="1">
      <c r="A196" s="56" t="s">
        <v>16</v>
      </c>
      <c r="B196" s="57" t="s">
        <v>23</v>
      </c>
      <c r="C196" s="58" t="s">
        <v>24</v>
      </c>
      <c r="D196" s="100" t="s">
        <v>39</v>
      </c>
      <c r="E196" s="58" t="s">
        <v>26</v>
      </c>
      <c r="F196" s="59" t="s">
        <v>27</v>
      </c>
      <c r="G196" s="40" t="s">
        <v>25</v>
      </c>
      <c r="H196" s="60" t="s">
        <v>26</v>
      </c>
      <c r="I196" s="114" t="s">
        <v>61</v>
      </c>
      <c r="J196" s="43"/>
      <c r="K196" s="55"/>
    </row>
    <row r="197" spans="1:13" s="5" customFormat="1" ht="12.75">
      <c r="A197" s="62">
        <v>2010</v>
      </c>
      <c r="B197" s="63">
        <v>534490.00855934958</v>
      </c>
      <c r="C197" s="103">
        <v>1334</v>
      </c>
      <c r="D197" s="63">
        <v>0</v>
      </c>
      <c r="E197" s="65">
        <f>+D197/C197</f>
        <v>0</v>
      </c>
      <c r="F197" s="66">
        <v>0</v>
      </c>
      <c r="G197" s="67">
        <f>+F197</f>
        <v>0</v>
      </c>
      <c r="H197" s="68">
        <f>+G197/C197</f>
        <v>0</v>
      </c>
      <c r="I197" s="69">
        <f>+G197-D197</f>
        <v>0</v>
      </c>
      <c r="J197" s="43"/>
      <c r="K197" s="55"/>
    </row>
    <row r="198" spans="1:13" s="5" customFormat="1" ht="12.75">
      <c r="A198" s="70">
        <v>2011</v>
      </c>
      <c r="B198" s="63">
        <v>547696.76814248285</v>
      </c>
      <c r="C198" s="104">
        <v>1334</v>
      </c>
      <c r="D198" s="71">
        <f>L198</f>
        <v>18</v>
      </c>
      <c r="E198" s="73">
        <f>+D198/C198</f>
        <v>1.3493253373313344E-2</v>
      </c>
      <c r="F198" s="74">
        <v>0</v>
      </c>
      <c r="G198" s="75">
        <f>+F198</f>
        <v>0</v>
      </c>
      <c r="H198" s="76">
        <f>+G198/C198</f>
        <v>0</v>
      </c>
      <c r="I198" s="77">
        <f>+G198-D198</f>
        <v>-18</v>
      </c>
      <c r="J198" s="43"/>
      <c r="K198" s="55"/>
      <c r="L198" s="116">
        <v>18</v>
      </c>
      <c r="M198" s="91"/>
    </row>
    <row r="199" spans="1:13" s="5" customFormat="1" ht="12.75">
      <c r="A199" s="70">
        <v>2012</v>
      </c>
      <c r="B199" s="63">
        <v>561575.9303068415</v>
      </c>
      <c r="C199" s="104">
        <f>C198-L198</f>
        <v>1316</v>
      </c>
      <c r="D199" s="71">
        <f>L199+D198</f>
        <v>40</v>
      </c>
      <c r="E199" s="73">
        <f>+D199/C199</f>
        <v>3.0395136778115502E-2</v>
      </c>
      <c r="F199" s="74">
        <v>0</v>
      </c>
      <c r="G199" s="75">
        <f>+F199+G198</f>
        <v>0</v>
      </c>
      <c r="H199" s="76">
        <f>+G199/C199</f>
        <v>0</v>
      </c>
      <c r="I199" s="77">
        <f>+G199-D199</f>
        <v>-40</v>
      </c>
      <c r="J199" s="43"/>
      <c r="K199" s="55"/>
      <c r="L199" s="116">
        <v>22</v>
      </c>
      <c r="M199" s="91"/>
    </row>
    <row r="200" spans="1:13" s="5" customFormat="1" ht="12.75">
      <c r="A200" s="70">
        <v>2013</v>
      </c>
      <c r="B200" s="63">
        <v>575597.69705652446</v>
      </c>
      <c r="C200" s="104">
        <f>C199-L199</f>
        <v>1294</v>
      </c>
      <c r="D200" s="71">
        <f>L200+D199</f>
        <v>61</v>
      </c>
      <c r="E200" s="73">
        <f>+D200/C200</f>
        <v>4.714064914992272E-2</v>
      </c>
      <c r="F200" s="74">
        <f>'2013 Solar Actuals'!S43</f>
        <v>29</v>
      </c>
      <c r="G200" s="75">
        <f>+F200+G199</f>
        <v>29</v>
      </c>
      <c r="H200" s="76">
        <f>+G200/C200</f>
        <v>2.241112828438949E-2</v>
      </c>
      <c r="I200" s="77">
        <f>+G200-D200</f>
        <v>-32</v>
      </c>
      <c r="J200" s="43"/>
      <c r="K200" s="55"/>
      <c r="L200" s="116">
        <v>21</v>
      </c>
      <c r="M200" s="91"/>
    </row>
    <row r="201" spans="1:13" s="5" customFormat="1" ht="12.75">
      <c r="A201" s="70">
        <v>2014</v>
      </c>
      <c r="B201" s="63">
        <v>590087.02019112988</v>
      </c>
      <c r="C201" s="104">
        <f>C200-L200</f>
        <v>1273</v>
      </c>
      <c r="D201" s="71">
        <f>L201+D200</f>
        <v>79</v>
      </c>
      <c r="E201" s="73">
        <f>+D201/C201</f>
        <v>6.2058130400628436E-2</v>
      </c>
      <c r="F201" s="74"/>
      <c r="G201" s="75"/>
      <c r="H201" s="78"/>
      <c r="I201" s="77"/>
      <c r="J201" s="43"/>
      <c r="K201" s="55"/>
      <c r="L201" s="116">
        <v>18</v>
      </c>
      <c r="M201" s="91"/>
    </row>
    <row r="202" spans="1:13" s="5" customFormat="1" ht="12.75">
      <c r="A202" s="70">
        <v>2015</v>
      </c>
      <c r="B202" s="71"/>
      <c r="C202" s="104"/>
      <c r="D202" s="71"/>
      <c r="E202" s="73"/>
      <c r="F202" s="74"/>
      <c r="G202" s="75"/>
      <c r="H202" s="78"/>
      <c r="I202" s="77"/>
      <c r="J202" s="43"/>
      <c r="K202" s="55"/>
      <c r="M202" s="91"/>
    </row>
    <row r="203" spans="1:13" s="5" customFormat="1" ht="12.75">
      <c r="A203" s="70">
        <v>2016</v>
      </c>
      <c r="B203" s="71"/>
      <c r="C203" s="72"/>
      <c r="D203" s="71"/>
      <c r="E203" s="73"/>
      <c r="F203" s="74"/>
      <c r="G203" s="75"/>
      <c r="H203" s="78"/>
      <c r="I203" s="77"/>
      <c r="J203" s="43"/>
      <c r="K203" s="55"/>
      <c r="M203" s="91"/>
    </row>
    <row r="204" spans="1:13" s="5" customFormat="1" ht="12.75">
      <c r="A204" s="70">
        <v>2017</v>
      </c>
      <c r="B204" s="71"/>
      <c r="C204" s="72"/>
      <c r="D204" s="71"/>
      <c r="E204" s="73"/>
      <c r="F204" s="74"/>
      <c r="G204" s="75"/>
      <c r="H204" s="78"/>
      <c r="I204" s="77"/>
      <c r="J204" s="43"/>
      <c r="K204" s="55"/>
    </row>
    <row r="205" spans="1:13" s="5" customFormat="1" ht="12.75">
      <c r="A205" s="70">
        <v>2018</v>
      </c>
      <c r="B205" s="71"/>
      <c r="C205" s="72"/>
      <c r="D205" s="71"/>
      <c r="E205" s="73"/>
      <c r="F205" s="74"/>
      <c r="G205" s="75"/>
      <c r="H205" s="78"/>
      <c r="I205" s="77"/>
      <c r="J205" s="43"/>
      <c r="K205" s="55"/>
    </row>
    <row r="206" spans="1:13" s="5" customFormat="1" ht="13.5" thickBot="1">
      <c r="A206" s="79">
        <v>2019</v>
      </c>
      <c r="B206" s="36"/>
      <c r="C206" s="37"/>
      <c r="D206" s="36"/>
      <c r="E206" s="80"/>
      <c r="F206" s="81"/>
      <c r="G206" s="82"/>
      <c r="H206" s="83"/>
      <c r="I206" s="84"/>
      <c r="J206" s="43"/>
      <c r="K206" s="55"/>
    </row>
    <row r="207" spans="1:13" s="5" customFormat="1" ht="13.5" thickBot="1">
      <c r="A207" s="43"/>
      <c r="B207" s="44"/>
      <c r="C207" s="93"/>
      <c r="D207" s="44"/>
      <c r="E207" s="43"/>
      <c r="F207" s="44"/>
      <c r="G207" s="43"/>
      <c r="H207" s="43"/>
      <c r="I207" s="43"/>
      <c r="J207" s="43"/>
      <c r="K207" s="55"/>
    </row>
    <row r="208" spans="1:13" s="5" customFormat="1" ht="13.5" thickBot="1">
      <c r="A208" s="11"/>
      <c r="B208" s="12"/>
      <c r="C208" s="13"/>
      <c r="D208" s="408" t="s">
        <v>33</v>
      </c>
      <c r="E208" s="407"/>
      <c r="F208" s="408" t="s">
        <v>34</v>
      </c>
      <c r="G208" s="407"/>
      <c r="H208" s="43"/>
      <c r="I208" s="43"/>
      <c r="J208" s="43"/>
      <c r="K208" s="55"/>
    </row>
    <row r="209" spans="1:13" s="5" customFormat="1" ht="13.5" thickBot="1">
      <c r="A209" s="41">
        <v>2013</v>
      </c>
      <c r="B209" s="15"/>
      <c r="C209" s="16"/>
      <c r="D209" s="17" t="s">
        <v>17</v>
      </c>
      <c r="E209" s="18" t="s">
        <v>18</v>
      </c>
      <c r="F209" s="17" t="s">
        <v>17</v>
      </c>
      <c r="G209" s="18" t="s">
        <v>18</v>
      </c>
      <c r="H209" s="43"/>
      <c r="I209" s="43"/>
      <c r="J209" s="43"/>
      <c r="K209" s="55"/>
      <c r="M209" s="232"/>
    </row>
    <row r="210" spans="1:13" s="5" customFormat="1" ht="12.75">
      <c r="A210" s="85" t="s">
        <v>29</v>
      </c>
      <c r="B210" s="20"/>
      <c r="C210" s="21"/>
      <c r="D210" s="101">
        <f>+F210/F200</f>
        <v>2.7571965517241379</v>
      </c>
      <c r="E210" s="23">
        <f>+G210/F200</f>
        <v>2.9759800981034483</v>
      </c>
      <c r="F210" s="24">
        <f>'2013 Solar Actuals'!Q44</f>
        <v>79.958699999999993</v>
      </c>
      <c r="G210" s="25">
        <f>'2013 Solar Actuals'!Q92</f>
        <v>86.303422845</v>
      </c>
      <c r="H210" s="129"/>
      <c r="I210" s="129"/>
      <c r="J210" s="43"/>
      <c r="K210" s="55"/>
      <c r="M210" s="232"/>
    </row>
    <row r="211" spans="1:13" s="5" customFormat="1" ht="12.75">
      <c r="A211" s="86" t="s">
        <v>30</v>
      </c>
      <c r="B211" s="27"/>
      <c r="C211" s="28"/>
      <c r="D211" s="29">
        <f>+F211/F200</f>
        <v>8.1896551724137928E-2</v>
      </c>
      <c r="E211" s="30">
        <f>+G211/F200</f>
        <v>8.8395043103448284E-2</v>
      </c>
      <c r="F211" s="31">
        <f>'2013 Solar Actuals'!Q46</f>
        <v>2.375</v>
      </c>
      <c r="G211" s="32">
        <f>'2013 Solar Actuals'!Q94</f>
        <v>2.5634562500000002</v>
      </c>
      <c r="H211" s="129"/>
      <c r="I211" s="129"/>
      <c r="J211" s="43"/>
      <c r="K211" s="55"/>
      <c r="M211" s="91"/>
    </row>
    <row r="212" spans="1:13" s="5" customFormat="1" ht="13.5" thickBot="1">
      <c r="A212" s="87" t="s">
        <v>32</v>
      </c>
      <c r="B212" s="34"/>
      <c r="C212" s="35"/>
      <c r="D212" s="36">
        <f>+F212/F200</f>
        <v>8713.7931034482754</v>
      </c>
      <c r="E212" s="37">
        <f>+G212/F200</f>
        <v>9257.3595172413789</v>
      </c>
      <c r="F212" s="38">
        <f>'2013 Solar Actuals'!Q45*1000000</f>
        <v>252699.99999999997</v>
      </c>
      <c r="G212" s="39">
        <f>'2013 Solar Actuals'!Q93*1000000</f>
        <v>268463.42599999998</v>
      </c>
      <c r="H212" s="129"/>
      <c r="I212" s="299"/>
      <c r="J212" s="43"/>
      <c r="K212" s="55"/>
    </row>
    <row r="213" spans="1:13" s="5" customFormat="1" ht="13.5" thickBot="1">
      <c r="A213" s="43"/>
      <c r="B213" s="43"/>
      <c r="C213" s="43"/>
      <c r="D213" s="43"/>
      <c r="E213" s="94"/>
      <c r="F213" s="95"/>
      <c r="G213" s="96"/>
      <c r="H213" s="97"/>
      <c r="I213" s="43"/>
      <c r="J213" s="43"/>
      <c r="K213" s="55"/>
    </row>
    <row r="214" spans="1:13" s="5" customFormat="1" ht="13.5" thickBot="1">
      <c r="A214" s="53">
        <v>2013</v>
      </c>
      <c r="B214" s="89"/>
      <c r="C214" s="14"/>
      <c r="D214" s="90"/>
      <c r="E214" s="43"/>
      <c r="F214" s="44"/>
      <c r="G214" s="43"/>
      <c r="H214" s="43"/>
      <c r="I214" s="300"/>
      <c r="J214" s="43"/>
      <c r="K214" s="55"/>
    </row>
    <row r="215" spans="1:13" s="5" customFormat="1" ht="12.75">
      <c r="A215" s="19" t="s">
        <v>37</v>
      </c>
      <c r="B215" s="20"/>
      <c r="C215" s="21"/>
      <c r="D215" s="102">
        <f>+D216*1000/F200</f>
        <v>14278.315361462384</v>
      </c>
      <c r="E215" s="42"/>
      <c r="F215" s="44"/>
      <c r="G215" s="42"/>
      <c r="H215" s="43"/>
      <c r="I215" s="43"/>
      <c r="J215" s="43"/>
      <c r="K215" s="55"/>
    </row>
    <row r="216" spans="1:13" s="5" customFormat="1" ht="12.75">
      <c r="A216" s="26" t="s">
        <v>35</v>
      </c>
      <c r="B216" s="27"/>
      <c r="C216" s="28"/>
      <c r="D216" s="123">
        <f>'ECCR Cost'!C16/1000</f>
        <v>414.07114548240918</v>
      </c>
      <c r="E216" s="43"/>
      <c r="F216" s="44"/>
      <c r="G216" s="293"/>
      <c r="H216" s="43"/>
      <c r="I216" s="43"/>
      <c r="J216" s="43"/>
      <c r="K216" s="55"/>
    </row>
    <row r="217" spans="1:13" s="5" customFormat="1" ht="13.5" thickBot="1">
      <c r="A217" s="33" t="s">
        <v>36</v>
      </c>
      <c r="B217" s="34"/>
      <c r="C217" s="35"/>
      <c r="D217" s="127">
        <f>'NPV 2013'!G32</f>
        <v>-173.12957468571932</v>
      </c>
      <c r="E217" s="43"/>
      <c r="F217" s="44"/>
      <c r="G217" s="43"/>
      <c r="H217" s="43"/>
      <c r="I217" s="43"/>
      <c r="J217" s="43"/>
      <c r="K217" s="55"/>
    </row>
    <row r="218" spans="1:13" s="5" customFormat="1" ht="12.75">
      <c r="A218" s="46"/>
      <c r="B218" s="43"/>
      <c r="C218" s="43"/>
      <c r="D218" s="43"/>
      <c r="E218" s="43"/>
      <c r="F218" s="44"/>
      <c r="G218" s="43"/>
      <c r="H218" s="43"/>
      <c r="I218" s="99"/>
      <c r="J218" s="43"/>
      <c r="K218" s="55"/>
    </row>
    <row r="219" spans="1:13" s="5" customFormat="1" ht="14.25">
      <c r="A219" s="52" t="s">
        <v>38</v>
      </c>
      <c r="B219" s="43"/>
      <c r="C219" s="43"/>
      <c r="D219" s="43"/>
      <c r="E219" s="43"/>
      <c r="F219" s="97"/>
      <c r="G219" s="43"/>
      <c r="H219" s="43"/>
      <c r="I219" s="43"/>
      <c r="J219" s="43"/>
      <c r="K219" s="55"/>
    </row>
    <row r="220" spans="1:13" s="5" customFormat="1" ht="12.75">
      <c r="A220" s="46"/>
      <c r="B220" s="43"/>
      <c r="C220" s="43"/>
      <c r="D220" s="43"/>
      <c r="E220" s="43"/>
      <c r="F220" s="44"/>
      <c r="G220" s="43"/>
      <c r="H220" s="43"/>
      <c r="I220" s="43"/>
      <c r="J220" s="43"/>
      <c r="K220" s="55"/>
    </row>
  </sheetData>
  <mergeCells count="24">
    <mergeCell ref="D208:E208"/>
    <mergeCell ref="F208:G208"/>
    <mergeCell ref="D101:E101"/>
    <mergeCell ref="F101:G101"/>
    <mergeCell ref="D137:E137"/>
    <mergeCell ref="F137:G137"/>
    <mergeCell ref="D172:E172"/>
    <mergeCell ref="F172:G172"/>
    <mergeCell ref="D124:E124"/>
    <mergeCell ref="F124:I124"/>
    <mergeCell ref="D159:E159"/>
    <mergeCell ref="F159:I159"/>
    <mergeCell ref="D195:E195"/>
    <mergeCell ref="F195:I195"/>
    <mergeCell ref="D17:E17"/>
    <mergeCell ref="F17:I17"/>
    <mergeCell ref="D53:E53"/>
    <mergeCell ref="F53:I53"/>
    <mergeCell ref="D88:E88"/>
    <mergeCell ref="F88:I88"/>
    <mergeCell ref="D30:E30"/>
    <mergeCell ref="F30:G30"/>
    <mergeCell ref="D66:E66"/>
    <mergeCell ref="F66:G66"/>
  </mergeCells>
  <printOptions horizontalCentered="1"/>
  <pageMargins left="0.25" right="0.25" top="0.5" bottom="0.5" header="0.5" footer="0.5"/>
  <pageSetup scale="90" fitToHeight="30" orientation="landscape" r:id="rId1"/>
  <headerFooter alignWithMargins="0"/>
  <rowBreaks count="5" manualBreakCount="5">
    <brk id="43" max="9" man="1"/>
    <brk id="78" max="9" man="1"/>
    <brk id="114" max="9" man="1"/>
    <brk id="149" max="9" man="1"/>
    <brk id="185" max="9" man="1"/>
  </rowBreaks>
  <ignoredErrors>
    <ignoredError sqref="E56:E58 H56 H57:H5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8"/>
  <sheetViews>
    <sheetView tabSelected="1" zoomScaleNormal="100" workbookViewId="0">
      <selection activeCell="A5" sqref="A5"/>
    </sheetView>
  </sheetViews>
  <sheetFormatPr defaultRowHeight="11.25"/>
  <cols>
    <col min="1" max="1" width="2.140625" style="1" customWidth="1"/>
    <col min="2" max="2" width="23.7109375" style="162" customWidth="1"/>
    <col min="3" max="3" width="9.140625" style="161" hidden="1" customWidth="1"/>
    <col min="4" max="4" width="8.85546875" style="162" hidden="1" customWidth="1"/>
    <col min="5" max="6" width="11.140625" style="161" customWidth="1"/>
    <col min="7" max="8" width="12.28515625" style="161" customWidth="1"/>
    <col min="9" max="9" width="9.85546875" style="161" customWidth="1"/>
    <col min="10" max="10" width="10.42578125" style="161" customWidth="1"/>
    <col min="11" max="11" width="11.140625" style="163" customWidth="1"/>
    <col min="12" max="12" width="12.28515625" style="161" customWidth="1"/>
    <col min="13" max="13" width="10.85546875" style="161" customWidth="1"/>
    <col min="14" max="14" width="11" style="161" customWidth="1"/>
    <col min="15" max="15" width="10.42578125" style="161" customWidth="1"/>
    <col min="16" max="16" width="11.140625" style="161" customWidth="1"/>
    <col min="17" max="17" width="12.28515625" style="161" customWidth="1"/>
    <col min="18" max="18" width="9.85546875" style="1" bestFit="1" customWidth="1"/>
    <col min="19" max="20" width="9.140625" style="1" customWidth="1"/>
    <col min="21" max="22" width="11.140625" style="1" bestFit="1" customWidth="1"/>
    <col min="23" max="16384" width="9.140625" style="1"/>
  </cols>
  <sheetData>
    <row r="1" spans="2:20" s="393" customFormat="1">
      <c r="B1" s="393" t="s">
        <v>20</v>
      </c>
      <c r="C1" s="401"/>
      <c r="D1" s="400"/>
      <c r="E1" s="401"/>
      <c r="F1" s="401"/>
      <c r="G1" s="401"/>
      <c r="H1" s="401"/>
      <c r="I1" s="401"/>
      <c r="J1" s="401"/>
      <c r="K1" s="402"/>
      <c r="L1" s="401"/>
      <c r="M1" s="401"/>
      <c r="N1" s="401"/>
      <c r="O1" s="401"/>
      <c r="P1" s="401"/>
      <c r="Q1" s="401"/>
    </row>
    <row r="2" spans="2:20" s="393" customFormat="1">
      <c r="B2" s="393" t="s">
        <v>123</v>
      </c>
      <c r="C2" s="401"/>
      <c r="D2" s="400"/>
      <c r="E2" s="401"/>
      <c r="F2" s="401"/>
      <c r="G2" s="401"/>
      <c r="H2" s="401"/>
      <c r="I2" s="401"/>
      <c r="J2" s="401"/>
      <c r="K2" s="402"/>
      <c r="L2" s="401"/>
      <c r="M2" s="401"/>
      <c r="N2" s="401"/>
      <c r="O2" s="401"/>
      <c r="P2" s="401"/>
      <c r="Q2" s="401"/>
    </row>
    <row r="3" spans="2:20" s="393" customFormat="1">
      <c r="B3" s="393" t="s">
        <v>124</v>
      </c>
      <c r="C3" s="401"/>
      <c r="D3" s="400"/>
      <c r="E3" s="401"/>
      <c r="F3" s="401"/>
      <c r="G3" s="401"/>
      <c r="H3" s="401"/>
      <c r="I3" s="401"/>
      <c r="J3" s="401"/>
      <c r="K3" s="402"/>
      <c r="L3" s="401"/>
      <c r="M3" s="401"/>
      <c r="N3" s="401"/>
      <c r="O3" s="401"/>
      <c r="P3" s="401"/>
      <c r="Q3" s="401"/>
    </row>
    <row r="4" spans="2:20" s="393" customFormat="1">
      <c r="B4" s="393" t="s">
        <v>125</v>
      </c>
      <c r="C4" s="401"/>
      <c r="D4" s="400"/>
      <c r="E4" s="401"/>
      <c r="F4" s="401"/>
      <c r="G4" s="401"/>
      <c r="H4" s="401"/>
      <c r="I4" s="401"/>
      <c r="J4" s="401"/>
      <c r="K4" s="402"/>
      <c r="L4" s="401"/>
      <c r="M4" s="401"/>
      <c r="N4" s="401"/>
      <c r="O4" s="401"/>
      <c r="P4" s="401"/>
      <c r="Q4" s="401"/>
    </row>
    <row r="5" spans="2:20" s="393" customFormat="1" ht="12.75">
      <c r="B5" s="396" t="s">
        <v>129</v>
      </c>
      <c r="C5" s="401"/>
      <c r="D5" s="400"/>
      <c r="E5" s="401"/>
      <c r="F5" s="401"/>
      <c r="G5" s="401"/>
      <c r="H5" s="401"/>
      <c r="I5" s="401"/>
      <c r="J5" s="401"/>
      <c r="K5" s="402"/>
      <c r="L5" s="401"/>
      <c r="M5" s="401"/>
      <c r="N5" s="401"/>
      <c r="O5" s="401"/>
      <c r="P5" s="401"/>
      <c r="Q5" s="401"/>
    </row>
    <row r="6" spans="2:20" s="393" customFormat="1">
      <c r="B6" s="393" t="s">
        <v>127</v>
      </c>
      <c r="C6" s="401"/>
      <c r="D6" s="400"/>
      <c r="E6" s="401"/>
      <c r="F6" s="401"/>
      <c r="G6" s="401"/>
      <c r="H6" s="401"/>
      <c r="I6" s="401"/>
      <c r="J6" s="401"/>
      <c r="K6" s="402"/>
      <c r="L6" s="401"/>
      <c r="M6" s="401"/>
      <c r="N6" s="401"/>
      <c r="O6" s="401"/>
      <c r="P6" s="401"/>
      <c r="Q6" s="401"/>
    </row>
    <row r="7" spans="2:20" s="393" customFormat="1">
      <c r="B7" s="400"/>
      <c r="C7" s="401"/>
      <c r="D7" s="400"/>
      <c r="E7" s="401"/>
      <c r="F7" s="401"/>
      <c r="G7" s="401"/>
      <c r="H7" s="401"/>
      <c r="I7" s="401"/>
      <c r="J7" s="401"/>
      <c r="K7" s="402"/>
      <c r="L7" s="401"/>
      <c r="M7" s="401"/>
      <c r="N7" s="401"/>
      <c r="O7" s="401"/>
      <c r="P7" s="401"/>
      <c r="Q7" s="401"/>
    </row>
    <row r="8" spans="2:20" ht="20.25" customHeight="1" thickBot="1">
      <c r="B8" s="160" t="s">
        <v>104</v>
      </c>
      <c r="S8" s="107" t="s">
        <v>63</v>
      </c>
    </row>
    <row r="9" spans="2:20" s="108" customFormat="1" ht="18" customHeight="1" thickBot="1">
      <c r="B9" s="160" t="s">
        <v>100</v>
      </c>
      <c r="C9" s="164"/>
      <c r="D9" s="165"/>
      <c r="E9" s="166" t="s">
        <v>67</v>
      </c>
      <c r="F9" s="166" t="s">
        <v>67</v>
      </c>
      <c r="G9" s="166" t="s">
        <v>67</v>
      </c>
      <c r="H9" s="166" t="s">
        <v>67</v>
      </c>
      <c r="I9" s="166" t="s">
        <v>67</v>
      </c>
      <c r="J9" s="166" t="s">
        <v>67</v>
      </c>
      <c r="K9" s="167" t="s">
        <v>67</v>
      </c>
      <c r="L9" s="166" t="s">
        <v>67</v>
      </c>
      <c r="M9" s="166" t="s">
        <v>67</v>
      </c>
      <c r="N9" s="166" t="s">
        <v>67</v>
      </c>
      <c r="O9" s="166" t="s">
        <v>67</v>
      </c>
      <c r="P9" s="166" t="s">
        <v>67</v>
      </c>
      <c r="Q9" s="164"/>
      <c r="S9" s="120" t="s">
        <v>82</v>
      </c>
    </row>
    <row r="10" spans="2:20" ht="12" thickBot="1">
      <c r="B10" s="168" t="s">
        <v>68</v>
      </c>
      <c r="C10" s="169">
        <v>2012</v>
      </c>
      <c r="E10" s="170" t="s">
        <v>60</v>
      </c>
      <c r="F10" s="171" t="s">
        <v>59</v>
      </c>
      <c r="G10" s="170" t="s">
        <v>58</v>
      </c>
      <c r="H10" s="170" t="s">
        <v>57</v>
      </c>
      <c r="I10" s="170" t="s">
        <v>56</v>
      </c>
      <c r="J10" s="170" t="s">
        <v>55</v>
      </c>
      <c r="K10" s="172" t="s">
        <v>54</v>
      </c>
      <c r="L10" s="170" t="s">
        <v>53</v>
      </c>
      <c r="M10" s="170" t="s">
        <v>69</v>
      </c>
      <c r="N10" s="170" t="s">
        <v>64</v>
      </c>
      <c r="O10" s="170" t="s">
        <v>65</v>
      </c>
      <c r="P10" s="283" t="s">
        <v>66</v>
      </c>
      <c r="Q10" s="169" t="s">
        <v>52</v>
      </c>
    </row>
    <row r="11" spans="2:20">
      <c r="B11" s="173" t="s">
        <v>70</v>
      </c>
      <c r="C11" s="173"/>
      <c r="D11" s="173"/>
      <c r="E11" s="174"/>
      <c r="F11" s="174"/>
      <c r="G11" s="174"/>
      <c r="H11" s="174"/>
      <c r="I11" s="174"/>
      <c r="J11" s="174"/>
      <c r="K11" s="174"/>
      <c r="L11" s="174"/>
      <c r="M11" s="285"/>
      <c r="N11" s="284"/>
      <c r="O11" s="285"/>
      <c r="P11" s="284"/>
      <c r="Q11" s="174"/>
      <c r="S11" s="230">
        <f>Q15+Q16</f>
        <v>1084</v>
      </c>
      <c r="T11" s="138"/>
    </row>
    <row r="12" spans="2:20" s="2" customFormat="1">
      <c r="B12" s="175" t="s">
        <v>71</v>
      </c>
      <c r="C12" s="176"/>
      <c r="D12" s="177"/>
      <c r="E12" s="257">
        <v>26.84</v>
      </c>
      <c r="F12" s="257">
        <v>22</v>
      </c>
      <c r="G12" s="257">
        <v>24.64</v>
      </c>
      <c r="H12" s="257">
        <v>20.02</v>
      </c>
      <c r="I12" s="257">
        <v>22.44</v>
      </c>
      <c r="J12" s="257">
        <v>15.18</v>
      </c>
      <c r="K12" s="257">
        <v>23.76</v>
      </c>
      <c r="L12" s="257">
        <v>15.62</v>
      </c>
      <c r="M12" s="257">
        <v>15.62</v>
      </c>
      <c r="N12" s="257">
        <v>16.06000000000002</v>
      </c>
      <c r="O12" s="313">
        <v>19.36</v>
      </c>
      <c r="P12" s="257">
        <v>13.42</v>
      </c>
      <c r="Q12" s="176">
        <f>SUM(E12:P12)</f>
        <v>234.96</v>
      </c>
      <c r="R12" s="135"/>
      <c r="S12" s="3"/>
      <c r="T12" s="139"/>
    </row>
    <row r="13" spans="2:20">
      <c r="B13" s="179" t="s">
        <v>72</v>
      </c>
      <c r="C13" s="180"/>
      <c r="D13" s="181"/>
      <c r="E13" s="257">
        <v>0.18079999999999999</v>
      </c>
      <c r="F13" s="257">
        <v>0.1482</v>
      </c>
      <c r="G13" s="257">
        <v>0.16598399999999999</v>
      </c>
      <c r="H13" s="257">
        <v>0.13486200000000001</v>
      </c>
      <c r="I13" s="257">
        <v>0.15116399999999999</v>
      </c>
      <c r="J13" s="257">
        <v>0.102258</v>
      </c>
      <c r="K13" s="257">
        <v>0.160056</v>
      </c>
      <c r="L13" s="257">
        <v>0.105222</v>
      </c>
      <c r="M13" s="257">
        <v>0.105222</v>
      </c>
      <c r="N13" s="257">
        <v>0.108186</v>
      </c>
      <c r="O13" s="313">
        <v>0.130416</v>
      </c>
      <c r="P13" s="257">
        <v>9.0401999999999996E-2</v>
      </c>
      <c r="Q13" s="176">
        <f>SUM(E13:P13)</f>
        <v>1.5827720000000001</v>
      </c>
      <c r="R13" s="137"/>
      <c r="S13" s="107"/>
      <c r="T13" s="139"/>
    </row>
    <row r="14" spans="2:20">
      <c r="B14" s="179" t="s">
        <v>73</v>
      </c>
      <c r="C14" s="180"/>
      <c r="D14" s="181"/>
      <c r="E14" s="257">
        <v>54.9</v>
      </c>
      <c r="F14" s="257">
        <v>45</v>
      </c>
      <c r="G14" s="257">
        <v>50.4</v>
      </c>
      <c r="H14" s="257">
        <v>40.950000000000003</v>
      </c>
      <c r="I14" s="257">
        <v>45.9</v>
      </c>
      <c r="J14" s="257">
        <v>31.05</v>
      </c>
      <c r="K14" s="257">
        <v>48.6</v>
      </c>
      <c r="L14" s="257">
        <v>31.95</v>
      </c>
      <c r="M14" s="257">
        <v>31.95</v>
      </c>
      <c r="N14" s="257">
        <v>32.849999999999966</v>
      </c>
      <c r="O14" s="313">
        <v>39.6</v>
      </c>
      <c r="P14" s="257">
        <v>27.45</v>
      </c>
      <c r="Q14" s="176">
        <f>SUM(E14:P14)</f>
        <v>480.59999999999997</v>
      </c>
      <c r="R14" s="135"/>
      <c r="S14" s="107"/>
      <c r="T14" s="139"/>
    </row>
    <row r="15" spans="2:20">
      <c r="B15" s="179" t="s">
        <v>105</v>
      </c>
      <c r="C15" s="180"/>
      <c r="D15" s="181"/>
      <c r="E15" s="259">
        <v>2</v>
      </c>
      <c r="F15" s="259">
        <v>3</v>
      </c>
      <c r="G15" s="259">
        <v>1</v>
      </c>
      <c r="H15" s="257">
        <v>1</v>
      </c>
      <c r="I15" s="259">
        <v>1</v>
      </c>
      <c r="J15" s="259">
        <v>1</v>
      </c>
      <c r="K15" s="260">
        <v>2</v>
      </c>
      <c r="L15" s="259">
        <v>1</v>
      </c>
      <c r="M15" s="259">
        <v>3</v>
      </c>
      <c r="N15" s="257">
        <v>0</v>
      </c>
      <c r="O15" s="313">
        <v>0</v>
      </c>
      <c r="P15" s="259">
        <v>1</v>
      </c>
      <c r="Q15" s="182">
        <f>SUM(E15:P15)</f>
        <v>16</v>
      </c>
      <c r="S15" s="107"/>
      <c r="T15" s="124"/>
    </row>
    <row r="16" spans="2:20">
      <c r="B16" s="183" t="s">
        <v>106</v>
      </c>
      <c r="C16" s="180"/>
      <c r="D16" s="181"/>
      <c r="E16" s="261">
        <v>122</v>
      </c>
      <c r="F16" s="261">
        <v>100</v>
      </c>
      <c r="G16" s="259">
        <v>112</v>
      </c>
      <c r="H16" s="259">
        <v>91</v>
      </c>
      <c r="I16" s="259">
        <v>102</v>
      </c>
      <c r="J16" s="259">
        <v>69</v>
      </c>
      <c r="K16" s="260">
        <v>108</v>
      </c>
      <c r="L16" s="259">
        <v>71</v>
      </c>
      <c r="M16" s="259">
        <v>71</v>
      </c>
      <c r="N16" s="259">
        <v>73</v>
      </c>
      <c r="O16" s="311">
        <v>88</v>
      </c>
      <c r="P16" s="257">
        <v>61</v>
      </c>
      <c r="Q16" s="182">
        <f>SUM(E16:P16)</f>
        <v>1068</v>
      </c>
      <c r="T16" s="124"/>
    </row>
    <row r="17" spans="2:22" s="2" customFormat="1">
      <c r="B17" s="184"/>
      <c r="C17" s="185"/>
      <c r="D17" s="186"/>
      <c r="E17" s="262"/>
      <c r="F17" s="262"/>
      <c r="G17" s="263"/>
      <c r="H17" s="264"/>
      <c r="I17" s="265"/>
      <c r="J17" s="265"/>
      <c r="K17" s="265"/>
      <c r="L17" s="264"/>
      <c r="M17" s="265"/>
      <c r="N17" s="264"/>
      <c r="O17" s="314"/>
      <c r="P17" s="264"/>
      <c r="Q17" s="187"/>
      <c r="S17" s="3"/>
      <c r="T17" s="139"/>
    </row>
    <row r="18" spans="2:22">
      <c r="B18" s="173" t="s">
        <v>74</v>
      </c>
      <c r="C18" s="188"/>
      <c r="D18" s="181"/>
      <c r="E18" s="266"/>
      <c r="F18" s="266"/>
      <c r="G18" s="258"/>
      <c r="H18" s="257"/>
      <c r="I18" s="267"/>
      <c r="J18" s="267"/>
      <c r="K18" s="267"/>
      <c r="L18" s="257"/>
      <c r="M18" s="267"/>
      <c r="N18" s="257"/>
      <c r="O18" s="313"/>
      <c r="P18" s="257"/>
      <c r="Q18" s="176"/>
      <c r="R18" s="134"/>
      <c r="S18" s="231">
        <f>Q22</f>
        <v>103</v>
      </c>
      <c r="T18" s="139"/>
    </row>
    <row r="19" spans="2:22">
      <c r="B19" s="175" t="s">
        <v>75</v>
      </c>
      <c r="C19" s="176"/>
      <c r="D19" s="177"/>
      <c r="E19" s="257">
        <v>2.42</v>
      </c>
      <c r="F19" s="257">
        <v>0.22</v>
      </c>
      <c r="G19" s="258">
        <v>0.44</v>
      </c>
      <c r="H19" s="257">
        <v>1.54</v>
      </c>
      <c r="I19" s="257">
        <v>3.52</v>
      </c>
      <c r="J19" s="257">
        <v>1.54</v>
      </c>
      <c r="K19" s="257">
        <v>5.5</v>
      </c>
      <c r="L19" s="257">
        <v>3.74</v>
      </c>
      <c r="M19" s="257">
        <v>0.66</v>
      </c>
      <c r="N19" s="257">
        <v>0.44</v>
      </c>
      <c r="O19" s="313">
        <v>1.54</v>
      </c>
      <c r="P19" s="257">
        <v>1.1000000000000001</v>
      </c>
      <c r="Q19" s="176">
        <f>SUM(E19:P19)</f>
        <v>22.660000000000004</v>
      </c>
      <c r="R19" s="136"/>
      <c r="S19" s="3"/>
      <c r="T19" s="139"/>
    </row>
    <row r="20" spans="2:22">
      <c r="B20" s="179" t="s">
        <v>62</v>
      </c>
      <c r="C20" s="180"/>
      <c r="D20" s="181"/>
      <c r="E20" s="257">
        <v>1.6302000000000001E-2</v>
      </c>
      <c r="F20" s="257">
        <v>1.482E-3</v>
      </c>
      <c r="G20" s="258">
        <v>2.9640000000000001E-3</v>
      </c>
      <c r="H20" s="257">
        <v>1.0374E-2</v>
      </c>
      <c r="I20" s="257">
        <v>2.3712E-2</v>
      </c>
      <c r="J20" s="257">
        <v>1.0374E-2</v>
      </c>
      <c r="K20" s="257">
        <v>3.705E-2</v>
      </c>
      <c r="L20" s="257">
        <v>2.5194000000000001E-2</v>
      </c>
      <c r="M20" s="257">
        <v>4.4460000000000003E-3</v>
      </c>
      <c r="N20" s="257">
        <v>2.9640000000000001E-3</v>
      </c>
      <c r="O20" s="313">
        <v>1.0374E-2</v>
      </c>
      <c r="P20" s="257">
        <v>7.4099999999999999E-3</v>
      </c>
      <c r="Q20" s="176">
        <f>SUM(E20:P20)</f>
        <v>0.152646</v>
      </c>
      <c r="S20" s="3"/>
      <c r="T20" s="124"/>
    </row>
    <row r="21" spans="2:22">
      <c r="B21" s="179" t="s">
        <v>76</v>
      </c>
      <c r="C21" s="180"/>
      <c r="D21" s="181"/>
      <c r="E21" s="257">
        <v>4.95</v>
      </c>
      <c r="F21" s="257">
        <v>0.45</v>
      </c>
      <c r="G21" s="258">
        <v>0.9</v>
      </c>
      <c r="H21" s="257">
        <v>3.15</v>
      </c>
      <c r="I21" s="257">
        <v>7.2</v>
      </c>
      <c r="J21" s="257">
        <v>3.15</v>
      </c>
      <c r="K21" s="257">
        <v>11.25</v>
      </c>
      <c r="L21" s="257">
        <v>7.65</v>
      </c>
      <c r="M21" s="257">
        <v>1.35</v>
      </c>
      <c r="N21" s="257">
        <v>0.9</v>
      </c>
      <c r="O21" s="313">
        <v>3.15</v>
      </c>
      <c r="P21" s="257">
        <v>2.25</v>
      </c>
      <c r="Q21" s="176">
        <f>SUM(E21:P21)</f>
        <v>46.35</v>
      </c>
      <c r="T21" s="124"/>
    </row>
    <row r="22" spans="2:22" s="2" customFormat="1">
      <c r="B22" s="179" t="s">
        <v>107</v>
      </c>
      <c r="C22" s="180"/>
      <c r="D22" s="181"/>
      <c r="E22" s="259">
        <v>11</v>
      </c>
      <c r="F22" s="259">
        <v>1</v>
      </c>
      <c r="G22" s="259">
        <v>2</v>
      </c>
      <c r="H22" s="259">
        <v>7</v>
      </c>
      <c r="I22" s="259">
        <v>16</v>
      </c>
      <c r="J22" s="259">
        <v>7</v>
      </c>
      <c r="K22" s="268">
        <v>25</v>
      </c>
      <c r="L22" s="259">
        <v>17</v>
      </c>
      <c r="M22" s="259">
        <v>3</v>
      </c>
      <c r="N22" s="259">
        <v>2</v>
      </c>
      <c r="O22" s="311">
        <v>7</v>
      </c>
      <c r="P22" s="259">
        <v>5</v>
      </c>
      <c r="Q22" s="182">
        <f>SUM(E22:P22)</f>
        <v>103</v>
      </c>
      <c r="S22" s="3"/>
      <c r="T22" s="140"/>
    </row>
    <row r="23" spans="2:22">
      <c r="B23" s="184"/>
      <c r="C23" s="185"/>
      <c r="D23" s="186"/>
      <c r="E23" s="262"/>
      <c r="F23" s="262"/>
      <c r="G23" s="263"/>
      <c r="H23" s="264"/>
      <c r="I23" s="265"/>
      <c r="J23" s="265"/>
      <c r="K23" s="265"/>
      <c r="L23" s="264"/>
      <c r="M23" s="265"/>
      <c r="N23" s="264"/>
      <c r="O23" s="314"/>
      <c r="P23" s="264"/>
      <c r="Q23" s="187"/>
      <c r="S23" s="107"/>
      <c r="T23" s="124"/>
    </row>
    <row r="24" spans="2:22">
      <c r="B24" s="173" t="s">
        <v>77</v>
      </c>
      <c r="C24" s="188"/>
      <c r="D24" s="181"/>
      <c r="E24" s="266"/>
      <c r="F24" s="266"/>
      <c r="G24" s="258"/>
      <c r="H24" s="257"/>
      <c r="I24" s="267"/>
      <c r="J24" s="267"/>
      <c r="K24" s="267"/>
      <c r="L24" s="257"/>
      <c r="M24" s="267"/>
      <c r="N24" s="257"/>
      <c r="O24" s="313"/>
      <c r="P24" s="257"/>
      <c r="Q24" s="176"/>
      <c r="S24" s="231">
        <f>Q28</f>
        <v>278</v>
      </c>
      <c r="T24" s="124"/>
    </row>
    <row r="25" spans="2:22">
      <c r="B25" s="175" t="s">
        <v>75</v>
      </c>
      <c r="C25" s="176"/>
      <c r="D25" s="177"/>
      <c r="E25" s="257">
        <v>321.97480000000002</v>
      </c>
      <c r="F25" s="257">
        <v>155.7165</v>
      </c>
      <c r="G25" s="258">
        <v>99.123500000000007</v>
      </c>
      <c r="H25" s="257">
        <v>45.736199999999997</v>
      </c>
      <c r="I25" s="257">
        <v>74.558099999999996</v>
      </c>
      <c r="J25" s="257">
        <v>27.420299999999997</v>
      </c>
      <c r="K25" s="257">
        <v>34.975299999999997</v>
      </c>
      <c r="L25" s="257">
        <v>11.4846</v>
      </c>
      <c r="M25" s="257">
        <v>4.6123000000000003</v>
      </c>
      <c r="N25" s="257">
        <v>4.9447999999999999</v>
      </c>
      <c r="O25" s="313">
        <v>11.678100000000001</v>
      </c>
      <c r="P25" s="257">
        <v>163.87620000000007</v>
      </c>
      <c r="Q25" s="176">
        <f>SUM(E25:P25)</f>
        <v>956.10069999999985</v>
      </c>
      <c r="S25" s="107"/>
      <c r="T25" s="124"/>
    </row>
    <row r="26" spans="2:22">
      <c r="B26" s="179" t="s">
        <v>62</v>
      </c>
      <c r="C26" s="180"/>
      <c r="D26" s="181"/>
      <c r="E26" s="257">
        <v>1.01756837</v>
      </c>
      <c r="F26" s="257">
        <v>0.49212659999999997</v>
      </c>
      <c r="G26" s="258">
        <v>0.31326953000000002</v>
      </c>
      <c r="H26" s="257">
        <v>0.14454439999999999</v>
      </c>
      <c r="I26" s="257">
        <v>0.23563344</v>
      </c>
      <c r="J26" s="257">
        <v>8.6658810000000003E-2</v>
      </c>
      <c r="K26" s="257">
        <v>0.1105363</v>
      </c>
      <c r="L26" s="257">
        <v>3.62957E-2</v>
      </c>
      <c r="M26" s="257">
        <v>1.4576799999999999E-2</v>
      </c>
      <c r="N26" s="257">
        <v>1.5627499999999999E-2</v>
      </c>
      <c r="O26" s="313">
        <v>3.6907500000000003E-2</v>
      </c>
      <c r="P26" s="257">
        <v>0.51791662999999999</v>
      </c>
      <c r="Q26" s="176">
        <f>SUM(E26:P26)</f>
        <v>3.02166158</v>
      </c>
      <c r="T26" s="124"/>
    </row>
    <row r="27" spans="2:22" s="2" customFormat="1">
      <c r="B27" s="179" t="s">
        <v>76</v>
      </c>
      <c r="C27" s="180"/>
      <c r="D27" s="181"/>
      <c r="E27" s="257">
        <v>9.5640999999999998</v>
      </c>
      <c r="F27" s="257">
        <v>4.6256000000000004</v>
      </c>
      <c r="G27" s="258">
        <v>2.9445999999999999</v>
      </c>
      <c r="H27" s="257">
        <v>1.3586</v>
      </c>
      <c r="I27" s="257">
        <v>2.2147999999999999</v>
      </c>
      <c r="J27" s="257">
        <v>0.8145</v>
      </c>
      <c r="K27" s="257">
        <v>1.0390999999999999</v>
      </c>
      <c r="L27" s="257">
        <v>0.3412</v>
      </c>
      <c r="M27" s="257">
        <v>0.1371</v>
      </c>
      <c r="N27" s="257">
        <v>0.1469</v>
      </c>
      <c r="O27" s="313">
        <v>0.34689999999999999</v>
      </c>
      <c r="P27" s="257">
        <v>4.8681999999999999</v>
      </c>
      <c r="Q27" s="176">
        <f>SUM(E27:P27)</f>
        <v>28.401600000000002</v>
      </c>
      <c r="S27" s="3"/>
      <c r="T27" s="139"/>
      <c r="U27" s="234"/>
      <c r="V27" s="234"/>
    </row>
    <row r="28" spans="2:22">
      <c r="B28" s="179" t="s">
        <v>107</v>
      </c>
      <c r="C28" s="180"/>
      <c r="D28" s="181"/>
      <c r="E28" s="259">
        <v>94</v>
      </c>
      <c r="F28" s="259">
        <v>42</v>
      </c>
      <c r="G28" s="259">
        <v>28</v>
      </c>
      <c r="H28" s="259">
        <v>15</v>
      </c>
      <c r="I28" s="259">
        <v>20</v>
      </c>
      <c r="J28" s="259">
        <v>9</v>
      </c>
      <c r="K28" s="269">
        <v>11</v>
      </c>
      <c r="L28" s="259">
        <v>3</v>
      </c>
      <c r="M28" s="259">
        <v>2</v>
      </c>
      <c r="N28" s="259">
        <v>2</v>
      </c>
      <c r="O28" s="311">
        <v>3</v>
      </c>
      <c r="P28" s="259">
        <v>49</v>
      </c>
      <c r="Q28" s="182">
        <f>SUM(E28:P28)</f>
        <v>278</v>
      </c>
      <c r="R28" s="134"/>
      <c r="S28" s="107"/>
      <c r="T28" s="139"/>
      <c r="U28" s="159"/>
      <c r="V28" s="234"/>
    </row>
    <row r="29" spans="2:22">
      <c r="B29" s="184"/>
      <c r="C29" s="185"/>
      <c r="D29" s="186"/>
      <c r="E29" s="262"/>
      <c r="F29" s="262"/>
      <c r="G29" s="263"/>
      <c r="H29" s="264"/>
      <c r="I29" s="265"/>
      <c r="J29" s="265"/>
      <c r="K29" s="265"/>
      <c r="L29" s="264"/>
      <c r="M29" s="265"/>
      <c r="N29" s="264"/>
      <c r="O29" s="314"/>
      <c r="P29" s="264"/>
      <c r="Q29" s="187"/>
      <c r="S29" s="107"/>
      <c r="T29" s="139"/>
    </row>
    <row r="30" spans="2:22">
      <c r="B30" s="173" t="s">
        <v>78</v>
      </c>
      <c r="C30" s="188"/>
      <c r="D30" s="181"/>
      <c r="E30" s="266"/>
      <c r="F30" s="266"/>
      <c r="G30" s="258"/>
      <c r="H30" s="257"/>
      <c r="I30" s="267"/>
      <c r="J30" s="267"/>
      <c r="K30" s="267"/>
      <c r="L30" s="257"/>
      <c r="M30" s="267"/>
      <c r="N30" s="257"/>
      <c r="O30" s="313"/>
      <c r="P30" s="257"/>
      <c r="Q30" s="176"/>
      <c r="S30" s="231">
        <f>Q34+Q35</f>
        <v>7</v>
      </c>
      <c r="T30" s="124"/>
    </row>
    <row r="31" spans="2:22">
      <c r="B31" s="175" t="s">
        <v>75</v>
      </c>
      <c r="C31" s="176"/>
      <c r="D31" s="177"/>
      <c r="E31" s="267">
        <v>0</v>
      </c>
      <c r="F31" s="267">
        <v>0</v>
      </c>
      <c r="G31" s="267">
        <v>1.0966</v>
      </c>
      <c r="H31" s="257">
        <v>0</v>
      </c>
      <c r="I31" s="319">
        <v>1.4650000000000001</v>
      </c>
      <c r="J31" s="257">
        <v>0</v>
      </c>
      <c r="K31" s="267">
        <v>0</v>
      </c>
      <c r="L31" s="257">
        <v>0</v>
      </c>
      <c r="M31" s="257">
        <v>0.76739999999999997</v>
      </c>
      <c r="N31" s="257">
        <v>0</v>
      </c>
      <c r="O31" s="313">
        <v>0</v>
      </c>
      <c r="P31" s="257">
        <v>0</v>
      </c>
      <c r="Q31" s="176">
        <f>SUM(E31:P31)</f>
        <v>3.3290000000000002</v>
      </c>
      <c r="T31" s="124"/>
    </row>
    <row r="32" spans="2:22" s="2" customFormat="1">
      <c r="B32" s="179" t="s">
        <v>62</v>
      </c>
      <c r="C32" s="180"/>
      <c r="D32" s="181"/>
      <c r="E32" s="267">
        <v>0</v>
      </c>
      <c r="F32" s="267">
        <v>0</v>
      </c>
      <c r="G32" s="267">
        <v>4.0090389999999998E-3</v>
      </c>
      <c r="H32" s="257">
        <v>0</v>
      </c>
      <c r="I32" s="319">
        <v>5.3555865000000005E-3</v>
      </c>
      <c r="J32" s="257">
        <v>0</v>
      </c>
      <c r="K32" s="267">
        <v>0</v>
      </c>
      <c r="L32" s="257">
        <v>0</v>
      </c>
      <c r="M32" s="257">
        <v>2.8053072E-3</v>
      </c>
      <c r="N32" s="257">
        <v>0</v>
      </c>
      <c r="O32" s="313">
        <v>0</v>
      </c>
      <c r="P32" s="257">
        <v>0</v>
      </c>
      <c r="Q32" s="176">
        <f t="shared" ref="Q32:Q35" si="0">SUM(E32:P32)</f>
        <v>1.21699327E-2</v>
      </c>
      <c r="S32" s="3"/>
      <c r="T32" s="140"/>
    </row>
    <row r="33" spans="2:19">
      <c r="B33" s="179" t="s">
        <v>76</v>
      </c>
      <c r="C33" s="180"/>
      <c r="D33" s="181"/>
      <c r="E33" s="267">
        <v>0</v>
      </c>
      <c r="F33" s="267">
        <v>0</v>
      </c>
      <c r="G33" s="270">
        <v>7.8E-2</v>
      </c>
      <c r="H33" s="257">
        <v>0</v>
      </c>
      <c r="I33" s="319">
        <v>0.1041</v>
      </c>
      <c r="J33" s="257">
        <v>0</v>
      </c>
      <c r="K33" s="267">
        <v>0</v>
      </c>
      <c r="L33" s="257">
        <v>0</v>
      </c>
      <c r="M33" s="257">
        <v>5.45E-2</v>
      </c>
      <c r="N33" s="257">
        <v>0</v>
      </c>
      <c r="O33" s="313">
        <v>0</v>
      </c>
      <c r="P33" s="257">
        <v>0</v>
      </c>
      <c r="Q33" s="176">
        <f t="shared" si="0"/>
        <v>0.23659999999999998</v>
      </c>
      <c r="S33" s="3"/>
    </row>
    <row r="34" spans="2:19">
      <c r="B34" s="179" t="s">
        <v>105</v>
      </c>
      <c r="C34" s="180"/>
      <c r="D34" s="181"/>
      <c r="E34" s="267">
        <v>0</v>
      </c>
      <c r="F34" s="271">
        <v>1</v>
      </c>
      <c r="G34" s="258">
        <v>0</v>
      </c>
      <c r="H34" s="259">
        <v>1</v>
      </c>
      <c r="I34" s="267">
        <v>0</v>
      </c>
      <c r="J34" s="267"/>
      <c r="K34" s="267">
        <v>0</v>
      </c>
      <c r="L34" s="257">
        <v>0</v>
      </c>
      <c r="M34" s="267">
        <v>0</v>
      </c>
      <c r="N34" s="257"/>
      <c r="O34" s="313">
        <v>0</v>
      </c>
      <c r="P34" s="257">
        <v>0</v>
      </c>
      <c r="Q34" s="182">
        <f t="shared" si="0"/>
        <v>2</v>
      </c>
      <c r="S34" s="3"/>
    </row>
    <row r="35" spans="2:19">
      <c r="B35" s="179" t="s">
        <v>108</v>
      </c>
      <c r="C35" s="180"/>
      <c r="D35" s="181"/>
      <c r="E35" s="267"/>
      <c r="F35" s="267">
        <v>0</v>
      </c>
      <c r="G35" s="259">
        <v>2</v>
      </c>
      <c r="H35" s="257">
        <v>0</v>
      </c>
      <c r="I35" s="259">
        <v>2</v>
      </c>
      <c r="J35" s="259">
        <v>0</v>
      </c>
      <c r="K35" s="267">
        <v>0</v>
      </c>
      <c r="L35" s="257">
        <v>0</v>
      </c>
      <c r="M35" s="259">
        <v>1</v>
      </c>
      <c r="N35" s="257">
        <v>0</v>
      </c>
      <c r="O35" s="313">
        <v>0</v>
      </c>
      <c r="P35" s="257">
        <v>0</v>
      </c>
      <c r="Q35" s="182">
        <f t="shared" si="0"/>
        <v>5</v>
      </c>
      <c r="S35" s="3"/>
    </row>
    <row r="36" spans="2:19" s="2" customFormat="1">
      <c r="B36" s="189"/>
      <c r="C36" s="190"/>
      <c r="D36" s="181"/>
      <c r="E36" s="272"/>
      <c r="F36" s="272"/>
      <c r="G36" s="273"/>
      <c r="H36" s="272"/>
      <c r="I36" s="272"/>
      <c r="J36" s="272"/>
      <c r="K36" s="272"/>
      <c r="L36" s="272"/>
      <c r="M36" s="272"/>
      <c r="N36" s="272"/>
      <c r="O36" s="312"/>
      <c r="P36" s="272"/>
      <c r="Q36" s="190"/>
    </row>
    <row r="37" spans="2:19" s="2" customFormat="1" ht="10.5" customHeight="1">
      <c r="B37" s="173" t="s">
        <v>79</v>
      </c>
      <c r="C37" s="188"/>
      <c r="D37" s="181"/>
      <c r="E37" s="266"/>
      <c r="F37" s="266"/>
      <c r="G37" s="258"/>
      <c r="H37" s="257"/>
      <c r="I37" s="267"/>
      <c r="J37" s="267"/>
      <c r="K37" s="267"/>
      <c r="L37" s="257"/>
      <c r="M37" s="267"/>
      <c r="N37" s="257"/>
      <c r="O37" s="313"/>
      <c r="P37" s="257"/>
      <c r="Q37" s="176"/>
      <c r="S37" s="231">
        <f>Q41</f>
        <v>56</v>
      </c>
    </row>
    <row r="38" spans="2:19">
      <c r="B38" s="175" t="s">
        <v>75</v>
      </c>
      <c r="C38" s="176"/>
      <c r="D38" s="177"/>
      <c r="E38" s="257">
        <v>23.798100000000002</v>
      </c>
      <c r="F38" s="257">
        <v>122.5316</v>
      </c>
      <c r="G38" s="258">
        <v>70.586399999999998</v>
      </c>
      <c r="H38" s="257">
        <v>701.74109999999996</v>
      </c>
      <c r="I38" s="257">
        <v>42.798700000000004</v>
      </c>
      <c r="J38" s="257">
        <v>23.401700000000002</v>
      </c>
      <c r="K38" s="257">
        <v>33.835000000000001</v>
      </c>
      <c r="L38" s="257">
        <v>4.0063000000000004</v>
      </c>
      <c r="M38" s="267">
        <v>0</v>
      </c>
      <c r="N38" s="257">
        <v>8.3071999999999999</v>
      </c>
      <c r="O38" s="313">
        <v>15.566599999999999</v>
      </c>
      <c r="P38" s="257">
        <v>19.644400000000001</v>
      </c>
      <c r="Q38" s="176">
        <f>SUM(E38:P38)</f>
        <v>1066.2171000000001</v>
      </c>
    </row>
    <row r="39" spans="2:19">
      <c r="B39" s="179" t="s">
        <v>62</v>
      </c>
      <c r="C39" s="180"/>
      <c r="D39" s="181"/>
      <c r="E39" s="257">
        <v>7.5211500000000001E-2</v>
      </c>
      <c r="F39" s="257">
        <v>0.38724945</v>
      </c>
      <c r="G39" s="258">
        <v>0.2230809</v>
      </c>
      <c r="H39" s="257">
        <v>2.21778165</v>
      </c>
      <c r="I39" s="257">
        <v>0.13526099999999999</v>
      </c>
      <c r="J39" s="257">
        <v>7.3958640000000006E-2</v>
      </c>
      <c r="K39" s="257">
        <v>0.106932</v>
      </c>
      <c r="L39" s="257">
        <v>1.26616E-2</v>
      </c>
      <c r="M39" s="267">
        <v>0</v>
      </c>
      <c r="N39" s="257">
        <v>2.6254200000000002E-2</v>
      </c>
      <c r="O39" s="313">
        <v>4.9196699999999996E-2</v>
      </c>
      <c r="P39" s="257">
        <v>6.2084400000000005E-2</v>
      </c>
      <c r="Q39" s="176">
        <f>SUM(E39:P39)</f>
        <v>3.3696720399999993</v>
      </c>
    </row>
    <row r="40" spans="2:19">
      <c r="B40" s="179" t="s">
        <v>76</v>
      </c>
      <c r="C40" s="180"/>
      <c r="D40" s="181"/>
      <c r="E40" s="257">
        <v>0.70689999999999997</v>
      </c>
      <c r="F40" s="257">
        <v>3.6398000000000001</v>
      </c>
      <c r="G40" s="258">
        <v>2.0966999999999998</v>
      </c>
      <c r="H40" s="257">
        <v>20.843800000000002</v>
      </c>
      <c r="I40" s="257">
        <v>1.2713000000000001</v>
      </c>
      <c r="J40" s="257">
        <v>0.69519999999999993</v>
      </c>
      <c r="K40" s="257">
        <v>1.0049999999999999</v>
      </c>
      <c r="L40" s="257">
        <v>0.11899999999999999</v>
      </c>
      <c r="M40" s="267">
        <v>0</v>
      </c>
      <c r="N40" s="257">
        <v>0.24679999999999999</v>
      </c>
      <c r="O40" s="313">
        <v>0.46239999999999998</v>
      </c>
      <c r="P40" s="257">
        <v>0.58360000000000001</v>
      </c>
      <c r="Q40" s="176">
        <f>SUM(E40:P40)</f>
        <v>31.670500000000001</v>
      </c>
    </row>
    <row r="41" spans="2:19">
      <c r="B41" s="179" t="s">
        <v>107</v>
      </c>
      <c r="C41" s="180"/>
      <c r="D41" s="181"/>
      <c r="E41" s="259">
        <v>3</v>
      </c>
      <c r="F41" s="259">
        <v>14</v>
      </c>
      <c r="G41" s="259">
        <v>10</v>
      </c>
      <c r="H41" s="259">
        <v>12</v>
      </c>
      <c r="I41" s="259">
        <v>5</v>
      </c>
      <c r="J41" s="259">
        <v>5</v>
      </c>
      <c r="K41" s="269">
        <v>2</v>
      </c>
      <c r="L41" s="259">
        <v>1</v>
      </c>
      <c r="M41" s="267">
        <v>0</v>
      </c>
      <c r="N41" s="259">
        <v>1</v>
      </c>
      <c r="O41" s="311">
        <v>1</v>
      </c>
      <c r="P41" s="257">
        <v>2</v>
      </c>
      <c r="Q41" s="182">
        <f>SUM(E41:P41)</f>
        <v>56</v>
      </c>
    </row>
    <row r="42" spans="2:19">
      <c r="B42" s="189"/>
      <c r="C42" s="190"/>
      <c r="D42" s="181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312"/>
      <c r="P42" s="272"/>
      <c r="Q42" s="190"/>
    </row>
    <row r="43" spans="2:19">
      <c r="B43" s="173" t="s">
        <v>80</v>
      </c>
      <c r="C43" s="192"/>
      <c r="D43" s="177"/>
      <c r="E43" s="274"/>
      <c r="F43" s="274"/>
      <c r="G43" s="267"/>
      <c r="H43" s="267"/>
      <c r="I43" s="267"/>
      <c r="J43" s="267"/>
      <c r="K43" s="267"/>
      <c r="L43" s="257"/>
      <c r="M43" s="267"/>
      <c r="N43" s="257"/>
      <c r="O43" s="313"/>
      <c r="P43" s="257"/>
      <c r="Q43" s="176"/>
      <c r="S43" s="231">
        <f>Q47</f>
        <v>29</v>
      </c>
    </row>
    <row r="44" spans="2:19">
      <c r="B44" s="175" t="s">
        <v>75</v>
      </c>
      <c r="C44" s="176"/>
      <c r="D44" s="177"/>
      <c r="E44" s="257">
        <v>0</v>
      </c>
      <c r="F44" s="257">
        <v>0</v>
      </c>
      <c r="G44" s="267">
        <v>0</v>
      </c>
      <c r="H44" s="267">
        <v>0</v>
      </c>
      <c r="I44" s="267">
        <v>0</v>
      </c>
      <c r="J44" s="267">
        <v>0</v>
      </c>
      <c r="K44" s="267">
        <v>0</v>
      </c>
      <c r="L44" s="257">
        <v>39.979399999999998</v>
      </c>
      <c r="M44" s="267">
        <v>0</v>
      </c>
      <c r="N44" s="257">
        <v>14.729300000000002</v>
      </c>
      <c r="O44" s="313">
        <v>6.3125999999999998</v>
      </c>
      <c r="P44" s="257">
        <v>18.937400000000004</v>
      </c>
      <c r="Q44" s="176">
        <f>SUM(E44:P44)</f>
        <v>79.958699999999993</v>
      </c>
    </row>
    <row r="45" spans="2:19">
      <c r="B45" s="179" t="s">
        <v>62</v>
      </c>
      <c r="C45" s="180"/>
      <c r="D45" s="181"/>
      <c r="E45" s="275">
        <v>0</v>
      </c>
      <c r="F45" s="275">
        <v>0</v>
      </c>
      <c r="G45" s="267">
        <v>0</v>
      </c>
      <c r="H45" s="267">
        <v>0</v>
      </c>
      <c r="I45" s="267">
        <v>0</v>
      </c>
      <c r="J45" s="267">
        <v>0</v>
      </c>
      <c r="K45" s="267">
        <v>0</v>
      </c>
      <c r="L45" s="257">
        <v>0.12634999999999999</v>
      </c>
      <c r="M45" s="267">
        <v>0</v>
      </c>
      <c r="N45" s="257">
        <v>4.6550000000000001E-2</v>
      </c>
      <c r="O45" s="313">
        <v>1.9949999999999999E-2</v>
      </c>
      <c r="P45" s="257">
        <v>5.985E-2</v>
      </c>
      <c r="Q45" s="176">
        <f>SUM(E45:P45)</f>
        <v>0.25269999999999998</v>
      </c>
    </row>
    <row r="46" spans="2:19">
      <c r="B46" s="179" t="s">
        <v>76</v>
      </c>
      <c r="C46" s="281"/>
      <c r="D46" s="181"/>
      <c r="E46" s="282">
        <v>0</v>
      </c>
      <c r="F46" s="294">
        <v>0</v>
      </c>
      <c r="G46" s="267">
        <v>0</v>
      </c>
      <c r="H46" s="267">
        <v>0</v>
      </c>
      <c r="I46" s="267">
        <v>0</v>
      </c>
      <c r="J46" s="267">
        <v>0</v>
      </c>
      <c r="K46" s="267">
        <v>0</v>
      </c>
      <c r="L46" s="257">
        <v>1.1875</v>
      </c>
      <c r="M46" s="267">
        <v>0</v>
      </c>
      <c r="N46" s="257">
        <v>0.4375</v>
      </c>
      <c r="O46" s="313">
        <v>0.1875</v>
      </c>
      <c r="P46" s="257">
        <v>0.5625</v>
      </c>
      <c r="Q46" s="176">
        <f>SUM(E46:P46)</f>
        <v>2.375</v>
      </c>
    </row>
    <row r="47" spans="2:19">
      <c r="B47" s="308" t="s">
        <v>107</v>
      </c>
      <c r="C47" s="309"/>
      <c r="D47" s="119"/>
      <c r="E47" s="295">
        <v>0</v>
      </c>
      <c r="F47" s="295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  <c r="L47" s="295">
        <v>15</v>
      </c>
      <c r="M47" s="295">
        <v>0</v>
      </c>
      <c r="N47" s="295">
        <v>6</v>
      </c>
      <c r="O47" s="315">
        <v>3</v>
      </c>
      <c r="P47" s="295">
        <v>5</v>
      </c>
      <c r="Q47" s="295">
        <f>SUM(E47:P47)</f>
        <v>29</v>
      </c>
    </row>
    <row r="48" spans="2:19" ht="20.25" customHeight="1" thickBot="1">
      <c r="B48" s="306" t="s">
        <v>52</v>
      </c>
      <c r="C48" s="307"/>
      <c r="D48" s="197"/>
      <c r="E48" s="278" t="s">
        <v>60</v>
      </c>
      <c r="F48" s="279" t="s">
        <v>59</v>
      </c>
      <c r="G48" s="279" t="s">
        <v>58</v>
      </c>
      <c r="H48" s="279" t="s">
        <v>57</v>
      </c>
      <c r="I48" s="279" t="s">
        <v>56</v>
      </c>
      <c r="J48" s="279" t="s">
        <v>55</v>
      </c>
      <c r="K48" s="279" t="s">
        <v>54</v>
      </c>
      <c r="L48" s="279" t="s">
        <v>53</v>
      </c>
      <c r="M48" s="316" t="s">
        <v>69</v>
      </c>
      <c r="N48" s="316" t="s">
        <v>64</v>
      </c>
      <c r="O48" s="317" t="s">
        <v>65</v>
      </c>
      <c r="P48" s="316" t="s">
        <v>66</v>
      </c>
      <c r="Q48" s="318" t="s">
        <v>52</v>
      </c>
    </row>
    <row r="49" spans="2:19" s="108" customFormat="1" ht="18" customHeight="1" thickBot="1">
      <c r="B49" s="195" t="s">
        <v>75</v>
      </c>
      <c r="C49" s="196"/>
      <c r="D49" s="197"/>
      <c r="E49" s="257">
        <f t="shared" ref="E49:N49" si="1">E12+E19+E25+E31+E38+E44</f>
        <v>375.03289999999998</v>
      </c>
      <c r="F49" s="257">
        <f t="shared" si="1"/>
        <v>300.46809999999999</v>
      </c>
      <c r="G49" s="257">
        <f t="shared" si="1"/>
        <v>195.88650000000001</v>
      </c>
      <c r="H49" s="257">
        <f t="shared" si="1"/>
        <v>769.03729999999996</v>
      </c>
      <c r="I49" s="257">
        <f t="shared" si="1"/>
        <v>144.7818</v>
      </c>
      <c r="J49" s="257">
        <f t="shared" si="1"/>
        <v>67.542000000000002</v>
      </c>
      <c r="K49" s="257">
        <f t="shared" si="1"/>
        <v>98.070300000000003</v>
      </c>
      <c r="L49" s="257">
        <f t="shared" si="1"/>
        <v>74.830299999999994</v>
      </c>
      <c r="M49" s="257">
        <f t="shared" si="1"/>
        <v>21.659699999999997</v>
      </c>
      <c r="N49" s="257">
        <f t="shared" si="1"/>
        <v>44.481300000000026</v>
      </c>
      <c r="O49" s="310">
        <f t="shared" ref="O49:P51" si="2">+O12+O19+O25+O31+O38+O44</f>
        <v>54.457300000000004</v>
      </c>
      <c r="P49" s="310">
        <f t="shared" si="2"/>
        <v>216.97800000000007</v>
      </c>
      <c r="Q49" s="176">
        <f>SUM(E49:P49)</f>
        <v>2363.2255</v>
      </c>
    </row>
    <row r="50" spans="2:19" ht="12" thickBot="1">
      <c r="B50" s="195" t="s">
        <v>62</v>
      </c>
      <c r="C50" s="196"/>
      <c r="D50" s="197"/>
      <c r="E50" s="257">
        <f t="shared" ref="E50:N50" si="3">E13+E20+E26+E32+E39+E45</f>
        <v>1.2898818699999999</v>
      </c>
      <c r="F50" s="257">
        <f t="shared" si="3"/>
        <v>1.0290580499999999</v>
      </c>
      <c r="G50" s="257">
        <f t="shared" si="3"/>
        <v>0.70930746899999997</v>
      </c>
      <c r="H50" s="257">
        <f t="shared" si="3"/>
        <v>2.5075620500000002</v>
      </c>
      <c r="I50" s="257">
        <f t="shared" si="3"/>
        <v>0.55112602649999998</v>
      </c>
      <c r="J50" s="257">
        <f t="shared" si="3"/>
        <v>0.27324945</v>
      </c>
      <c r="K50" s="257">
        <f t="shared" si="3"/>
        <v>0.41457430000000006</v>
      </c>
      <c r="L50" s="257">
        <f t="shared" si="3"/>
        <v>0.30572330000000003</v>
      </c>
      <c r="M50" s="257">
        <f t="shared" si="3"/>
        <v>0.12705010720000001</v>
      </c>
      <c r="N50" s="257">
        <f t="shared" si="3"/>
        <v>0.1995817</v>
      </c>
      <c r="O50" s="310">
        <f t="shared" si="2"/>
        <v>0.24684419999999999</v>
      </c>
      <c r="P50" s="310">
        <f t="shared" si="2"/>
        <v>0.73766303</v>
      </c>
      <c r="Q50" s="176">
        <f>SUM(E50:P50)</f>
        <v>8.3916215527000002</v>
      </c>
      <c r="S50" s="159"/>
    </row>
    <row r="51" spans="2:19">
      <c r="B51" s="198" t="s">
        <v>76</v>
      </c>
      <c r="C51" s="199"/>
      <c r="D51" s="197"/>
      <c r="E51" s="257">
        <f t="shared" ref="E51:N51" si="4">E14+E21+E27+E33+E40+E46</f>
        <v>70.121000000000009</v>
      </c>
      <c r="F51" s="257">
        <f t="shared" si="4"/>
        <v>53.715400000000002</v>
      </c>
      <c r="G51" s="257">
        <f t="shared" si="4"/>
        <v>56.4193</v>
      </c>
      <c r="H51" s="257">
        <f t="shared" si="4"/>
        <v>66.302400000000006</v>
      </c>
      <c r="I51" s="257">
        <f t="shared" si="4"/>
        <v>56.690200000000004</v>
      </c>
      <c r="J51" s="257">
        <f t="shared" si="4"/>
        <v>35.709700000000005</v>
      </c>
      <c r="K51" s="257">
        <f t="shared" si="4"/>
        <v>61.894100000000002</v>
      </c>
      <c r="L51" s="257">
        <f t="shared" si="4"/>
        <v>41.247700000000002</v>
      </c>
      <c r="M51" s="257">
        <f t="shared" si="4"/>
        <v>33.491599999999991</v>
      </c>
      <c r="N51" s="257">
        <f t="shared" si="4"/>
        <v>34.581199999999967</v>
      </c>
      <c r="O51" s="310">
        <f t="shared" si="2"/>
        <v>43.7468</v>
      </c>
      <c r="P51" s="310">
        <f t="shared" si="2"/>
        <v>35.714299999999994</v>
      </c>
      <c r="Q51" s="176">
        <f>SUM(E51:P51)</f>
        <v>589.63369999999998</v>
      </c>
    </row>
    <row r="52" spans="2:19" s="2" customFormat="1">
      <c r="B52" s="195" t="s">
        <v>105</v>
      </c>
      <c r="C52" s="200"/>
      <c r="D52" s="197"/>
      <c r="E52" s="276">
        <f t="shared" ref="E52:N52" si="5">E15+E34</f>
        <v>2</v>
      </c>
      <c r="F52" s="276">
        <f t="shared" si="5"/>
        <v>4</v>
      </c>
      <c r="G52" s="276">
        <f t="shared" si="5"/>
        <v>1</v>
      </c>
      <c r="H52" s="276">
        <f t="shared" si="5"/>
        <v>2</v>
      </c>
      <c r="I52" s="276">
        <f t="shared" si="5"/>
        <v>1</v>
      </c>
      <c r="J52" s="276">
        <f t="shared" si="5"/>
        <v>1</v>
      </c>
      <c r="K52" s="276">
        <f t="shared" si="5"/>
        <v>2</v>
      </c>
      <c r="L52" s="276">
        <f t="shared" si="5"/>
        <v>1</v>
      </c>
      <c r="M52" s="276">
        <f t="shared" si="5"/>
        <v>3</v>
      </c>
      <c r="N52" s="276">
        <f t="shared" si="5"/>
        <v>0</v>
      </c>
      <c r="O52" s="276">
        <f t="shared" ref="O52:P52" si="6">O15+O34</f>
        <v>0</v>
      </c>
      <c r="P52" s="276">
        <f t="shared" si="6"/>
        <v>1</v>
      </c>
      <c r="Q52" s="182">
        <f>SUM(E52:P52)</f>
        <v>18</v>
      </c>
      <c r="S52" s="234"/>
    </row>
    <row r="53" spans="2:19" ht="12" thickBot="1">
      <c r="B53" s="201" t="s">
        <v>108</v>
      </c>
      <c r="C53" s="202"/>
      <c r="D53" s="203"/>
      <c r="E53" s="277">
        <f t="shared" ref="E53:K53" si="7">E16+E22+E28+E35+E41</f>
        <v>230</v>
      </c>
      <c r="F53" s="277">
        <f t="shared" si="7"/>
        <v>157</v>
      </c>
      <c r="G53" s="277">
        <f t="shared" si="7"/>
        <v>154</v>
      </c>
      <c r="H53" s="277">
        <f t="shared" si="7"/>
        <v>125</v>
      </c>
      <c r="I53" s="277">
        <f t="shared" si="7"/>
        <v>145</v>
      </c>
      <c r="J53" s="277">
        <f t="shared" si="7"/>
        <v>90</v>
      </c>
      <c r="K53" s="277">
        <f t="shared" si="7"/>
        <v>146</v>
      </c>
      <c r="L53" s="277">
        <f>L16+L22+L28+L35+L41+L47</f>
        <v>107</v>
      </c>
      <c r="M53" s="277">
        <f t="shared" ref="M53:N53" si="8">M16+M22+M28+M35+M41+M47</f>
        <v>77</v>
      </c>
      <c r="N53" s="277">
        <f t="shared" si="8"/>
        <v>84</v>
      </c>
      <c r="O53" s="277">
        <f t="shared" ref="O53:P53" si="9">O16+O22+O28+O35+O41+O47</f>
        <v>102</v>
      </c>
      <c r="P53" s="277">
        <f t="shared" si="9"/>
        <v>122</v>
      </c>
      <c r="Q53" s="204">
        <f>SUM(E53:P53)</f>
        <v>1539</v>
      </c>
    </row>
    <row r="54" spans="2:19">
      <c r="B54" s="205"/>
      <c r="C54" s="194"/>
      <c r="E54" s="256"/>
      <c r="F54" s="255"/>
      <c r="G54" s="255"/>
      <c r="H54" s="255"/>
      <c r="I54" s="255"/>
      <c r="J54" s="255"/>
      <c r="K54" s="244"/>
      <c r="L54" s="194"/>
      <c r="M54" s="194"/>
      <c r="N54" s="194"/>
      <c r="O54" s="194"/>
      <c r="P54" s="194"/>
      <c r="Q54" s="194"/>
    </row>
    <row r="55" spans="2:19">
      <c r="C55" s="194"/>
      <c r="E55" s="255"/>
      <c r="F55" s="238"/>
      <c r="G55" s="238"/>
      <c r="H55" s="238"/>
      <c r="I55" s="255"/>
      <c r="J55" s="255"/>
      <c r="K55" s="244"/>
      <c r="L55" s="194"/>
      <c r="M55" s="194"/>
      <c r="N55" s="194"/>
      <c r="O55" s="194"/>
      <c r="P55" s="194"/>
      <c r="Q55" s="194"/>
    </row>
    <row r="56" spans="2:19" ht="15.75">
      <c r="B56" s="206" t="s">
        <v>81</v>
      </c>
      <c r="C56" s="207"/>
      <c r="D56" s="208"/>
      <c r="E56" s="246"/>
      <c r="F56" s="247"/>
      <c r="G56" s="247"/>
      <c r="H56" s="247"/>
      <c r="I56" s="247"/>
      <c r="J56" s="247"/>
      <c r="K56" s="237"/>
    </row>
    <row r="57" spans="2:19" s="2" customFormat="1" ht="16.5" thickBot="1">
      <c r="B57" s="206" t="s">
        <v>101</v>
      </c>
      <c r="C57" s="209"/>
      <c r="D57" s="210"/>
      <c r="E57" s="248" t="s">
        <v>48</v>
      </c>
      <c r="F57" s="249">
        <v>1.07935</v>
      </c>
      <c r="G57" s="250"/>
      <c r="H57" s="248" t="s">
        <v>109</v>
      </c>
      <c r="I57" s="249">
        <v>1.0623800000000001</v>
      </c>
      <c r="J57" s="251"/>
      <c r="K57" s="252"/>
      <c r="L57" s="164"/>
      <c r="M57" s="164"/>
      <c r="N57" s="164"/>
      <c r="O57" s="164"/>
      <c r="P57" s="164"/>
      <c r="Q57" s="164"/>
    </row>
    <row r="58" spans="2:19">
      <c r="B58" s="211" t="s">
        <v>68</v>
      </c>
      <c r="C58" s="169"/>
      <c r="E58" s="239" t="s">
        <v>60</v>
      </c>
      <c r="F58" s="239" t="s">
        <v>59</v>
      </c>
      <c r="G58" s="239" t="s">
        <v>58</v>
      </c>
      <c r="H58" s="239" t="s">
        <v>57</v>
      </c>
      <c r="I58" s="239" t="s">
        <v>56</v>
      </c>
      <c r="J58" s="253" t="s">
        <v>55</v>
      </c>
      <c r="K58" s="245" t="s">
        <v>54</v>
      </c>
      <c r="L58" s="169" t="s">
        <v>53</v>
      </c>
      <c r="M58" s="169" t="s">
        <v>69</v>
      </c>
      <c r="N58" s="169" t="s">
        <v>64</v>
      </c>
      <c r="O58" s="169" t="s">
        <v>65</v>
      </c>
      <c r="P58" s="169" t="s">
        <v>66</v>
      </c>
      <c r="Q58" s="169" t="s">
        <v>52</v>
      </c>
    </row>
    <row r="59" spans="2:19">
      <c r="B59" s="212" t="s">
        <v>70</v>
      </c>
      <c r="C59" s="213"/>
      <c r="D59" s="181"/>
      <c r="E59" s="240"/>
      <c r="F59" s="240"/>
      <c r="G59" s="240"/>
      <c r="H59" s="240"/>
      <c r="I59" s="240"/>
      <c r="J59" s="240"/>
      <c r="K59" s="254"/>
      <c r="L59" s="213"/>
      <c r="M59" s="213"/>
      <c r="N59" s="213"/>
      <c r="O59" s="213"/>
      <c r="P59" s="213"/>
      <c r="Q59" s="213"/>
    </row>
    <row r="60" spans="2:19">
      <c r="B60" s="214" t="s">
        <v>71</v>
      </c>
      <c r="C60" s="178"/>
      <c r="D60" s="177"/>
      <c r="E60" s="258">
        <f t="shared" ref="E60:N60" si="10">+E12*$F$57</f>
        <v>28.969754000000002</v>
      </c>
      <c r="F60" s="258">
        <f t="shared" si="10"/>
        <v>23.745699999999999</v>
      </c>
      <c r="G60" s="258">
        <f t="shared" si="10"/>
        <v>26.595184</v>
      </c>
      <c r="H60" s="258">
        <f t="shared" si="10"/>
        <v>21.608587</v>
      </c>
      <c r="I60" s="258">
        <f t="shared" si="10"/>
        <v>24.220614000000001</v>
      </c>
      <c r="J60" s="258">
        <f t="shared" si="10"/>
        <v>16.384533000000001</v>
      </c>
      <c r="K60" s="258">
        <f t="shared" si="10"/>
        <v>25.645356000000003</v>
      </c>
      <c r="L60" s="258">
        <f t="shared" si="10"/>
        <v>16.859446999999999</v>
      </c>
      <c r="M60" s="258">
        <f t="shared" si="10"/>
        <v>16.859446999999999</v>
      </c>
      <c r="N60" s="258">
        <f t="shared" si="10"/>
        <v>17.334361000000023</v>
      </c>
      <c r="O60" s="258">
        <f t="shared" ref="O60:P60" si="11">+O12*$F$57</f>
        <v>20.896215999999999</v>
      </c>
      <c r="P60" s="258">
        <f t="shared" si="11"/>
        <v>14.484877000000001</v>
      </c>
      <c r="Q60" s="176">
        <f>SUM(E60:P60)</f>
        <v>253.60407600000002</v>
      </c>
    </row>
    <row r="61" spans="2:19">
      <c r="B61" s="215" t="s">
        <v>72</v>
      </c>
      <c r="C61" s="216"/>
      <c r="D61" s="181"/>
      <c r="E61" s="257">
        <f t="shared" ref="E61:N61" si="12">+E13*$I$57</f>
        <v>0.19207830400000001</v>
      </c>
      <c r="F61" s="257">
        <f t="shared" si="12"/>
        <v>0.15744471600000001</v>
      </c>
      <c r="G61" s="257">
        <f t="shared" si="12"/>
        <v>0.17633808192</v>
      </c>
      <c r="H61" s="257">
        <f t="shared" si="12"/>
        <v>0.14327469156000003</v>
      </c>
      <c r="I61" s="257">
        <f t="shared" si="12"/>
        <v>0.16059361032</v>
      </c>
      <c r="J61" s="257">
        <f t="shared" si="12"/>
        <v>0.10863685404000001</v>
      </c>
      <c r="K61" s="257">
        <f t="shared" si="12"/>
        <v>0.17004029328000003</v>
      </c>
      <c r="L61" s="257">
        <f t="shared" si="12"/>
        <v>0.11178574836000001</v>
      </c>
      <c r="M61" s="257">
        <f t="shared" si="12"/>
        <v>0.11178574836000001</v>
      </c>
      <c r="N61" s="257">
        <f t="shared" si="12"/>
        <v>0.11493464268000002</v>
      </c>
      <c r="O61" s="257">
        <f t="shared" ref="O61:P61" si="13">+O13*$I$57</f>
        <v>0.13855135008000002</v>
      </c>
      <c r="P61" s="257">
        <f t="shared" si="13"/>
        <v>9.6041276760000002E-2</v>
      </c>
      <c r="Q61" s="176">
        <f>SUM(E61:P61)</f>
        <v>1.6815053173600001</v>
      </c>
    </row>
    <row r="62" spans="2:19" s="2" customFormat="1">
      <c r="B62" s="215" t="s">
        <v>73</v>
      </c>
      <c r="C62" s="216"/>
      <c r="D62" s="181"/>
      <c r="E62" s="258">
        <f t="shared" ref="E62:N62" si="14">+E14*$F$57</f>
        <v>59.256315000000001</v>
      </c>
      <c r="F62" s="258">
        <f t="shared" si="14"/>
        <v>48.570750000000004</v>
      </c>
      <c r="G62" s="258">
        <f t="shared" si="14"/>
        <v>54.399239999999999</v>
      </c>
      <c r="H62" s="258">
        <f t="shared" si="14"/>
        <v>44.199382500000006</v>
      </c>
      <c r="I62" s="258">
        <f t="shared" si="14"/>
        <v>49.542164999999997</v>
      </c>
      <c r="J62" s="258">
        <f t="shared" si="14"/>
        <v>33.513817500000002</v>
      </c>
      <c r="K62" s="258">
        <f t="shared" si="14"/>
        <v>52.456410000000005</v>
      </c>
      <c r="L62" s="258">
        <f t="shared" si="14"/>
        <v>34.485232500000002</v>
      </c>
      <c r="M62" s="258">
        <f t="shared" si="14"/>
        <v>34.485232500000002</v>
      </c>
      <c r="N62" s="258">
        <f t="shared" si="14"/>
        <v>35.456647499999967</v>
      </c>
      <c r="O62" s="258">
        <f t="shared" ref="O62:P62" si="15">+O14*$F$57</f>
        <v>42.742260000000002</v>
      </c>
      <c r="P62" s="258">
        <f t="shared" si="15"/>
        <v>29.6281575</v>
      </c>
      <c r="Q62" s="176">
        <f>SUM(E62:P62)</f>
        <v>518.73560999999995</v>
      </c>
    </row>
    <row r="63" spans="2:19">
      <c r="B63" s="179" t="s">
        <v>105</v>
      </c>
      <c r="C63" s="180"/>
      <c r="D63" s="181"/>
      <c r="E63" s="259">
        <f t="shared" ref="E63:N63" si="16">E15</f>
        <v>2</v>
      </c>
      <c r="F63" s="259">
        <f t="shared" si="16"/>
        <v>3</v>
      </c>
      <c r="G63" s="259">
        <f t="shared" si="16"/>
        <v>1</v>
      </c>
      <c r="H63" s="259">
        <f t="shared" si="16"/>
        <v>1</v>
      </c>
      <c r="I63" s="259">
        <f t="shared" si="16"/>
        <v>1</v>
      </c>
      <c r="J63" s="259">
        <f t="shared" si="16"/>
        <v>1</v>
      </c>
      <c r="K63" s="259">
        <f t="shared" si="16"/>
        <v>2</v>
      </c>
      <c r="L63" s="259">
        <f t="shared" si="16"/>
        <v>1</v>
      </c>
      <c r="M63" s="259">
        <f t="shared" si="16"/>
        <v>3</v>
      </c>
      <c r="N63" s="259">
        <f t="shared" si="16"/>
        <v>0</v>
      </c>
      <c r="O63" s="259">
        <f t="shared" ref="O63:P63" si="17">O15</f>
        <v>0</v>
      </c>
      <c r="P63" s="259">
        <f t="shared" si="17"/>
        <v>1</v>
      </c>
      <c r="Q63" s="182">
        <f>SUM(E63:P63)</f>
        <v>16</v>
      </c>
    </row>
    <row r="64" spans="2:19">
      <c r="B64" s="183" t="s">
        <v>106</v>
      </c>
      <c r="C64" s="180"/>
      <c r="D64" s="181"/>
      <c r="E64" s="259">
        <f t="shared" ref="E64:N64" si="18">E16</f>
        <v>122</v>
      </c>
      <c r="F64" s="259">
        <f t="shared" si="18"/>
        <v>100</v>
      </c>
      <c r="G64" s="259">
        <f t="shared" si="18"/>
        <v>112</v>
      </c>
      <c r="H64" s="259">
        <f t="shared" si="18"/>
        <v>91</v>
      </c>
      <c r="I64" s="259">
        <f t="shared" si="18"/>
        <v>102</v>
      </c>
      <c r="J64" s="259">
        <f t="shared" si="18"/>
        <v>69</v>
      </c>
      <c r="K64" s="259">
        <f t="shared" si="18"/>
        <v>108</v>
      </c>
      <c r="L64" s="259">
        <f t="shared" si="18"/>
        <v>71</v>
      </c>
      <c r="M64" s="259">
        <f t="shared" si="18"/>
        <v>71</v>
      </c>
      <c r="N64" s="259">
        <f t="shared" si="18"/>
        <v>73</v>
      </c>
      <c r="O64" s="259">
        <f t="shared" ref="O64:P64" si="19">O16</f>
        <v>88</v>
      </c>
      <c r="P64" s="259">
        <f t="shared" si="19"/>
        <v>61</v>
      </c>
      <c r="Q64" s="182">
        <f>SUM(E64:P64)</f>
        <v>1068</v>
      </c>
    </row>
    <row r="65" spans="2:21">
      <c r="B65" s="217"/>
      <c r="C65" s="191"/>
      <c r="D65" s="181"/>
      <c r="E65" s="241"/>
      <c r="F65" s="241"/>
      <c r="G65" s="241"/>
      <c r="H65" s="241"/>
      <c r="I65" s="241"/>
      <c r="J65" s="241"/>
      <c r="K65" s="241"/>
      <c r="L65" s="241"/>
      <c r="M65" s="191"/>
      <c r="N65" s="191"/>
      <c r="O65" s="191"/>
      <c r="P65" s="191"/>
      <c r="Q65" s="187"/>
    </row>
    <row r="66" spans="2:21">
      <c r="B66" s="218" t="s">
        <v>74</v>
      </c>
      <c r="C66" s="219"/>
      <c r="D66" s="181"/>
      <c r="E66" s="242"/>
      <c r="F66" s="242"/>
      <c r="G66" s="242"/>
      <c r="H66" s="242"/>
      <c r="I66" s="242"/>
      <c r="J66" s="242"/>
      <c r="K66" s="242"/>
      <c r="L66" s="242"/>
      <c r="M66" s="219"/>
      <c r="N66" s="219"/>
      <c r="O66" s="219"/>
      <c r="P66" s="219"/>
      <c r="Q66" s="176"/>
    </row>
    <row r="67" spans="2:21" s="2" customFormat="1">
      <c r="B67" s="214" t="s">
        <v>75</v>
      </c>
      <c r="C67" s="178"/>
      <c r="D67" s="177"/>
      <c r="E67" s="258">
        <f t="shared" ref="E67:N67" si="20">+E19*$F$57</f>
        <v>2.6120269999999999</v>
      </c>
      <c r="F67" s="258">
        <f t="shared" si="20"/>
        <v>0.237457</v>
      </c>
      <c r="G67" s="258">
        <f t="shared" si="20"/>
        <v>0.474914</v>
      </c>
      <c r="H67" s="258">
        <f t="shared" si="20"/>
        <v>1.662199</v>
      </c>
      <c r="I67" s="258">
        <f t="shared" si="20"/>
        <v>3.799312</v>
      </c>
      <c r="J67" s="258">
        <f t="shared" si="20"/>
        <v>1.662199</v>
      </c>
      <c r="K67" s="258">
        <f t="shared" si="20"/>
        <v>5.9364249999999998</v>
      </c>
      <c r="L67" s="258">
        <f t="shared" si="20"/>
        <v>4.0367690000000005</v>
      </c>
      <c r="M67" s="258">
        <f t="shared" si="20"/>
        <v>0.71237100000000009</v>
      </c>
      <c r="N67" s="258">
        <f t="shared" si="20"/>
        <v>0.474914</v>
      </c>
      <c r="O67" s="258">
        <f t="shared" ref="O67:P67" si="21">+O19*$F$57</f>
        <v>1.662199</v>
      </c>
      <c r="P67" s="258">
        <f t="shared" si="21"/>
        <v>1.1872850000000001</v>
      </c>
      <c r="Q67" s="176">
        <f>SUM(E67:P67)</f>
        <v>24.458070999999997</v>
      </c>
    </row>
    <row r="68" spans="2:21">
      <c r="B68" s="215" t="s">
        <v>62</v>
      </c>
      <c r="C68" s="216"/>
      <c r="D68" s="181"/>
      <c r="E68" s="258">
        <f t="shared" ref="E68:N68" si="22">+E20*$I$57</f>
        <v>1.7318918760000003E-2</v>
      </c>
      <c r="F68" s="258">
        <f t="shared" si="22"/>
        <v>1.5744471600000001E-3</v>
      </c>
      <c r="G68" s="258">
        <f t="shared" si="22"/>
        <v>3.1488943200000002E-3</v>
      </c>
      <c r="H68" s="258">
        <f t="shared" si="22"/>
        <v>1.102113012E-2</v>
      </c>
      <c r="I68" s="258">
        <f t="shared" si="22"/>
        <v>2.5191154560000002E-2</v>
      </c>
      <c r="J68" s="258">
        <f t="shared" si="22"/>
        <v>1.102113012E-2</v>
      </c>
      <c r="K68" s="258">
        <f t="shared" si="22"/>
        <v>3.9361179000000003E-2</v>
      </c>
      <c r="L68" s="258">
        <f t="shared" si="22"/>
        <v>2.6765601720000004E-2</v>
      </c>
      <c r="M68" s="258">
        <f t="shared" si="22"/>
        <v>4.7233414800000005E-3</v>
      </c>
      <c r="N68" s="258">
        <f t="shared" si="22"/>
        <v>3.1488943200000002E-3</v>
      </c>
      <c r="O68" s="258">
        <f t="shared" ref="O68:P68" si="23">+O20*$I$57</f>
        <v>1.102113012E-2</v>
      </c>
      <c r="P68" s="258">
        <f t="shared" si="23"/>
        <v>7.8722358000000003E-3</v>
      </c>
      <c r="Q68" s="176">
        <f>SUM(E68:P68)</f>
        <v>0.16216805748000002</v>
      </c>
    </row>
    <row r="69" spans="2:21">
      <c r="B69" s="215" t="s">
        <v>76</v>
      </c>
      <c r="C69" s="216"/>
      <c r="D69" s="181"/>
      <c r="E69" s="258">
        <f t="shared" ref="E69:N69" si="24">+E21*$F$57</f>
        <v>5.3427825000000002</v>
      </c>
      <c r="F69" s="258">
        <f t="shared" si="24"/>
        <v>0.48570750000000001</v>
      </c>
      <c r="G69" s="258">
        <f t="shared" si="24"/>
        <v>0.97141500000000003</v>
      </c>
      <c r="H69" s="258">
        <f t="shared" si="24"/>
        <v>3.3999524999999999</v>
      </c>
      <c r="I69" s="258">
        <f t="shared" si="24"/>
        <v>7.7713200000000002</v>
      </c>
      <c r="J69" s="258">
        <f t="shared" si="24"/>
        <v>3.3999524999999999</v>
      </c>
      <c r="K69" s="258">
        <f t="shared" si="24"/>
        <v>12.142687500000001</v>
      </c>
      <c r="L69" s="258">
        <f t="shared" si="24"/>
        <v>8.2570275000000013</v>
      </c>
      <c r="M69" s="258">
        <f t="shared" si="24"/>
        <v>1.4571225000000001</v>
      </c>
      <c r="N69" s="258">
        <f t="shared" si="24"/>
        <v>0.97141500000000003</v>
      </c>
      <c r="O69" s="258">
        <f t="shared" ref="O69:P69" si="25">+O21*$F$57</f>
        <v>3.3999524999999999</v>
      </c>
      <c r="P69" s="258">
        <f t="shared" si="25"/>
        <v>2.4285375</v>
      </c>
      <c r="Q69" s="176">
        <f>SUM(E69:P69)</f>
        <v>50.027872499999994</v>
      </c>
    </row>
    <row r="70" spans="2:21">
      <c r="B70" s="179" t="s">
        <v>107</v>
      </c>
      <c r="C70" s="180"/>
      <c r="D70" s="181"/>
      <c r="E70" s="258">
        <f t="shared" ref="E70:N70" si="26">+E22</f>
        <v>11</v>
      </c>
      <c r="F70" s="258">
        <f t="shared" si="26"/>
        <v>1</v>
      </c>
      <c r="G70" s="258">
        <f t="shared" si="26"/>
        <v>2</v>
      </c>
      <c r="H70" s="258">
        <f t="shared" si="26"/>
        <v>7</v>
      </c>
      <c r="I70" s="258">
        <f t="shared" si="26"/>
        <v>16</v>
      </c>
      <c r="J70" s="258">
        <f t="shared" si="26"/>
        <v>7</v>
      </c>
      <c r="K70" s="258">
        <f t="shared" si="26"/>
        <v>25</v>
      </c>
      <c r="L70" s="258">
        <f t="shared" si="26"/>
        <v>17</v>
      </c>
      <c r="M70" s="258">
        <f t="shared" si="26"/>
        <v>3</v>
      </c>
      <c r="N70" s="258">
        <f t="shared" si="26"/>
        <v>2</v>
      </c>
      <c r="O70" s="259">
        <f t="shared" ref="O70:P70" si="27">+O22</f>
        <v>7</v>
      </c>
      <c r="P70" s="259">
        <f t="shared" si="27"/>
        <v>5</v>
      </c>
      <c r="Q70" s="182">
        <f>SUM(E70:P70)</f>
        <v>103</v>
      </c>
    </row>
    <row r="71" spans="2:21">
      <c r="B71" s="217"/>
      <c r="C71" s="191"/>
      <c r="D71" s="181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187"/>
    </row>
    <row r="72" spans="2:21" s="2" customFormat="1">
      <c r="B72" s="218" t="s">
        <v>77</v>
      </c>
      <c r="C72" s="219"/>
      <c r="D72" s="181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176"/>
    </row>
    <row r="73" spans="2:21">
      <c r="B73" s="214" t="s">
        <v>75</v>
      </c>
      <c r="C73" s="178"/>
      <c r="D73" s="177"/>
      <c r="E73" s="258">
        <f t="shared" ref="E73:N73" si="28">+E25*$F$57</f>
        <v>347.52350038000003</v>
      </c>
      <c r="F73" s="258">
        <f t="shared" si="28"/>
        <v>168.072604275</v>
      </c>
      <c r="G73" s="258">
        <f t="shared" si="28"/>
        <v>106.98894972500001</v>
      </c>
      <c r="H73" s="258">
        <f t="shared" si="28"/>
        <v>49.365367469999995</v>
      </c>
      <c r="I73" s="258">
        <f t="shared" si="28"/>
        <v>80.474285234999996</v>
      </c>
      <c r="J73" s="258">
        <f t="shared" si="28"/>
        <v>29.596100804999999</v>
      </c>
      <c r="K73" s="258">
        <f t="shared" si="28"/>
        <v>37.750590054999996</v>
      </c>
      <c r="L73" s="258">
        <f t="shared" si="28"/>
        <v>12.395903010000001</v>
      </c>
      <c r="M73" s="258">
        <f t="shared" si="28"/>
        <v>4.9782860050000002</v>
      </c>
      <c r="N73" s="258">
        <f t="shared" si="28"/>
        <v>5.3371698800000003</v>
      </c>
      <c r="O73" s="258">
        <f t="shared" ref="O73:P73" si="29">+O25*$F$57</f>
        <v>12.604757235000001</v>
      </c>
      <c r="P73" s="258">
        <f t="shared" si="29"/>
        <v>176.87977647000008</v>
      </c>
      <c r="Q73" s="176">
        <f>SUM(E73:P73)</f>
        <v>1031.9672905450002</v>
      </c>
      <c r="T73" s="234"/>
      <c r="U73" s="234"/>
    </row>
    <row r="74" spans="2:21">
      <c r="B74" s="215" t="s">
        <v>62</v>
      </c>
      <c r="C74" s="216"/>
      <c r="D74" s="181"/>
      <c r="E74" s="258">
        <f t="shared" ref="E74:N74" si="30">+E26*$I$57</f>
        <v>1.0810442849206001</v>
      </c>
      <c r="F74" s="258">
        <f t="shared" si="30"/>
        <v>0.52282545730800001</v>
      </c>
      <c r="G74" s="258">
        <f t="shared" si="30"/>
        <v>0.33281128328140003</v>
      </c>
      <c r="H74" s="258">
        <f t="shared" si="30"/>
        <v>0.153561079672</v>
      </c>
      <c r="I74" s="258">
        <f t="shared" si="30"/>
        <v>0.25033225398720005</v>
      </c>
      <c r="J74" s="258">
        <f t="shared" si="30"/>
        <v>9.2064586567800005E-2</v>
      </c>
      <c r="K74" s="258">
        <f t="shared" si="30"/>
        <v>0.11743155439400002</v>
      </c>
      <c r="L74" s="258">
        <f t="shared" si="30"/>
        <v>3.8559825766000005E-2</v>
      </c>
      <c r="M74" s="258">
        <f t="shared" si="30"/>
        <v>1.5486100784000001E-2</v>
      </c>
      <c r="N74" s="258">
        <f t="shared" si="30"/>
        <v>1.6602343450000001E-2</v>
      </c>
      <c r="O74" s="258">
        <f t="shared" ref="O74:P74" si="31">+O26*$I$57</f>
        <v>3.920978985000001E-2</v>
      </c>
      <c r="P74" s="258">
        <f t="shared" si="31"/>
        <v>0.55022426937940005</v>
      </c>
      <c r="Q74" s="176">
        <f>SUM(E74:P74)</f>
        <v>3.2101528293604003</v>
      </c>
      <c r="T74" s="159"/>
      <c r="U74" s="234"/>
    </row>
    <row r="75" spans="2:21">
      <c r="B75" s="215" t="s">
        <v>76</v>
      </c>
      <c r="C75" s="216"/>
      <c r="D75" s="181"/>
      <c r="E75" s="258">
        <f t="shared" ref="E75:N75" si="32">+E27*$F$57</f>
        <v>10.323011335</v>
      </c>
      <c r="F75" s="258">
        <f t="shared" si="32"/>
        <v>4.9926413600000004</v>
      </c>
      <c r="G75" s="258">
        <f t="shared" si="32"/>
        <v>3.1782540099999999</v>
      </c>
      <c r="H75" s="258">
        <f t="shared" si="32"/>
        <v>1.4664049100000001</v>
      </c>
      <c r="I75" s="258">
        <f t="shared" si="32"/>
        <v>2.3905443800000001</v>
      </c>
      <c r="J75" s="258">
        <f t="shared" si="32"/>
        <v>0.87913057500000003</v>
      </c>
      <c r="K75" s="258">
        <f t="shared" si="32"/>
        <v>1.1215525849999999</v>
      </c>
      <c r="L75" s="258">
        <f t="shared" si="32"/>
        <v>0.36827422000000004</v>
      </c>
      <c r="M75" s="258">
        <f t="shared" si="32"/>
        <v>0.147978885</v>
      </c>
      <c r="N75" s="258">
        <f t="shared" si="32"/>
        <v>0.15855651500000001</v>
      </c>
      <c r="O75" s="258">
        <f t="shared" ref="O75" si="33">+O27*$F$57</f>
        <v>0.37442651500000002</v>
      </c>
      <c r="P75" s="258">
        <f>+P27*$F$57</f>
        <v>5.2544916700000002</v>
      </c>
      <c r="Q75" s="176">
        <f>SUM(E75:P75)</f>
        <v>30.655266960000006</v>
      </c>
      <c r="T75" s="159"/>
    </row>
    <row r="76" spans="2:21" s="2" customFormat="1">
      <c r="B76" s="179" t="s">
        <v>107</v>
      </c>
      <c r="C76" s="180"/>
      <c r="D76" s="181"/>
      <c r="E76" s="258">
        <f t="shared" ref="E76:N76" si="34">+E28</f>
        <v>94</v>
      </c>
      <c r="F76" s="258">
        <f t="shared" si="34"/>
        <v>42</v>
      </c>
      <c r="G76" s="258">
        <f t="shared" si="34"/>
        <v>28</v>
      </c>
      <c r="H76" s="258">
        <f t="shared" si="34"/>
        <v>15</v>
      </c>
      <c r="I76" s="258">
        <f t="shared" si="34"/>
        <v>20</v>
      </c>
      <c r="J76" s="258">
        <f t="shared" si="34"/>
        <v>9</v>
      </c>
      <c r="K76" s="258">
        <f t="shared" si="34"/>
        <v>11</v>
      </c>
      <c r="L76" s="258">
        <f t="shared" si="34"/>
        <v>3</v>
      </c>
      <c r="M76" s="258">
        <f t="shared" si="34"/>
        <v>2</v>
      </c>
      <c r="N76" s="258">
        <f t="shared" si="34"/>
        <v>2</v>
      </c>
      <c r="O76" s="259">
        <f t="shared" ref="O76:P76" si="35">+O28</f>
        <v>3</v>
      </c>
      <c r="P76" s="259">
        <f t="shared" si="35"/>
        <v>49</v>
      </c>
      <c r="Q76" s="182">
        <f>SUM(E76:P76)</f>
        <v>278</v>
      </c>
    </row>
    <row r="77" spans="2:21" s="2" customFormat="1" ht="10.5" customHeight="1">
      <c r="B77" s="217"/>
      <c r="C77" s="191"/>
      <c r="D77" s="181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187"/>
    </row>
    <row r="78" spans="2:21">
      <c r="B78" s="218" t="s">
        <v>78</v>
      </c>
      <c r="C78" s="219"/>
      <c r="D78" s="181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176"/>
    </row>
    <row r="79" spans="2:21">
      <c r="B79" s="214" t="s">
        <v>75</v>
      </c>
      <c r="C79" s="178"/>
      <c r="D79" s="177"/>
      <c r="E79" s="258">
        <f t="shared" ref="E79:N79" si="36">+E31*$F$57</f>
        <v>0</v>
      </c>
      <c r="F79" s="258">
        <f t="shared" si="36"/>
        <v>0</v>
      </c>
      <c r="G79" s="258">
        <f t="shared" si="36"/>
        <v>1.1836152100000001</v>
      </c>
      <c r="H79" s="258">
        <f t="shared" si="36"/>
        <v>0</v>
      </c>
      <c r="I79" s="301">
        <f t="shared" si="36"/>
        <v>1.5812477500000002</v>
      </c>
      <c r="J79" s="258">
        <f t="shared" si="36"/>
        <v>0</v>
      </c>
      <c r="K79" s="258">
        <f t="shared" si="36"/>
        <v>0</v>
      </c>
      <c r="L79" s="258">
        <f t="shared" si="36"/>
        <v>0</v>
      </c>
      <c r="M79" s="258">
        <f t="shared" si="36"/>
        <v>0.82829319000000001</v>
      </c>
      <c r="N79" s="258">
        <f t="shared" si="36"/>
        <v>0</v>
      </c>
      <c r="O79" s="258">
        <f t="shared" ref="O79:P79" si="37">+O31*$F$57</f>
        <v>0</v>
      </c>
      <c r="P79" s="258">
        <f t="shared" si="37"/>
        <v>0</v>
      </c>
      <c r="Q79" s="176">
        <f>SUM(E79:P79)</f>
        <v>3.5931561500000004</v>
      </c>
    </row>
    <row r="80" spans="2:21">
      <c r="B80" s="215" t="s">
        <v>62</v>
      </c>
      <c r="C80" s="216"/>
      <c r="D80" s="181"/>
      <c r="E80" s="258">
        <f t="shared" ref="E80:N80" si="38">+E32*$I$57</f>
        <v>0</v>
      </c>
      <c r="F80" s="258">
        <f t="shared" si="38"/>
        <v>0</v>
      </c>
      <c r="G80" s="258">
        <f t="shared" si="38"/>
        <v>4.2591228528200001E-3</v>
      </c>
      <c r="H80" s="258">
        <f t="shared" si="38"/>
        <v>0</v>
      </c>
      <c r="I80" s="301">
        <f t="shared" si="38"/>
        <v>5.6896679858700009E-3</v>
      </c>
      <c r="J80" s="258">
        <f t="shared" si="38"/>
        <v>0</v>
      </c>
      <c r="K80" s="258">
        <f t="shared" si="38"/>
        <v>0</v>
      </c>
      <c r="L80" s="258">
        <f t="shared" si="38"/>
        <v>0</v>
      </c>
      <c r="M80" s="258">
        <f t="shared" si="38"/>
        <v>2.9803022631360002E-3</v>
      </c>
      <c r="N80" s="258">
        <f t="shared" si="38"/>
        <v>0</v>
      </c>
      <c r="O80" s="258">
        <f t="shared" ref="O80:P80" si="39">+O32*$I$57</f>
        <v>0</v>
      </c>
      <c r="P80" s="258">
        <f t="shared" si="39"/>
        <v>0</v>
      </c>
      <c r="Q80" s="176">
        <f>SUM(E80:P80)</f>
        <v>1.2929093101826002E-2</v>
      </c>
    </row>
    <row r="81" spans="2:19">
      <c r="B81" s="215" t="s">
        <v>76</v>
      </c>
      <c r="C81" s="216"/>
      <c r="D81" s="181"/>
      <c r="E81" s="258">
        <f t="shared" ref="E81:N81" si="40">+E33*$F$57</f>
        <v>0</v>
      </c>
      <c r="F81" s="258">
        <f t="shared" si="40"/>
        <v>0</v>
      </c>
      <c r="G81" s="258">
        <f t="shared" si="40"/>
        <v>8.4189300000000009E-2</v>
      </c>
      <c r="H81" s="258">
        <f t="shared" si="40"/>
        <v>0</v>
      </c>
      <c r="I81" s="301">
        <f t="shared" si="40"/>
        <v>0.11236033500000001</v>
      </c>
      <c r="J81" s="258">
        <f t="shared" si="40"/>
        <v>0</v>
      </c>
      <c r="K81" s="258">
        <f t="shared" si="40"/>
        <v>0</v>
      </c>
      <c r="L81" s="258">
        <f t="shared" si="40"/>
        <v>0</v>
      </c>
      <c r="M81" s="258">
        <f t="shared" si="40"/>
        <v>5.8824575000000004E-2</v>
      </c>
      <c r="N81" s="258">
        <f t="shared" si="40"/>
        <v>0</v>
      </c>
      <c r="O81" s="258">
        <f t="shared" ref="O81:P81" si="41">+O33*$F$57</f>
        <v>0</v>
      </c>
      <c r="P81" s="258">
        <f t="shared" si="41"/>
        <v>0</v>
      </c>
      <c r="Q81" s="176">
        <f>SUM(E81:P81)</f>
        <v>0.25537420999999999</v>
      </c>
    </row>
    <row r="82" spans="2:19">
      <c r="B82" s="179" t="s">
        <v>105</v>
      </c>
      <c r="C82" s="180"/>
      <c r="D82" s="181"/>
      <c r="E82" s="258">
        <f t="shared" ref="E82:N82" si="42">+E34</f>
        <v>0</v>
      </c>
      <c r="F82" s="258">
        <f t="shared" si="42"/>
        <v>1</v>
      </c>
      <c r="G82" s="258">
        <f t="shared" si="42"/>
        <v>0</v>
      </c>
      <c r="H82" s="258">
        <f t="shared" si="42"/>
        <v>1</v>
      </c>
      <c r="I82" s="258">
        <f t="shared" si="42"/>
        <v>0</v>
      </c>
      <c r="J82" s="258">
        <f t="shared" si="42"/>
        <v>0</v>
      </c>
      <c r="K82" s="258">
        <f t="shared" si="42"/>
        <v>0</v>
      </c>
      <c r="L82" s="258">
        <f t="shared" si="42"/>
        <v>0</v>
      </c>
      <c r="M82" s="258">
        <f t="shared" si="42"/>
        <v>0</v>
      </c>
      <c r="N82" s="258">
        <f t="shared" si="42"/>
        <v>0</v>
      </c>
      <c r="O82" s="258">
        <f t="shared" ref="O82:P82" si="43">+O34</f>
        <v>0</v>
      </c>
      <c r="P82" s="258">
        <f t="shared" si="43"/>
        <v>0</v>
      </c>
      <c r="Q82" s="182">
        <f>SUM(E82:P82)</f>
        <v>2</v>
      </c>
    </row>
    <row r="83" spans="2:19">
      <c r="B83" s="179" t="s">
        <v>108</v>
      </c>
      <c r="C83" s="180"/>
      <c r="D83" s="181"/>
      <c r="E83" s="258">
        <f t="shared" ref="E83:N83" si="44">+E35</f>
        <v>0</v>
      </c>
      <c r="F83" s="258">
        <f t="shared" si="44"/>
        <v>0</v>
      </c>
      <c r="G83" s="258">
        <f t="shared" si="44"/>
        <v>2</v>
      </c>
      <c r="H83" s="258">
        <f t="shared" si="44"/>
        <v>0</v>
      </c>
      <c r="I83" s="258">
        <f t="shared" si="44"/>
        <v>2</v>
      </c>
      <c r="J83" s="258">
        <f t="shared" si="44"/>
        <v>0</v>
      </c>
      <c r="K83" s="258">
        <f t="shared" si="44"/>
        <v>0</v>
      </c>
      <c r="L83" s="258">
        <f t="shared" si="44"/>
        <v>0</v>
      </c>
      <c r="M83" s="258">
        <f t="shared" si="44"/>
        <v>1</v>
      </c>
      <c r="N83" s="258">
        <f t="shared" si="44"/>
        <v>0</v>
      </c>
      <c r="O83" s="258">
        <f t="shared" ref="O83:P83" si="45">+O35</f>
        <v>0</v>
      </c>
      <c r="P83" s="258">
        <f t="shared" si="45"/>
        <v>0</v>
      </c>
      <c r="Q83" s="182">
        <f>SUM(E83:P83)</f>
        <v>5</v>
      </c>
    </row>
    <row r="84" spans="2:19">
      <c r="B84" s="217"/>
      <c r="C84" s="191"/>
      <c r="D84" s="181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190"/>
    </row>
    <row r="85" spans="2:19">
      <c r="B85" s="218" t="s">
        <v>79</v>
      </c>
      <c r="C85" s="219"/>
      <c r="D85" s="181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176"/>
    </row>
    <row r="86" spans="2:19">
      <c r="B86" s="214" t="s">
        <v>75</v>
      </c>
      <c r="C86" s="178"/>
      <c r="D86" s="177"/>
      <c r="E86" s="258">
        <f t="shared" ref="E86:N86" si="46">+E38*$F$57</f>
        <v>25.686479235000004</v>
      </c>
      <c r="F86" s="258">
        <f t="shared" si="46"/>
        <v>132.25448245999999</v>
      </c>
      <c r="G86" s="258">
        <f t="shared" si="46"/>
        <v>76.187430840000005</v>
      </c>
      <c r="H86" s="258">
        <f t="shared" si="46"/>
        <v>757.42425628499996</v>
      </c>
      <c r="I86" s="258">
        <f t="shared" si="46"/>
        <v>46.194776845000007</v>
      </c>
      <c r="J86" s="258">
        <f t="shared" si="46"/>
        <v>25.258624895000004</v>
      </c>
      <c r="K86" s="258">
        <f t="shared" si="46"/>
        <v>36.519807249999999</v>
      </c>
      <c r="L86" s="258">
        <f t="shared" si="46"/>
        <v>4.3241999050000004</v>
      </c>
      <c r="M86" s="258">
        <f t="shared" si="46"/>
        <v>0</v>
      </c>
      <c r="N86" s="258">
        <f t="shared" si="46"/>
        <v>8.9663763200000002</v>
      </c>
      <c r="O86" s="258">
        <f t="shared" ref="O86:P86" si="47">+O38*$F$57</f>
        <v>16.801809710000001</v>
      </c>
      <c r="P86" s="258">
        <f t="shared" si="47"/>
        <v>21.20318314</v>
      </c>
      <c r="Q86" s="176">
        <f>SUM(E86:P86)</f>
        <v>1150.8214268849999</v>
      </c>
    </row>
    <row r="87" spans="2:19">
      <c r="B87" s="215" t="s">
        <v>62</v>
      </c>
      <c r="C87" s="216"/>
      <c r="D87" s="181"/>
      <c r="E87" s="258">
        <f t="shared" ref="E87:N87" si="48">+E39*$I$57</f>
        <v>7.9903193370000014E-2</v>
      </c>
      <c r="F87" s="258">
        <f t="shared" si="48"/>
        <v>0.41140607069100005</v>
      </c>
      <c r="G87" s="258">
        <f t="shared" si="48"/>
        <v>0.23699668654200001</v>
      </c>
      <c r="H87" s="258">
        <f t="shared" si="48"/>
        <v>2.3561268693270003</v>
      </c>
      <c r="I87" s="258">
        <f t="shared" si="48"/>
        <v>0.14369858118000001</v>
      </c>
      <c r="J87" s="258">
        <f t="shared" si="48"/>
        <v>7.8572179963200012E-2</v>
      </c>
      <c r="K87" s="258">
        <f t="shared" si="48"/>
        <v>0.11360241816000001</v>
      </c>
      <c r="L87" s="258">
        <f t="shared" si="48"/>
        <v>1.3451430608000001E-2</v>
      </c>
      <c r="M87" s="258">
        <f t="shared" si="48"/>
        <v>0</v>
      </c>
      <c r="N87" s="258">
        <f t="shared" si="48"/>
        <v>2.7891936996000004E-2</v>
      </c>
      <c r="O87" s="258">
        <f t="shared" ref="O87:P87" si="49">+O39*$I$57</f>
        <v>5.2265590145999997E-2</v>
      </c>
      <c r="P87" s="258">
        <f t="shared" si="49"/>
        <v>6.5957224872000009E-2</v>
      </c>
      <c r="Q87" s="176">
        <f>SUM(E87:P87)</f>
        <v>3.5798721818552006</v>
      </c>
    </row>
    <row r="88" spans="2:19">
      <c r="B88" s="215" t="s">
        <v>76</v>
      </c>
      <c r="C88" s="216"/>
      <c r="D88" s="181"/>
      <c r="E88" s="258">
        <f t="shared" ref="E88:N88" si="50">+E40*$F$57</f>
        <v>0.76299251499999998</v>
      </c>
      <c r="F88" s="258">
        <f t="shared" si="50"/>
        <v>3.9286181300000003</v>
      </c>
      <c r="G88" s="258">
        <f t="shared" si="50"/>
        <v>2.2630731449999999</v>
      </c>
      <c r="H88" s="258">
        <f t="shared" si="50"/>
        <v>22.497755530000003</v>
      </c>
      <c r="I88" s="258">
        <f t="shared" si="50"/>
        <v>1.3721776550000002</v>
      </c>
      <c r="J88" s="258">
        <f t="shared" si="50"/>
        <v>0.75036411999999997</v>
      </c>
      <c r="K88" s="258">
        <f t="shared" si="50"/>
        <v>1.0847467499999999</v>
      </c>
      <c r="L88" s="258">
        <f t="shared" si="50"/>
        <v>0.12844264999999999</v>
      </c>
      <c r="M88" s="258">
        <f t="shared" si="50"/>
        <v>0</v>
      </c>
      <c r="N88" s="258">
        <f t="shared" si="50"/>
        <v>0.26638358000000001</v>
      </c>
      <c r="O88" s="258">
        <f t="shared" ref="O88:P88" si="51">+O40*$F$57</f>
        <v>0.49909144</v>
      </c>
      <c r="P88" s="258">
        <f t="shared" si="51"/>
        <v>0.62990866000000001</v>
      </c>
      <c r="Q88" s="176">
        <f>SUM(E88:P88)</f>
        <v>34.183554175000005</v>
      </c>
    </row>
    <row r="89" spans="2:19">
      <c r="B89" s="179" t="s">
        <v>107</v>
      </c>
      <c r="C89" s="180"/>
      <c r="D89" s="181"/>
      <c r="E89" s="259">
        <f t="shared" ref="E89:N89" si="52">+E41</f>
        <v>3</v>
      </c>
      <c r="F89" s="259">
        <f t="shared" si="52"/>
        <v>14</v>
      </c>
      <c r="G89" s="259">
        <f t="shared" si="52"/>
        <v>10</v>
      </c>
      <c r="H89" s="259">
        <f t="shared" si="52"/>
        <v>12</v>
      </c>
      <c r="I89" s="259">
        <f t="shared" si="52"/>
        <v>5</v>
      </c>
      <c r="J89" s="259">
        <f t="shared" si="52"/>
        <v>5</v>
      </c>
      <c r="K89" s="259">
        <f t="shared" si="52"/>
        <v>2</v>
      </c>
      <c r="L89" s="259">
        <f t="shared" si="52"/>
        <v>1</v>
      </c>
      <c r="M89" s="259">
        <f t="shared" si="52"/>
        <v>0</v>
      </c>
      <c r="N89" s="259">
        <f t="shared" si="52"/>
        <v>1</v>
      </c>
      <c r="O89" s="259">
        <f t="shared" ref="O89:P89" si="53">+O41</f>
        <v>1</v>
      </c>
      <c r="P89" s="259">
        <f t="shared" si="53"/>
        <v>2</v>
      </c>
      <c r="Q89" s="182">
        <f>SUM(E89:P89)</f>
        <v>56</v>
      </c>
    </row>
    <row r="90" spans="2:19">
      <c r="B90" s="217"/>
      <c r="C90" s="191"/>
      <c r="D90" s="181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190"/>
      <c r="S90" s="159"/>
    </row>
    <row r="91" spans="2:19">
      <c r="B91" s="218" t="s">
        <v>80</v>
      </c>
      <c r="C91" s="220"/>
      <c r="D91" s="177"/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176"/>
      <c r="S91" s="159"/>
    </row>
    <row r="92" spans="2:19">
      <c r="B92" s="214" t="s">
        <v>75</v>
      </c>
      <c r="C92" s="178"/>
      <c r="D92" s="177"/>
      <c r="E92" s="258">
        <f t="shared" ref="E92:N92" si="54">+E44*$F$57</f>
        <v>0</v>
      </c>
      <c r="F92" s="258">
        <f t="shared" si="54"/>
        <v>0</v>
      </c>
      <c r="G92" s="258">
        <f t="shared" si="54"/>
        <v>0</v>
      </c>
      <c r="H92" s="258">
        <f t="shared" si="54"/>
        <v>0</v>
      </c>
      <c r="I92" s="258">
        <f t="shared" si="54"/>
        <v>0</v>
      </c>
      <c r="J92" s="258">
        <f t="shared" si="54"/>
        <v>0</v>
      </c>
      <c r="K92" s="258">
        <f t="shared" si="54"/>
        <v>0</v>
      </c>
      <c r="L92" s="258">
        <f t="shared" si="54"/>
        <v>43.151765390000001</v>
      </c>
      <c r="M92" s="258">
        <f t="shared" si="54"/>
        <v>0</v>
      </c>
      <c r="N92" s="258">
        <f t="shared" si="54"/>
        <v>15.898069955000002</v>
      </c>
      <c r="O92" s="258">
        <f t="shared" ref="O92:P92" si="55">+O44*$F$57</f>
        <v>6.8135048099999995</v>
      </c>
      <c r="P92" s="258">
        <f t="shared" si="55"/>
        <v>20.440082690000004</v>
      </c>
      <c r="Q92" s="176">
        <f>SUM(E92:P92)</f>
        <v>86.303422845</v>
      </c>
      <c r="S92" s="159"/>
    </row>
    <row r="93" spans="2:19">
      <c r="B93" s="215" t="s">
        <v>62</v>
      </c>
      <c r="C93" s="216"/>
      <c r="D93" s="181"/>
      <c r="E93" s="258">
        <f t="shared" ref="E93:N93" si="56">+E45*$I$57</f>
        <v>0</v>
      </c>
      <c r="F93" s="258">
        <f t="shared" si="56"/>
        <v>0</v>
      </c>
      <c r="G93" s="258">
        <f t="shared" si="56"/>
        <v>0</v>
      </c>
      <c r="H93" s="258">
        <f t="shared" si="56"/>
        <v>0</v>
      </c>
      <c r="I93" s="258">
        <f t="shared" si="56"/>
        <v>0</v>
      </c>
      <c r="J93" s="258">
        <f t="shared" si="56"/>
        <v>0</v>
      </c>
      <c r="K93" s="258">
        <f t="shared" si="56"/>
        <v>0</v>
      </c>
      <c r="L93" s="258">
        <f t="shared" si="56"/>
        <v>0.134231713</v>
      </c>
      <c r="M93" s="258">
        <f t="shared" si="56"/>
        <v>0</v>
      </c>
      <c r="N93" s="258">
        <f t="shared" si="56"/>
        <v>4.9453789000000005E-2</v>
      </c>
      <c r="O93" s="258">
        <f t="shared" ref="O93:P93" si="57">+O45*$I$57</f>
        <v>2.1194481000000001E-2</v>
      </c>
      <c r="P93" s="258">
        <f t="shared" si="57"/>
        <v>6.3583443000000003E-2</v>
      </c>
      <c r="Q93" s="176">
        <f>SUM(E93:P93)</f>
        <v>0.26846342600000001</v>
      </c>
      <c r="R93" s="159"/>
    </row>
    <row r="94" spans="2:19">
      <c r="B94" s="288" t="s">
        <v>76</v>
      </c>
      <c r="C94" s="289"/>
      <c r="D94" s="181"/>
      <c r="E94" s="258">
        <f t="shared" ref="E94:N94" si="58">+E46*$F$57</f>
        <v>0</v>
      </c>
      <c r="F94" s="258">
        <f t="shared" si="58"/>
        <v>0</v>
      </c>
      <c r="G94" s="258">
        <f t="shared" si="58"/>
        <v>0</v>
      </c>
      <c r="H94" s="258">
        <f t="shared" si="58"/>
        <v>0</v>
      </c>
      <c r="I94" s="258">
        <f t="shared" si="58"/>
        <v>0</v>
      </c>
      <c r="J94" s="258">
        <f t="shared" si="58"/>
        <v>0</v>
      </c>
      <c r="K94" s="258">
        <f t="shared" si="58"/>
        <v>0</v>
      </c>
      <c r="L94" s="258">
        <f t="shared" si="58"/>
        <v>1.2817281250000001</v>
      </c>
      <c r="M94" s="258">
        <f t="shared" si="58"/>
        <v>0</v>
      </c>
      <c r="N94" s="258">
        <f t="shared" si="58"/>
        <v>0.47221562500000003</v>
      </c>
      <c r="O94" s="258">
        <f t="shared" ref="O94:P94" si="59">+O46*$F$57</f>
        <v>0.20237812500000002</v>
      </c>
      <c r="P94" s="258">
        <f t="shared" si="59"/>
        <v>0.607134375</v>
      </c>
      <c r="Q94" s="176">
        <f>SUM(E94:P94)</f>
        <v>2.5634562500000002</v>
      </c>
    </row>
    <row r="95" spans="2:19" ht="12" thickBot="1">
      <c r="B95" s="221" t="s">
        <v>107</v>
      </c>
      <c r="C95" s="222"/>
      <c r="D95" s="181"/>
      <c r="E95" s="258">
        <f t="shared" ref="E95:N95" si="60">+E47</f>
        <v>0</v>
      </c>
      <c r="F95" s="258">
        <f t="shared" si="60"/>
        <v>0</v>
      </c>
      <c r="G95" s="258">
        <f t="shared" si="60"/>
        <v>0</v>
      </c>
      <c r="H95" s="258">
        <f t="shared" si="60"/>
        <v>0</v>
      </c>
      <c r="I95" s="258">
        <f t="shared" si="60"/>
        <v>0</v>
      </c>
      <c r="J95" s="258">
        <f t="shared" si="60"/>
        <v>0</v>
      </c>
      <c r="K95" s="258">
        <f t="shared" si="60"/>
        <v>0</v>
      </c>
      <c r="L95" s="258">
        <f t="shared" si="60"/>
        <v>15</v>
      </c>
      <c r="M95" s="258">
        <f t="shared" si="60"/>
        <v>0</v>
      </c>
      <c r="N95" s="258">
        <f t="shared" si="60"/>
        <v>6</v>
      </c>
      <c r="O95" s="259">
        <f t="shared" ref="O95:P95" si="61">+O47</f>
        <v>3</v>
      </c>
      <c r="P95" s="259">
        <f t="shared" si="61"/>
        <v>5</v>
      </c>
      <c r="Q95" s="193">
        <f>SUM(E95:P95)</f>
        <v>29</v>
      </c>
    </row>
    <row r="96" spans="2:19" ht="12" thickBot="1">
      <c r="C96" s="223"/>
      <c r="D96" s="181"/>
      <c r="E96" s="243"/>
      <c r="F96" s="243"/>
      <c r="G96" s="243"/>
      <c r="H96" s="243"/>
      <c r="I96" s="243"/>
      <c r="J96" s="243"/>
      <c r="K96" s="244"/>
      <c r="L96" s="223"/>
      <c r="M96" s="223"/>
      <c r="N96" s="223"/>
      <c r="O96" s="223"/>
      <c r="P96" s="223"/>
      <c r="Q96" s="223"/>
    </row>
    <row r="97" spans="2:19" ht="12" thickBot="1">
      <c r="B97" s="224" t="s">
        <v>52</v>
      </c>
      <c r="C97" s="225"/>
      <c r="D97" s="181"/>
      <c r="E97" s="239" t="s">
        <v>60</v>
      </c>
      <c r="F97" s="239" t="s">
        <v>59</v>
      </c>
      <c r="G97" s="239" t="s">
        <v>58</v>
      </c>
      <c r="H97" s="239" t="s">
        <v>57</v>
      </c>
      <c r="I97" s="239" t="s">
        <v>56</v>
      </c>
      <c r="J97" s="239" t="s">
        <v>55</v>
      </c>
      <c r="K97" s="245" t="s">
        <v>54</v>
      </c>
      <c r="L97" s="169" t="s">
        <v>53</v>
      </c>
      <c r="M97" s="169" t="s">
        <v>69</v>
      </c>
      <c r="N97" s="169" t="s">
        <v>64</v>
      </c>
      <c r="O97" s="169" t="s">
        <v>65</v>
      </c>
      <c r="P97" s="169" t="s">
        <v>66</v>
      </c>
      <c r="Q97" s="169" t="s">
        <v>52</v>
      </c>
    </row>
    <row r="98" spans="2:19" ht="12" thickBot="1">
      <c r="B98" s="226" t="s">
        <v>75</v>
      </c>
      <c r="C98" s="227"/>
      <c r="D98" s="181"/>
      <c r="E98" s="258">
        <f>+E60+E67+E73+E79+E86+E92</f>
        <v>404.79176061499999</v>
      </c>
      <c r="F98" s="291">
        <f t="shared" ref="F98:O98" si="62">+F60+F67+F73+F79+F86+F92</f>
        <v>324.31024373499997</v>
      </c>
      <c r="G98" s="258">
        <f t="shared" si="62"/>
        <v>211.43009377499999</v>
      </c>
      <c r="H98" s="258">
        <f t="shared" si="62"/>
        <v>830.06040975499991</v>
      </c>
      <c r="I98" s="258">
        <f t="shared" si="62"/>
        <v>156.27023582999999</v>
      </c>
      <c r="J98" s="258">
        <f t="shared" si="62"/>
        <v>72.901457700000009</v>
      </c>
      <c r="K98" s="258">
        <f t="shared" si="62"/>
        <v>105.852178305</v>
      </c>
      <c r="L98" s="258">
        <f t="shared" si="62"/>
        <v>80.768084305000002</v>
      </c>
      <c r="M98" s="258">
        <f t="shared" ref="M98" si="63">+M60+M67+M73+M79+M86+M92</f>
        <v>23.378397195000002</v>
      </c>
      <c r="N98" s="258">
        <f t="shared" si="62"/>
        <v>48.010891155000024</v>
      </c>
      <c r="O98" s="258">
        <f t="shared" si="62"/>
        <v>58.778486755000003</v>
      </c>
      <c r="P98" s="258">
        <f t="shared" ref="P98" si="64">+P60+P67+P73+P79+P86+P92</f>
        <v>234.19520430000009</v>
      </c>
      <c r="Q98" s="228">
        <f>SUM(E98:P98)</f>
        <v>2550.7474434249998</v>
      </c>
      <c r="R98" s="290"/>
      <c r="S98" s="159"/>
    </row>
    <row r="99" spans="2:19" ht="12" thickBot="1">
      <c r="B99" s="226" t="s">
        <v>62</v>
      </c>
      <c r="C99" s="227"/>
      <c r="D99" s="181"/>
      <c r="E99" s="258">
        <f t="shared" ref="E99:O100" si="65">+E61+E68+E74+E80+E87+E93</f>
        <v>1.3703447010506002</v>
      </c>
      <c r="F99" s="258">
        <f t="shared" si="65"/>
        <v>1.0932506911590001</v>
      </c>
      <c r="G99" s="258">
        <f t="shared" si="65"/>
        <v>0.75355406891622012</v>
      </c>
      <c r="H99" s="258">
        <f t="shared" si="65"/>
        <v>2.6639837706790006</v>
      </c>
      <c r="I99" s="258">
        <f t="shared" si="65"/>
        <v>0.58550526803307013</v>
      </c>
      <c r="J99" s="258">
        <f t="shared" si="65"/>
        <v>0.29029475069100003</v>
      </c>
      <c r="K99" s="258">
        <f t="shared" si="65"/>
        <v>0.44043544483400004</v>
      </c>
      <c r="L99" s="258">
        <f t="shared" si="65"/>
        <v>0.32479431945400006</v>
      </c>
      <c r="M99" s="258">
        <f t="shared" ref="M99" si="66">+M61+M68+M74+M80+M87+M93</f>
        <v>0.13497549288713601</v>
      </c>
      <c r="N99" s="258">
        <f t="shared" si="65"/>
        <v>0.21203160644600003</v>
      </c>
      <c r="O99" s="258">
        <f t="shared" si="65"/>
        <v>0.26224234119600004</v>
      </c>
      <c r="P99" s="258">
        <f t="shared" ref="P99" si="67">+P61+P68+P74+P80+P87+P93</f>
        <v>0.7836784498114</v>
      </c>
      <c r="Q99" s="178">
        <f>SUM(E99:P99)</f>
        <v>8.9150909051574274</v>
      </c>
      <c r="R99" s="290"/>
      <c r="S99" s="159"/>
    </row>
    <row r="100" spans="2:19" ht="12" thickBot="1">
      <c r="B100" s="226" t="s">
        <v>76</v>
      </c>
      <c r="C100" s="227"/>
      <c r="D100" s="181"/>
      <c r="E100" s="258">
        <f t="shared" si="65"/>
        <v>75.685101349999997</v>
      </c>
      <c r="F100" s="258">
        <f t="shared" si="65"/>
        <v>57.977716990000005</v>
      </c>
      <c r="G100" s="258">
        <f t="shared" si="65"/>
        <v>60.896171455000001</v>
      </c>
      <c r="H100" s="258">
        <f t="shared" si="65"/>
        <v>71.563495440000011</v>
      </c>
      <c r="I100" s="258">
        <f t="shared" si="65"/>
        <v>61.188567370000001</v>
      </c>
      <c r="J100" s="258">
        <f t="shared" si="65"/>
        <v>38.543264694999998</v>
      </c>
      <c r="K100" s="258">
        <f t="shared" si="65"/>
        <v>66.805396834999996</v>
      </c>
      <c r="L100" s="258">
        <f t="shared" si="65"/>
        <v>44.520704995000003</v>
      </c>
      <c r="M100" s="258">
        <f t="shared" ref="M100" si="68">+M62+M69+M75+M81+M88+M94</f>
        <v>36.149158460000002</v>
      </c>
      <c r="N100" s="258">
        <f t="shared" si="65"/>
        <v>37.325218219999968</v>
      </c>
      <c r="O100" s="258">
        <f t="shared" si="65"/>
        <v>47.218108580000006</v>
      </c>
      <c r="P100" s="258">
        <f t="shared" ref="P100" si="69">+P62+P69+P75+P81+P88+P94</f>
        <v>38.548229704999997</v>
      </c>
      <c r="Q100" s="178">
        <f>SUM(E100:P100)</f>
        <v>636.42113409500007</v>
      </c>
      <c r="R100" s="290"/>
      <c r="S100" s="159"/>
    </row>
    <row r="101" spans="2:19">
      <c r="B101" s="195" t="s">
        <v>105</v>
      </c>
      <c r="C101" s="200"/>
      <c r="D101" s="197"/>
      <c r="E101" s="259">
        <f t="shared" ref="E101:O101" si="70">+E15+E34</f>
        <v>2</v>
      </c>
      <c r="F101" s="259">
        <f t="shared" si="70"/>
        <v>4</v>
      </c>
      <c r="G101" s="259">
        <f t="shared" si="70"/>
        <v>1</v>
      </c>
      <c r="H101" s="259">
        <f t="shared" si="70"/>
        <v>2</v>
      </c>
      <c r="I101" s="259">
        <f t="shared" si="70"/>
        <v>1</v>
      </c>
      <c r="J101" s="259">
        <f t="shared" si="70"/>
        <v>1</v>
      </c>
      <c r="K101" s="259">
        <f t="shared" si="70"/>
        <v>2</v>
      </c>
      <c r="L101" s="259">
        <f t="shared" si="70"/>
        <v>1</v>
      </c>
      <c r="M101" s="259">
        <f t="shared" si="70"/>
        <v>3</v>
      </c>
      <c r="N101" s="259">
        <f t="shared" si="70"/>
        <v>0</v>
      </c>
      <c r="O101" s="259">
        <f t="shared" si="70"/>
        <v>0</v>
      </c>
      <c r="P101" s="259">
        <f t="shared" ref="P101" si="71">+P15+P34</f>
        <v>1</v>
      </c>
      <c r="Q101" s="182">
        <f>SUM(E101:P101)</f>
        <v>18</v>
      </c>
      <c r="R101" s="290"/>
      <c r="S101" s="159"/>
    </row>
    <row r="102" spans="2:19" ht="12" thickBot="1">
      <c r="B102" s="201" t="s">
        <v>108</v>
      </c>
      <c r="C102" s="202"/>
      <c r="D102" s="203"/>
      <c r="E102" s="277">
        <f>+E64+E70+E76+E83+E89+E95</f>
        <v>230</v>
      </c>
      <c r="F102" s="277">
        <f t="shared" ref="F102:O102" si="72">+F64+F70+F76+F83+F89+F95</f>
        <v>157</v>
      </c>
      <c r="G102" s="277">
        <f t="shared" si="72"/>
        <v>154</v>
      </c>
      <c r="H102" s="277">
        <f t="shared" si="72"/>
        <v>125</v>
      </c>
      <c r="I102" s="277">
        <f t="shared" si="72"/>
        <v>145</v>
      </c>
      <c r="J102" s="277">
        <f t="shared" si="72"/>
        <v>90</v>
      </c>
      <c r="K102" s="277">
        <f t="shared" si="72"/>
        <v>146</v>
      </c>
      <c r="L102" s="277">
        <f>+L64+L70+L76+L83+L89+L95</f>
        <v>107</v>
      </c>
      <c r="M102" s="277">
        <f>+M64+M70+M76+M83+M89+M95</f>
        <v>77</v>
      </c>
      <c r="N102" s="277">
        <f t="shared" si="72"/>
        <v>84</v>
      </c>
      <c r="O102" s="277">
        <f t="shared" si="72"/>
        <v>102</v>
      </c>
      <c r="P102" s="277">
        <f t="shared" ref="P102" si="73">+P64+P70+P76+P83+P89+P95</f>
        <v>122</v>
      </c>
      <c r="Q102" s="204">
        <f>SUM(E102:P102)</f>
        <v>1539</v>
      </c>
      <c r="R102" s="280"/>
      <c r="S102" s="159"/>
    </row>
    <row r="103" spans="2:19">
      <c r="C103" s="223"/>
      <c r="E103" s="243"/>
      <c r="F103" s="243"/>
      <c r="G103" s="243"/>
      <c r="H103" s="243"/>
      <c r="I103" s="243"/>
      <c r="J103" s="243"/>
      <c r="K103" s="244"/>
      <c r="L103" s="223"/>
      <c r="M103" s="223"/>
      <c r="N103" s="223"/>
      <c r="O103" s="223"/>
      <c r="P103" s="223"/>
      <c r="R103" s="290"/>
      <c r="S103" s="159"/>
    </row>
    <row r="104" spans="2:19">
      <c r="B104" s="162" t="s">
        <v>110</v>
      </c>
      <c r="C104" s="223"/>
      <c r="E104" s="118">
        <f>E60+E67+E73</f>
        <v>379.10528138000001</v>
      </c>
      <c r="F104" s="118">
        <f t="shared" ref="F104:L104" si="74">F60+F67+F73</f>
        <v>192.05576127500001</v>
      </c>
      <c r="G104" s="118">
        <f t="shared" si="74"/>
        <v>134.059047725</v>
      </c>
      <c r="H104" s="118">
        <f t="shared" si="74"/>
        <v>72.636153469999996</v>
      </c>
      <c r="I104" s="118">
        <f t="shared" si="74"/>
        <v>108.49421123499999</v>
      </c>
      <c r="J104" s="118">
        <f t="shared" si="74"/>
        <v>47.642832804999998</v>
      </c>
      <c r="K104" s="118">
        <f t="shared" si="74"/>
        <v>69.332371054999996</v>
      </c>
      <c r="L104" s="118">
        <f t="shared" si="74"/>
        <v>33.29211901</v>
      </c>
      <c r="M104" s="118">
        <f>M60+M67+M73</f>
        <v>22.550104005000001</v>
      </c>
      <c r="N104" s="118">
        <f t="shared" ref="N104:P104" si="75">N60+N67+N73</f>
        <v>23.146444880000022</v>
      </c>
      <c r="O104" s="118">
        <f t="shared" si="75"/>
        <v>35.163172235000005</v>
      </c>
      <c r="P104" s="118">
        <f t="shared" si="75"/>
        <v>192.5519384700001</v>
      </c>
      <c r="Q104" s="229">
        <f>SUM(E104:P104)</f>
        <v>1310.0294375450003</v>
      </c>
      <c r="R104" s="290"/>
      <c r="S104" s="159"/>
    </row>
    <row r="105" spans="2:19">
      <c r="C105" s="223"/>
      <c r="E105" s="118">
        <f t="shared" ref="E105:L106" si="76">E61+E68+E74</f>
        <v>1.2904415076806002</v>
      </c>
      <c r="F105" s="118">
        <f t="shared" si="76"/>
        <v>0.68184462046799998</v>
      </c>
      <c r="G105" s="118">
        <f t="shared" si="76"/>
        <v>0.51229825952140007</v>
      </c>
      <c r="H105" s="118">
        <f t="shared" si="76"/>
        <v>0.30785690135200006</v>
      </c>
      <c r="I105" s="118">
        <f t="shared" si="76"/>
        <v>0.43611701886720006</v>
      </c>
      <c r="J105" s="118">
        <f t="shared" si="76"/>
        <v>0.21172257072780001</v>
      </c>
      <c r="K105" s="118">
        <f t="shared" si="76"/>
        <v>0.32683302667400005</v>
      </c>
      <c r="L105" s="118">
        <f t="shared" si="76"/>
        <v>0.17711117584600003</v>
      </c>
      <c r="M105" s="118">
        <f>M61+M68+M74</f>
        <v>0.131995190624</v>
      </c>
      <c r="N105" s="118">
        <f t="shared" ref="N105:P105" si="77">N61+N68+N74</f>
        <v>0.13468588045000002</v>
      </c>
      <c r="O105" s="118">
        <f t="shared" si="77"/>
        <v>0.18878227005000003</v>
      </c>
      <c r="P105" s="118">
        <f t="shared" si="77"/>
        <v>0.65413778193940009</v>
      </c>
      <c r="Q105" s="229">
        <f t="shared" ref="Q105:Q114" si="78">SUM(E105:P105)</f>
        <v>5.0538262042004005</v>
      </c>
      <c r="R105" s="290"/>
      <c r="S105" s="159"/>
    </row>
    <row r="106" spans="2:19">
      <c r="C106" s="223"/>
      <c r="E106" s="118">
        <f t="shared" si="76"/>
        <v>74.922108835000003</v>
      </c>
      <c r="F106" s="118">
        <f t="shared" si="76"/>
        <v>54.049098860000001</v>
      </c>
      <c r="G106" s="118">
        <f t="shared" si="76"/>
        <v>58.548909010000003</v>
      </c>
      <c r="H106" s="118">
        <f t="shared" si="76"/>
        <v>49.065739910000005</v>
      </c>
      <c r="I106" s="118">
        <f t="shared" si="76"/>
        <v>59.704029380000001</v>
      </c>
      <c r="J106" s="118">
        <f t="shared" si="76"/>
        <v>37.792900574999997</v>
      </c>
      <c r="K106" s="118">
        <f t="shared" si="76"/>
        <v>65.720650085000003</v>
      </c>
      <c r="L106" s="118">
        <f t="shared" si="76"/>
        <v>43.110534220000005</v>
      </c>
      <c r="M106" s="118">
        <f>M62+M69+M75</f>
        <v>36.090333885</v>
      </c>
      <c r="N106" s="118">
        <f t="shared" ref="N106:P106" si="79">N62+N69+N75</f>
        <v>36.586619014999968</v>
      </c>
      <c r="O106" s="118">
        <f t="shared" si="79"/>
        <v>46.516639015000003</v>
      </c>
      <c r="P106" s="118">
        <f t="shared" si="79"/>
        <v>37.311186669999998</v>
      </c>
      <c r="Q106" s="223">
        <f t="shared" si="78"/>
        <v>599.41874945999996</v>
      </c>
      <c r="R106" s="290"/>
      <c r="S106" s="159"/>
    </row>
    <row r="107" spans="2:19">
      <c r="C107" s="223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223">
        <f t="shared" si="78"/>
        <v>0</v>
      </c>
      <c r="R107" s="290"/>
      <c r="S107" s="159"/>
    </row>
    <row r="108" spans="2:19" ht="9.9499999999999993" customHeight="1">
      <c r="B108" s="162" t="s">
        <v>111</v>
      </c>
      <c r="C108" s="223"/>
      <c r="E108" s="302">
        <f>E79+E86+E92</f>
        <v>25.686479235000004</v>
      </c>
      <c r="F108" s="302">
        <f t="shared" ref="F108:L108" si="80">F79+F86+F92</f>
        <v>132.25448245999999</v>
      </c>
      <c r="G108" s="302">
        <f t="shared" si="80"/>
        <v>77.371046050000004</v>
      </c>
      <c r="H108" s="302">
        <f t="shared" si="80"/>
        <v>757.42425628499996</v>
      </c>
      <c r="I108" s="302">
        <f>I79+I86+I92</f>
        <v>47.77602459500001</v>
      </c>
      <c r="J108" s="302">
        <f t="shared" si="80"/>
        <v>25.258624895000004</v>
      </c>
      <c r="K108" s="302">
        <f t="shared" si="80"/>
        <v>36.519807249999999</v>
      </c>
      <c r="L108" s="302">
        <f t="shared" si="80"/>
        <v>47.475965295000002</v>
      </c>
      <c r="M108" s="302">
        <f t="shared" ref="M108:P108" si="81">M79+M86+M92</f>
        <v>0.82829319000000001</v>
      </c>
      <c r="N108" s="302">
        <f t="shared" si="81"/>
        <v>24.864446275000002</v>
      </c>
      <c r="O108" s="302">
        <f t="shared" si="81"/>
        <v>23.615314519999998</v>
      </c>
      <c r="P108" s="302">
        <f t="shared" si="81"/>
        <v>41.643265830000004</v>
      </c>
      <c r="Q108" s="303">
        <f t="shared" si="78"/>
        <v>1240.7180058800002</v>
      </c>
      <c r="R108" s="290"/>
      <c r="S108" s="159"/>
    </row>
    <row r="109" spans="2:19" ht="9.9499999999999993" customHeight="1">
      <c r="C109" s="223"/>
      <c r="E109" s="304">
        <f t="shared" ref="E109:L110" si="82">E80+E87+E93</f>
        <v>7.9903193370000014E-2</v>
      </c>
      <c r="F109" s="304">
        <f t="shared" si="82"/>
        <v>0.41140607069100005</v>
      </c>
      <c r="G109" s="304">
        <f t="shared" si="82"/>
        <v>0.24125580939482003</v>
      </c>
      <c r="H109" s="304">
        <f t="shared" si="82"/>
        <v>2.3561268693270003</v>
      </c>
      <c r="I109" s="304">
        <f>I80+I87+I93</f>
        <v>0.14938824916587001</v>
      </c>
      <c r="J109" s="304">
        <f t="shared" si="82"/>
        <v>7.8572179963200012E-2</v>
      </c>
      <c r="K109" s="304">
        <f t="shared" si="82"/>
        <v>0.11360241816000001</v>
      </c>
      <c r="L109" s="304">
        <f t="shared" si="82"/>
        <v>0.147683143608</v>
      </c>
      <c r="M109" s="304">
        <f t="shared" ref="M109:P109" si="83">M80+M87+M93</f>
        <v>2.9803022631360002E-3</v>
      </c>
      <c r="N109" s="304">
        <f t="shared" si="83"/>
        <v>7.7345725996000009E-2</v>
      </c>
      <c r="O109" s="304">
        <f t="shared" si="83"/>
        <v>7.3460071146000006E-2</v>
      </c>
      <c r="P109" s="304">
        <f t="shared" si="83"/>
        <v>0.12954066787200003</v>
      </c>
      <c r="Q109" s="305">
        <f t="shared" si="78"/>
        <v>3.8612647009570269</v>
      </c>
      <c r="R109" s="290"/>
      <c r="S109" s="159"/>
    </row>
    <row r="110" spans="2:19" ht="9.9499999999999993" customHeight="1">
      <c r="C110" s="223"/>
      <c r="E110" s="302">
        <f t="shared" si="82"/>
        <v>0.76299251499999998</v>
      </c>
      <c r="F110" s="302">
        <f t="shared" si="82"/>
        <v>3.9286181300000003</v>
      </c>
      <c r="G110" s="302">
        <f t="shared" si="82"/>
        <v>2.3472624449999997</v>
      </c>
      <c r="H110" s="302">
        <f t="shared" si="82"/>
        <v>22.497755530000003</v>
      </c>
      <c r="I110" s="302">
        <f>I81+I88+I94</f>
        <v>1.4845379900000002</v>
      </c>
      <c r="J110" s="302">
        <f t="shared" si="82"/>
        <v>0.75036411999999997</v>
      </c>
      <c r="K110" s="302">
        <f t="shared" si="82"/>
        <v>1.0847467499999999</v>
      </c>
      <c r="L110" s="302">
        <f t="shared" si="82"/>
        <v>1.4101707750000001</v>
      </c>
      <c r="M110" s="302">
        <f t="shared" ref="M110:P110" si="84">M81+M88+M94</f>
        <v>5.8824575000000004E-2</v>
      </c>
      <c r="N110" s="302">
        <f t="shared" si="84"/>
        <v>0.73859920500000009</v>
      </c>
      <c r="O110" s="302">
        <f t="shared" si="84"/>
        <v>0.70146956500000002</v>
      </c>
      <c r="P110" s="302">
        <f t="shared" si="84"/>
        <v>1.2370430350000001</v>
      </c>
      <c r="Q110" s="303">
        <f t="shared" si="78"/>
        <v>37.002384634999999</v>
      </c>
      <c r="R110" s="290"/>
      <c r="S110" s="159"/>
    </row>
    <row r="111" spans="2:19" ht="9.9499999999999993" customHeight="1">
      <c r="C111" s="223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223">
        <f t="shared" si="78"/>
        <v>0</v>
      </c>
      <c r="R111" s="290"/>
      <c r="S111" s="159"/>
    </row>
    <row r="112" spans="2:19" ht="9.9499999999999993" customHeight="1">
      <c r="B112" s="162" t="s">
        <v>52</v>
      </c>
      <c r="C112" s="223"/>
      <c r="E112" s="118">
        <f>E104+E108</f>
        <v>404.79176061499999</v>
      </c>
      <c r="F112" s="118">
        <f t="shared" ref="F112:L114" si="85">F104+F108</f>
        <v>324.31024373499997</v>
      </c>
      <c r="G112" s="118">
        <f t="shared" si="85"/>
        <v>211.43009377499999</v>
      </c>
      <c r="H112" s="118">
        <f t="shared" si="85"/>
        <v>830.06040975499991</v>
      </c>
      <c r="I112" s="118">
        <f t="shared" si="85"/>
        <v>156.27023582999999</v>
      </c>
      <c r="J112" s="118">
        <f t="shared" si="85"/>
        <v>72.901457700000009</v>
      </c>
      <c r="K112" s="118">
        <f t="shared" si="85"/>
        <v>105.852178305</v>
      </c>
      <c r="L112" s="118">
        <f t="shared" si="85"/>
        <v>80.768084305000002</v>
      </c>
      <c r="M112" s="118">
        <f t="shared" ref="M112:P112" si="86">M104+M108</f>
        <v>23.378397195000002</v>
      </c>
      <c r="N112" s="118">
        <f t="shared" si="86"/>
        <v>48.010891155000024</v>
      </c>
      <c r="O112" s="118">
        <f t="shared" si="86"/>
        <v>58.778486755000003</v>
      </c>
      <c r="P112" s="118">
        <f t="shared" si="86"/>
        <v>234.19520430000011</v>
      </c>
      <c r="Q112" s="223">
        <f t="shared" si="78"/>
        <v>2550.7474434249998</v>
      </c>
      <c r="R112" s="290"/>
      <c r="S112" s="159"/>
    </row>
    <row r="113" spans="3:19" ht="9.9499999999999993" customHeight="1">
      <c r="C113" s="223"/>
      <c r="E113" s="118">
        <f>E105+E109</f>
        <v>1.3703447010506002</v>
      </c>
      <c r="F113" s="118">
        <f t="shared" si="85"/>
        <v>1.0932506911590001</v>
      </c>
      <c r="G113" s="118">
        <f t="shared" si="85"/>
        <v>0.75355406891622012</v>
      </c>
      <c r="H113" s="118">
        <f t="shared" si="85"/>
        <v>2.6639837706790006</v>
      </c>
      <c r="I113" s="118">
        <f t="shared" si="85"/>
        <v>0.58550526803307013</v>
      </c>
      <c r="J113" s="118">
        <f t="shared" si="85"/>
        <v>0.29029475069100003</v>
      </c>
      <c r="K113" s="118">
        <f t="shared" si="85"/>
        <v>0.44043544483400004</v>
      </c>
      <c r="L113" s="118">
        <f t="shared" si="85"/>
        <v>0.32479431945400006</v>
      </c>
      <c r="M113" s="118">
        <f t="shared" ref="M113:P113" si="87">M105+M109</f>
        <v>0.13497549288713601</v>
      </c>
      <c r="N113" s="118">
        <f t="shared" si="87"/>
        <v>0.21203160644600003</v>
      </c>
      <c r="O113" s="118">
        <f t="shared" si="87"/>
        <v>0.26224234119600004</v>
      </c>
      <c r="P113" s="118">
        <f t="shared" si="87"/>
        <v>0.78367844981140011</v>
      </c>
      <c r="Q113" s="223">
        <f t="shared" si="78"/>
        <v>8.9150909051574274</v>
      </c>
      <c r="R113" s="290"/>
      <c r="S113" s="159"/>
    </row>
    <row r="114" spans="3:19" ht="9.9499999999999993" customHeight="1">
      <c r="C114" s="223"/>
      <c r="E114" s="118">
        <f>E106+E110</f>
        <v>75.685101349999997</v>
      </c>
      <c r="F114" s="118">
        <f t="shared" si="85"/>
        <v>57.977716990000005</v>
      </c>
      <c r="G114" s="118">
        <f t="shared" si="85"/>
        <v>60.896171455000001</v>
      </c>
      <c r="H114" s="118">
        <f t="shared" si="85"/>
        <v>71.563495440000011</v>
      </c>
      <c r="I114" s="118">
        <f t="shared" si="85"/>
        <v>61.188567370000001</v>
      </c>
      <c r="J114" s="118">
        <f t="shared" si="85"/>
        <v>38.543264694999998</v>
      </c>
      <c r="K114" s="118">
        <f t="shared" si="85"/>
        <v>66.805396834999996</v>
      </c>
      <c r="L114" s="118">
        <f t="shared" si="85"/>
        <v>44.520704995000003</v>
      </c>
      <c r="M114" s="118">
        <f t="shared" ref="M114:P114" si="88">M106+M110</f>
        <v>36.149158460000002</v>
      </c>
      <c r="N114" s="118">
        <f t="shared" si="88"/>
        <v>37.325218219999968</v>
      </c>
      <c r="O114" s="118">
        <f t="shared" si="88"/>
        <v>47.218108580000006</v>
      </c>
      <c r="P114" s="118">
        <f t="shared" si="88"/>
        <v>38.548229704999997</v>
      </c>
      <c r="Q114" s="223">
        <f t="shared" si="78"/>
        <v>636.42113409500007</v>
      </c>
      <c r="R114" s="290"/>
      <c r="S114" s="159"/>
    </row>
    <row r="115" spans="3:19" ht="9.9499999999999993" customHeight="1"/>
    <row r="116" spans="3:19" ht="9.9499999999999993" customHeight="1"/>
    <row r="117" spans="3:19" ht="9.9499999999999993" customHeight="1"/>
    <row r="118" spans="3:19" ht="9.9499999999999993" customHeight="1">
      <c r="E118" s="194"/>
      <c r="F118" s="194"/>
      <c r="G118" s="194"/>
    </row>
  </sheetData>
  <printOptions horizontalCentered="1"/>
  <pageMargins left="0.25" right="0.25" top="0.5" bottom="0.5" header="0.5" footer="0.5"/>
  <pageSetup scale="60" orientation="landscape" r:id="rId1"/>
  <headerFooter alignWithMargins="0">
    <oddFooter>&amp;F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A5" sqref="A5"/>
    </sheetView>
  </sheetViews>
  <sheetFormatPr defaultRowHeight="11.25"/>
  <cols>
    <col min="1" max="1" width="18.5703125" style="345" customWidth="1"/>
    <col min="2" max="2" width="8" style="345" bestFit="1" customWidth="1"/>
    <col min="3" max="3" width="9.42578125" style="345" bestFit="1" customWidth="1"/>
    <col min="4" max="4" width="8" style="345" bestFit="1" customWidth="1"/>
    <col min="5" max="5" width="8.7109375" style="345" bestFit="1" customWidth="1"/>
    <col min="6" max="6" width="9.140625" style="345" bestFit="1" customWidth="1"/>
    <col min="7" max="7" width="10" style="345" bestFit="1" customWidth="1"/>
    <col min="8" max="16384" width="9.140625" style="345"/>
  </cols>
  <sheetData>
    <row r="1" spans="1:7" s="399" customFormat="1">
      <c r="A1" s="399" t="s">
        <v>20</v>
      </c>
    </row>
    <row r="2" spans="1:7" s="399" customFormat="1">
      <c r="A2" s="399" t="s">
        <v>123</v>
      </c>
    </row>
    <row r="3" spans="1:7" s="399" customFormat="1">
      <c r="A3" s="399" t="s">
        <v>124</v>
      </c>
    </row>
    <row r="4" spans="1:7" s="399" customFormat="1">
      <c r="A4" s="399" t="s">
        <v>125</v>
      </c>
    </row>
    <row r="5" spans="1:7" s="399" customFormat="1" ht="12.75">
      <c r="A5" s="396" t="s">
        <v>129</v>
      </c>
    </row>
    <row r="6" spans="1:7" s="399" customFormat="1">
      <c r="A6" s="399" t="s">
        <v>128</v>
      </c>
    </row>
    <row r="7" spans="1:7" s="399" customFormat="1"/>
    <row r="8" spans="1:7">
      <c r="A8" s="344" t="s">
        <v>40</v>
      </c>
    </row>
    <row r="9" spans="1:7">
      <c r="A9" s="346" t="s">
        <v>41</v>
      </c>
    </row>
    <row r="10" spans="1:7" ht="12" thickBot="1">
      <c r="A10" s="346"/>
    </row>
    <row r="11" spans="1:7" ht="13.5" customHeight="1" thickBot="1">
      <c r="A11" s="346"/>
      <c r="B11" s="409" t="s">
        <v>120</v>
      </c>
      <c r="C11" s="410"/>
      <c r="D11" s="410"/>
      <c r="E11" s="410"/>
      <c r="F11" s="410"/>
      <c r="G11" s="411"/>
    </row>
    <row r="12" spans="1:7" s="348" customFormat="1" ht="12" customHeight="1" thickBot="1">
      <c r="A12" s="347"/>
      <c r="B12" s="412" t="s">
        <v>94</v>
      </c>
      <c r="C12" s="413"/>
      <c r="D12" s="413"/>
      <c r="E12" s="413"/>
      <c r="F12" s="413"/>
      <c r="G12" s="414"/>
    </row>
    <row r="13" spans="1:7" ht="12" thickBot="1">
      <c r="A13" s="380" t="s">
        <v>96</v>
      </c>
      <c r="B13" s="385" t="s">
        <v>42</v>
      </c>
      <c r="C13" s="386" t="s">
        <v>43</v>
      </c>
      <c r="D13" s="386" t="s">
        <v>44</v>
      </c>
      <c r="E13" s="386" t="s">
        <v>45</v>
      </c>
      <c r="F13" s="386" t="s">
        <v>46</v>
      </c>
      <c r="G13" s="387" t="s">
        <v>47</v>
      </c>
    </row>
    <row r="14" spans="1:7">
      <c r="A14" s="380" t="s">
        <v>102</v>
      </c>
      <c r="B14" s="349">
        <f>'2013 AR - Solar'!F22</f>
        <v>1084</v>
      </c>
      <c r="C14" s="350">
        <f>'2013 AR - Solar'!F58</f>
        <v>103</v>
      </c>
      <c r="D14" s="350">
        <f>'2013 AR - Solar'!F93</f>
        <v>7</v>
      </c>
      <c r="E14" s="350">
        <f>'2013 AR - Solar'!F129</f>
        <v>278</v>
      </c>
      <c r="F14" s="350">
        <f>'2013 AR - Solar'!F164</f>
        <v>56</v>
      </c>
      <c r="G14" s="351">
        <f>'2013 AR - Solar'!F200</f>
        <v>29</v>
      </c>
    </row>
    <row r="15" spans="1:7" ht="12" thickBot="1">
      <c r="A15" s="381" t="s">
        <v>98</v>
      </c>
      <c r="B15" s="382">
        <f t="shared" ref="B15:G15" si="0">+B14/B27</f>
        <v>5.5835103813876685E-2</v>
      </c>
      <c r="C15" s="383">
        <f t="shared" si="0"/>
        <v>0.12875</v>
      </c>
      <c r="D15" s="383">
        <f t="shared" si="0"/>
        <v>3.0081601524800359E-2</v>
      </c>
      <c r="E15" s="383">
        <f t="shared" si="0"/>
        <v>0.20441176470588235</v>
      </c>
      <c r="F15" s="383">
        <f t="shared" si="0"/>
        <v>0.19949464761511393</v>
      </c>
      <c r="G15" s="384">
        <f t="shared" si="0"/>
        <v>0.36708860759493672</v>
      </c>
    </row>
    <row r="16" spans="1:7">
      <c r="A16" s="344" t="s">
        <v>122</v>
      </c>
      <c r="B16" s="353"/>
      <c r="C16" s="354"/>
      <c r="D16" s="354"/>
      <c r="E16" s="354"/>
      <c r="F16" s="354"/>
      <c r="G16" s="355"/>
    </row>
    <row r="17" spans="1:7">
      <c r="A17" s="388">
        <v>2010</v>
      </c>
      <c r="B17" s="357">
        <v>0</v>
      </c>
      <c r="C17" s="358">
        <v>0</v>
      </c>
      <c r="D17" s="358">
        <v>0</v>
      </c>
      <c r="E17" s="359">
        <v>0</v>
      </c>
      <c r="F17" s="358">
        <v>0</v>
      </c>
      <c r="G17" s="360">
        <v>0</v>
      </c>
    </row>
    <row r="18" spans="1:7">
      <c r="A18" s="388">
        <v>2011</v>
      </c>
      <c r="B18" s="357">
        <f>'2013 AR - Solar'!L21</f>
        <v>4588.3097434448337</v>
      </c>
      <c r="C18" s="358">
        <f>'2013 AR - Solar'!L56</f>
        <v>200</v>
      </c>
      <c r="D18" s="358">
        <f>'2013 AR - Solar'!L91</f>
        <v>42.594443641718271</v>
      </c>
      <c r="E18" s="359">
        <f>'2013 AR - Solar'!L127</f>
        <v>340</v>
      </c>
      <c r="F18" s="358">
        <f>'2013 AR - Solar'!L162</f>
        <v>63.443218553037099</v>
      </c>
      <c r="G18" s="360">
        <f>'2013 AR - Solar'!L198</f>
        <v>18</v>
      </c>
    </row>
    <row r="19" spans="1:7">
      <c r="A19" s="388">
        <v>2012</v>
      </c>
      <c r="B19" s="357">
        <f>'2013 AR - Solar'!L22</f>
        <v>4882</v>
      </c>
      <c r="C19" s="358">
        <f>'2013 AR - Solar'!L57</f>
        <v>200</v>
      </c>
      <c r="D19" s="358">
        <f>'2013 AR - Solar'!L92</f>
        <v>51.834265266836603</v>
      </c>
      <c r="E19" s="359">
        <f>'2013 AR - Solar'!L128</f>
        <v>340</v>
      </c>
      <c r="F19" s="358">
        <f>'2013 AR - Solar'!L163</f>
        <v>66.443676072211204</v>
      </c>
      <c r="G19" s="360">
        <f>'2013 AR - Solar'!L199</f>
        <v>22</v>
      </c>
    </row>
    <row r="20" spans="1:7" ht="11.25" customHeight="1">
      <c r="A20" s="388">
        <v>2013</v>
      </c>
      <c r="B20" s="357">
        <f>'2013 AR - Solar'!L23</f>
        <v>4974</v>
      </c>
      <c r="C20" s="358">
        <f>'2013 AR - Solar'!L58</f>
        <v>200</v>
      </c>
      <c r="D20" s="358">
        <f>'2013 AR - Solar'!L93</f>
        <v>62.752299096201398</v>
      </c>
      <c r="E20" s="359">
        <f>'2013 AR - Solar'!L129</f>
        <v>340</v>
      </c>
      <c r="F20" s="358">
        <f>'2013 AR - Solar'!L164</f>
        <v>71.488621794719293</v>
      </c>
      <c r="G20" s="360">
        <f>'2013 AR - Solar'!L200</f>
        <v>21</v>
      </c>
    </row>
    <row r="21" spans="1:7">
      <c r="A21" s="388">
        <v>2014</v>
      </c>
      <c r="B21" s="357">
        <f>'2013 AR - Solar'!L24</f>
        <v>4970</v>
      </c>
      <c r="C21" s="358">
        <f>'2013 AR - Solar'!L59</f>
        <v>200</v>
      </c>
      <c r="D21" s="358">
        <f>'2013 AR - Solar'!L94</f>
        <v>75.519368477158977</v>
      </c>
      <c r="E21" s="359">
        <f>'2013 AR - Solar'!L130</f>
        <v>340</v>
      </c>
      <c r="F21" s="358">
        <f>'2013 AR - Solar'!L165</f>
        <v>79.333769114555054</v>
      </c>
      <c r="G21" s="360">
        <f>'2013 AR - Solar'!L201</f>
        <v>18</v>
      </c>
    </row>
    <row r="22" spans="1:7">
      <c r="A22" s="388">
        <v>2015</v>
      </c>
      <c r="B22" s="357">
        <v>0</v>
      </c>
      <c r="C22" s="358">
        <v>0</v>
      </c>
      <c r="D22" s="358">
        <v>0</v>
      </c>
      <c r="E22" s="359">
        <v>0</v>
      </c>
      <c r="F22" s="358">
        <v>0</v>
      </c>
      <c r="G22" s="360">
        <v>0</v>
      </c>
    </row>
    <row r="23" spans="1:7">
      <c r="A23" s="388">
        <v>2016</v>
      </c>
      <c r="B23" s="357">
        <v>0</v>
      </c>
      <c r="C23" s="358">
        <v>0</v>
      </c>
      <c r="D23" s="358">
        <v>0</v>
      </c>
      <c r="E23" s="359">
        <v>0</v>
      </c>
      <c r="F23" s="358">
        <v>0</v>
      </c>
      <c r="G23" s="360">
        <v>0</v>
      </c>
    </row>
    <row r="24" spans="1:7">
      <c r="A24" s="388">
        <v>2017</v>
      </c>
      <c r="B24" s="357">
        <v>0</v>
      </c>
      <c r="C24" s="358">
        <v>0</v>
      </c>
      <c r="D24" s="358">
        <v>0</v>
      </c>
      <c r="E24" s="359">
        <v>0</v>
      </c>
      <c r="F24" s="358">
        <v>0</v>
      </c>
      <c r="G24" s="360">
        <v>0</v>
      </c>
    </row>
    <row r="25" spans="1:7">
      <c r="A25" s="388">
        <v>2018</v>
      </c>
      <c r="B25" s="357">
        <v>0</v>
      </c>
      <c r="C25" s="358">
        <v>0</v>
      </c>
      <c r="D25" s="358">
        <v>0</v>
      </c>
      <c r="E25" s="359">
        <v>0</v>
      </c>
      <c r="F25" s="358">
        <v>0</v>
      </c>
      <c r="G25" s="360">
        <v>0</v>
      </c>
    </row>
    <row r="26" spans="1:7">
      <c r="A26" s="388">
        <v>2019</v>
      </c>
      <c r="B26" s="357">
        <v>0</v>
      </c>
      <c r="C26" s="358">
        <v>0</v>
      </c>
      <c r="D26" s="358">
        <v>0</v>
      </c>
      <c r="E26" s="359">
        <v>0</v>
      </c>
      <c r="F26" s="358">
        <v>0</v>
      </c>
      <c r="G26" s="360">
        <v>0</v>
      </c>
    </row>
    <row r="27" spans="1:7" ht="12" thickBot="1">
      <c r="A27" s="389" t="s">
        <v>52</v>
      </c>
      <c r="B27" s="390">
        <f>SUM(B17:B26)</f>
        <v>19414.309743444835</v>
      </c>
      <c r="C27" s="391">
        <f t="shared" ref="C27:G27" si="1">SUM(C17:C26)</f>
        <v>800</v>
      </c>
      <c r="D27" s="391">
        <f t="shared" si="1"/>
        <v>232.70037648191527</v>
      </c>
      <c r="E27" s="391">
        <f t="shared" si="1"/>
        <v>1360</v>
      </c>
      <c r="F27" s="391">
        <f t="shared" si="1"/>
        <v>280.70928553452268</v>
      </c>
      <c r="G27" s="392">
        <f t="shared" si="1"/>
        <v>79</v>
      </c>
    </row>
    <row r="28" spans="1:7" ht="12" customHeight="1">
      <c r="A28" s="356"/>
      <c r="B28" s="361"/>
      <c r="C28" s="362"/>
      <c r="D28" s="362"/>
      <c r="E28" s="362"/>
      <c r="F28" s="362"/>
      <c r="G28" s="363"/>
    </row>
    <row r="29" spans="1:7">
      <c r="A29" s="344" t="s">
        <v>97</v>
      </c>
      <c r="B29" s="364">
        <v>-15706</v>
      </c>
      <c r="C29" s="365">
        <v>-3451</v>
      </c>
      <c r="D29" s="365">
        <v>-977</v>
      </c>
      <c r="E29" s="365">
        <v>-8093</v>
      </c>
      <c r="F29" s="365">
        <v>-4491</v>
      </c>
      <c r="G29" s="366">
        <v>-5012</v>
      </c>
    </row>
    <row r="30" spans="1:7">
      <c r="A30" s="352" t="s">
        <v>103</v>
      </c>
      <c r="B30" s="367">
        <f t="shared" ref="B30:G30" si="2">+B29*B15</f>
        <v>-876.94614050074722</v>
      </c>
      <c r="C30" s="368">
        <f t="shared" si="2"/>
        <v>-444.31625000000003</v>
      </c>
      <c r="D30" s="368">
        <f t="shared" si="2"/>
        <v>-29.389724689729949</v>
      </c>
      <c r="E30" s="368">
        <f t="shared" si="2"/>
        <v>-1654.3044117647059</v>
      </c>
      <c r="F30" s="368">
        <f t="shared" si="2"/>
        <v>-895.93046243947663</v>
      </c>
      <c r="G30" s="369">
        <f t="shared" si="2"/>
        <v>-1839.8481012658228</v>
      </c>
    </row>
    <row r="31" spans="1:7" ht="12" thickBot="1">
      <c r="B31" s="370"/>
      <c r="C31" s="359"/>
      <c r="D31" s="359"/>
      <c r="E31" s="359"/>
      <c r="F31" s="359"/>
      <c r="G31" s="355"/>
    </row>
    <row r="32" spans="1:7" ht="25.5" customHeight="1" thickBot="1">
      <c r="A32" s="379" t="s">
        <v>121</v>
      </c>
      <c r="B32" s="376">
        <f t="shared" ref="B32:E32" si="3">B30*B35/(1-(1+B35)^-B34)</f>
        <v>-82.520569074545335</v>
      </c>
      <c r="C32" s="377">
        <f t="shared" si="3"/>
        <v>-41.810127333625822</v>
      </c>
      <c r="D32" s="377">
        <f t="shared" si="3"/>
        <v>-2.765570990432638</v>
      </c>
      <c r="E32" s="377">
        <f t="shared" si="3"/>
        <v>-155.6699267795434</v>
      </c>
      <c r="F32" s="377">
        <f>F30*F35/(1-(1+F35)^-F34)</f>
        <v>-84.306992410628197</v>
      </c>
      <c r="G32" s="378">
        <f>G30*G35/(1-(1+G35)^-G34)</f>
        <v>-173.12957468571932</v>
      </c>
    </row>
    <row r="34" spans="1:7" s="372" customFormat="1" ht="12" customHeight="1">
      <c r="A34" s="371" t="s">
        <v>93</v>
      </c>
      <c r="B34" s="372">
        <v>34</v>
      </c>
      <c r="C34" s="372">
        <v>34</v>
      </c>
      <c r="D34" s="372">
        <v>34</v>
      </c>
      <c r="E34" s="372">
        <v>34</v>
      </c>
      <c r="F34" s="372">
        <v>34</v>
      </c>
      <c r="G34" s="372">
        <v>34</v>
      </c>
    </row>
    <row r="35" spans="1:7">
      <c r="A35" s="352" t="s">
        <v>95</v>
      </c>
      <c r="B35" s="373">
        <f>B38</f>
        <v>8.8900000000000007E-2</v>
      </c>
      <c r="C35" s="373">
        <f>B38</f>
        <v>8.8900000000000007E-2</v>
      </c>
      <c r="D35" s="373">
        <f>B38</f>
        <v>8.8900000000000007E-2</v>
      </c>
      <c r="E35" s="373">
        <f>B38</f>
        <v>8.8900000000000007E-2</v>
      </c>
      <c r="F35" s="373">
        <f>B38</f>
        <v>8.8900000000000007E-2</v>
      </c>
      <c r="G35" s="373">
        <f>B38</f>
        <v>8.8900000000000007E-2</v>
      </c>
    </row>
    <row r="37" spans="1:7">
      <c r="A37" s="374" t="s">
        <v>91</v>
      </c>
    </row>
    <row r="38" spans="1:7">
      <c r="A38" s="375" t="s">
        <v>92</v>
      </c>
      <c r="B38" s="373">
        <v>8.8900000000000007E-2</v>
      </c>
    </row>
    <row r="39" spans="1:7">
      <c r="A39" s="375"/>
    </row>
    <row r="40" spans="1:7">
      <c r="A40" s="375"/>
    </row>
    <row r="41" spans="1:7">
      <c r="A41" s="375"/>
    </row>
    <row r="42" spans="1:7">
      <c r="A42" s="375"/>
    </row>
  </sheetData>
  <mergeCells count="2">
    <mergeCell ref="B11:G11"/>
    <mergeCell ref="B12:G12"/>
  </mergeCells>
  <printOptions horizontalCentered="1"/>
  <pageMargins left="0" right="0" top="0" bottom="0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A5" sqref="A5"/>
    </sheetView>
  </sheetViews>
  <sheetFormatPr defaultRowHeight="15"/>
  <cols>
    <col min="1" max="1" width="5" style="340" bestFit="1" customWidth="1"/>
    <col min="2" max="2" width="45.7109375" style="323" bestFit="1" customWidth="1"/>
    <col min="3" max="3" width="11" style="322" bestFit="1" customWidth="1"/>
    <col min="4" max="4" width="9.140625" style="323" customWidth="1"/>
    <col min="5" max="5" width="17.42578125" style="323" customWidth="1"/>
    <col min="6" max="6" width="17.140625" style="323" customWidth="1"/>
    <col min="7" max="7" width="13.28515625" style="323" customWidth="1"/>
    <col min="8" max="12" width="9.140625" style="323" customWidth="1"/>
    <col min="13" max="16384" width="9.140625" style="323"/>
  </cols>
  <sheetData>
    <row r="1" spans="1:12" s="397" customFormat="1">
      <c r="A1" s="396" t="s">
        <v>20</v>
      </c>
      <c r="C1" s="398"/>
    </row>
    <row r="2" spans="1:12" s="397" customFormat="1">
      <c r="A2" s="396" t="s">
        <v>123</v>
      </c>
      <c r="C2" s="398"/>
    </row>
    <row r="3" spans="1:12" s="397" customFormat="1">
      <c r="A3" s="396" t="s">
        <v>124</v>
      </c>
      <c r="C3" s="398"/>
    </row>
    <row r="4" spans="1:12" s="397" customFormat="1">
      <c r="A4" s="396" t="s">
        <v>125</v>
      </c>
      <c r="C4" s="398"/>
    </row>
    <row r="5" spans="1:12" s="397" customFormat="1">
      <c r="A5" s="396" t="s">
        <v>129</v>
      </c>
      <c r="C5" s="398"/>
    </row>
    <row r="6" spans="1:12" s="397" customFormat="1">
      <c r="A6" s="396" t="s">
        <v>130</v>
      </c>
      <c r="C6" s="398"/>
    </row>
    <row r="7" spans="1:12" s="397" customFormat="1">
      <c r="A7" s="396"/>
      <c r="C7" s="398"/>
    </row>
    <row r="8" spans="1:12" ht="15.75" thickBot="1">
      <c r="A8" s="320"/>
      <c r="B8" s="321" t="s">
        <v>112</v>
      </c>
    </row>
    <row r="9" spans="1:12">
      <c r="A9" s="324"/>
      <c r="B9" s="325"/>
      <c r="C9" s="326" t="s">
        <v>52</v>
      </c>
    </row>
    <row r="10" spans="1:12" s="343" customFormat="1" ht="15.75" thickBot="1">
      <c r="A10" s="341">
        <v>2013</v>
      </c>
      <c r="B10" s="342" t="s">
        <v>68</v>
      </c>
      <c r="C10" s="327" t="s">
        <v>113</v>
      </c>
    </row>
    <row r="11" spans="1:12">
      <c r="A11" s="328">
        <v>18</v>
      </c>
      <c r="B11" s="329" t="s">
        <v>114</v>
      </c>
      <c r="C11" s="330">
        <v>1392852.5199999998</v>
      </c>
      <c r="D11" s="331"/>
      <c r="E11" s="332"/>
      <c r="F11" s="333"/>
      <c r="G11" s="333"/>
      <c r="H11" s="333"/>
      <c r="I11" s="333"/>
      <c r="J11" s="333"/>
      <c r="K11" s="333"/>
      <c r="L11" s="333"/>
    </row>
    <row r="12" spans="1:12">
      <c r="A12" s="328">
        <v>19</v>
      </c>
      <c r="B12" s="329" t="s">
        <v>51</v>
      </c>
      <c r="C12" s="330">
        <v>480152.72</v>
      </c>
      <c r="D12" s="331"/>
      <c r="E12" s="334"/>
      <c r="F12" s="333"/>
      <c r="G12" s="333"/>
      <c r="H12" s="333"/>
      <c r="I12" s="333"/>
      <c r="J12" s="333"/>
      <c r="K12" s="333"/>
      <c r="L12" s="333"/>
    </row>
    <row r="13" spans="1:12">
      <c r="A13" s="328">
        <v>20</v>
      </c>
      <c r="B13" s="329" t="s">
        <v>86</v>
      </c>
      <c r="C13" s="330">
        <v>4412975.41</v>
      </c>
      <c r="E13" s="335"/>
      <c r="L13" s="336"/>
    </row>
    <row r="14" spans="1:12">
      <c r="A14" s="328">
        <v>21</v>
      </c>
      <c r="B14" s="329" t="s">
        <v>50</v>
      </c>
      <c r="C14" s="330">
        <v>126307.61000000002</v>
      </c>
      <c r="E14" s="335"/>
      <c r="L14" s="336"/>
    </row>
    <row r="15" spans="1:12">
      <c r="A15" s="328">
        <v>22</v>
      </c>
      <c r="B15" s="329" t="s">
        <v>115</v>
      </c>
      <c r="C15" s="330">
        <v>1948954.5399999998</v>
      </c>
      <c r="E15" s="335"/>
    </row>
    <row r="16" spans="1:12">
      <c r="A16" s="328">
        <v>23</v>
      </c>
      <c r="B16" s="329" t="s">
        <v>116</v>
      </c>
      <c r="C16" s="330">
        <v>414071.14548240916</v>
      </c>
      <c r="E16" s="335"/>
    </row>
    <row r="17" spans="1:5">
      <c r="A17" s="328">
        <v>24</v>
      </c>
      <c r="B17" s="329" t="s">
        <v>117</v>
      </c>
      <c r="C17" s="330">
        <v>597682.1</v>
      </c>
      <c r="E17" s="335"/>
    </row>
    <row r="18" spans="1:5" ht="15.75" thickBot="1">
      <c r="A18" s="337">
        <v>25</v>
      </c>
      <c r="B18" s="338" t="s">
        <v>49</v>
      </c>
      <c r="C18" s="339">
        <v>553974.26756187482</v>
      </c>
      <c r="E18" s="335"/>
    </row>
  </sheetData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954DA997A5CA43947A9E4003D7D9F9" ma:contentTypeVersion="0" ma:contentTypeDescription="Create a new document." ma:contentTypeScope="" ma:versionID="e5df6e5670a5ac89194fe3532eb358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0B009EC-80C3-4FE9-9846-A0D5886371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CE31C9-A910-467D-96E9-DE4E034970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585BE8-5F73-4DD4-B7E0-1D8FD800DD30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2013 AR - Solar</vt:lpstr>
      <vt:lpstr>2013 Solar Actuals</vt:lpstr>
      <vt:lpstr>NPV 2013</vt:lpstr>
      <vt:lpstr>ECCR Cost</vt:lpstr>
      <vt:lpstr>'2013 AR - Solar'!Print_Area</vt:lpstr>
      <vt:lpstr>'2013 AR - Solar'!Print_Titles</vt:lpstr>
      <vt:lpstr>'2013 Solar Actuals'!Print_Titles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Priscilla Richardson</dc:creator>
  <cp:lastModifiedBy>FPL_User</cp:lastModifiedBy>
  <cp:lastPrinted>2014-05-20T15:11:57Z</cp:lastPrinted>
  <dcterms:created xsi:type="dcterms:W3CDTF">2012-02-10T03:13:18Z</dcterms:created>
  <dcterms:modified xsi:type="dcterms:W3CDTF">2014-05-20T15:12:01Z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0x01010033954DA997A5CA43947A9E4003D7D9F9</vt:lpwstr>
  </property>
</Properties>
</file>