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TS181FS1\projects\IER\08465\200-08465-16003\SupportDocs\"/>
    </mc:Choice>
  </mc:AlternateContent>
  <bookViews>
    <workbookView xWindow="0" yWindow="0" windowWidth="28800" windowHeight="12045" activeTab="2"/>
  </bookViews>
  <sheets>
    <sheet name="Infiltration" sheetId="1" r:id="rId1"/>
    <sheet name="Inflow" sheetId="2" r:id="rId2"/>
    <sheet name="I&amp;I Summary ATW-3" sheetId="3" r:id="rId3"/>
    <sheet name="EUW ATW-2" sheetId="4" r:id="rId4"/>
    <sheet name="UAW I&amp;I Summary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6" i="3" l="1"/>
  <c r="D44" i="3"/>
  <c r="D43" i="3"/>
  <c r="D42" i="3"/>
  <c r="D41" i="3"/>
  <c r="D40" i="3"/>
  <c r="D35" i="3"/>
  <c r="B5" i="3"/>
  <c r="D45" i="3" l="1"/>
  <c r="D47" i="3" s="1"/>
  <c r="D49" i="3" s="1"/>
  <c r="A17" i="5"/>
  <c r="A16" i="5"/>
  <c r="B15" i="5"/>
  <c r="B14" i="5"/>
  <c r="B13" i="5"/>
  <c r="B12" i="5"/>
  <c r="A15" i="5"/>
  <c r="A14" i="5"/>
  <c r="A13" i="5"/>
  <c r="A12" i="5"/>
  <c r="B11" i="5"/>
  <c r="A11" i="5"/>
  <c r="B10" i="5"/>
  <c r="A10" i="5"/>
  <c r="B9" i="5"/>
  <c r="A9" i="5"/>
  <c r="B8" i="5"/>
  <c r="A8" i="5"/>
  <c r="B7" i="5"/>
  <c r="B6" i="5"/>
  <c r="A7" i="5"/>
  <c r="A6" i="5"/>
  <c r="A5" i="5"/>
  <c r="A4" i="5"/>
  <c r="A3" i="5"/>
  <c r="H25" i="4" l="1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3" i="4"/>
  <c r="D15" i="2" l="1"/>
  <c r="D29" i="3" l="1"/>
  <c r="D28" i="3"/>
  <c r="D25" i="3"/>
  <c r="B30" i="3"/>
  <c r="D30" i="3" s="1"/>
  <c r="B29" i="3"/>
  <c r="B28" i="3"/>
  <c r="B27" i="3"/>
  <c r="D27" i="3" s="1"/>
  <c r="B26" i="3"/>
  <c r="D26" i="3" s="1"/>
  <c r="B25" i="3"/>
  <c r="D31" i="3" l="1"/>
  <c r="F25" i="4"/>
  <c r="G25" i="4" s="1"/>
  <c r="F24" i="4"/>
  <c r="G24" i="4" s="1"/>
  <c r="F23" i="4"/>
  <c r="G23" i="4"/>
  <c r="F22" i="4"/>
  <c r="G22" i="4" s="1"/>
  <c r="F21" i="4"/>
  <c r="G21" i="4" s="1"/>
  <c r="F20" i="4"/>
  <c r="G20" i="4"/>
  <c r="F19" i="4"/>
  <c r="G19" i="4" s="1"/>
  <c r="F18" i="4"/>
  <c r="G18" i="4" s="1"/>
  <c r="F17" i="4"/>
  <c r="G17" i="4" s="1"/>
  <c r="F16" i="4"/>
  <c r="G16" i="4"/>
  <c r="F15" i="4"/>
  <c r="F14" i="4"/>
  <c r="F13" i="4"/>
  <c r="G13" i="4" s="1"/>
  <c r="F12" i="4"/>
  <c r="F11" i="4"/>
  <c r="F10" i="4"/>
  <c r="F9" i="4"/>
  <c r="G9" i="4" s="1"/>
  <c r="F8" i="4"/>
  <c r="F7" i="4"/>
  <c r="G7" i="4" s="1"/>
  <c r="F6" i="4"/>
  <c r="F5" i="4"/>
  <c r="F4" i="4"/>
  <c r="F3" i="4"/>
  <c r="G15" i="4"/>
  <c r="G14" i="4"/>
  <c r="G12" i="4"/>
  <c r="G11" i="4"/>
  <c r="G10" i="4"/>
  <c r="G8" i="4"/>
  <c r="G6" i="4"/>
  <c r="G5" i="4"/>
  <c r="G4" i="4"/>
  <c r="G3" i="4"/>
  <c r="E21" i="3" l="1"/>
  <c r="D21" i="3"/>
  <c r="E20" i="3"/>
  <c r="D20" i="3"/>
  <c r="E18" i="3"/>
  <c r="D18" i="3"/>
  <c r="E17" i="3"/>
  <c r="D17" i="3"/>
  <c r="E15" i="3"/>
  <c r="D15" i="3"/>
  <c r="E14" i="3"/>
  <c r="E13" i="3"/>
  <c r="D13" i="3"/>
  <c r="E12" i="3"/>
  <c r="D12" i="3"/>
  <c r="E11" i="3"/>
  <c r="D11" i="3"/>
  <c r="E10" i="3"/>
  <c r="D10" i="3"/>
  <c r="E9" i="3"/>
  <c r="E7" i="3"/>
  <c r="D7" i="3"/>
  <c r="E6" i="3"/>
  <c r="D6" i="3"/>
  <c r="E4" i="3"/>
  <c r="E3" i="3"/>
  <c r="X22" i="1"/>
  <c r="X21" i="1"/>
  <c r="X19" i="1"/>
  <c r="X18" i="1"/>
  <c r="X16" i="1"/>
  <c r="X15" i="1"/>
  <c r="X14" i="1"/>
  <c r="X13" i="1"/>
  <c r="X12" i="1"/>
  <c r="X11" i="1"/>
  <c r="X10" i="1"/>
  <c r="X9" i="1"/>
  <c r="X8" i="1"/>
  <c r="X7" i="1"/>
  <c r="X6" i="1"/>
  <c r="X5" i="1"/>
  <c r="X4" i="1"/>
  <c r="D3" i="3"/>
  <c r="C21" i="3"/>
  <c r="C20" i="3"/>
  <c r="C18" i="3"/>
  <c r="C17" i="3"/>
  <c r="C15" i="3"/>
  <c r="C13" i="3"/>
  <c r="F13" i="3" s="1"/>
  <c r="C12" i="3"/>
  <c r="C11" i="3"/>
  <c r="C10" i="3"/>
  <c r="C7" i="3"/>
  <c r="C6" i="3"/>
  <c r="C3" i="3"/>
  <c r="B21" i="3"/>
  <c r="F21" i="3" s="1"/>
  <c r="B20" i="3"/>
  <c r="B18" i="3"/>
  <c r="B17" i="3"/>
  <c r="F17" i="3" s="1"/>
  <c r="B15" i="3"/>
  <c r="B13" i="3"/>
  <c r="B12" i="3"/>
  <c r="B11" i="3"/>
  <c r="B10" i="3"/>
  <c r="B9" i="3"/>
  <c r="B8" i="3"/>
  <c r="D32" i="3" s="1"/>
  <c r="D33" i="3" s="1"/>
  <c r="B7" i="3"/>
  <c r="B6" i="3"/>
  <c r="B4" i="3"/>
  <c r="B3" i="3"/>
  <c r="F3" i="3" s="1"/>
  <c r="I22" i="2"/>
  <c r="I21" i="2"/>
  <c r="I19" i="2"/>
  <c r="I18" i="2"/>
  <c r="I16" i="2"/>
  <c r="I14" i="2"/>
  <c r="I13" i="2"/>
  <c r="I12" i="2"/>
  <c r="I11" i="2"/>
  <c r="I8" i="2"/>
  <c r="I7" i="2"/>
  <c r="I6" i="2"/>
  <c r="I4" i="2"/>
  <c r="H22" i="2"/>
  <c r="H21" i="2"/>
  <c r="H19" i="2"/>
  <c r="H18" i="2"/>
  <c r="H16" i="2"/>
  <c r="H14" i="2"/>
  <c r="H13" i="2"/>
  <c r="H12" i="2"/>
  <c r="H11" i="2"/>
  <c r="H10" i="2"/>
  <c r="C9" i="3" s="1"/>
  <c r="H8" i="2"/>
  <c r="H7" i="2"/>
  <c r="H6" i="2"/>
  <c r="H4" i="2"/>
  <c r="G22" i="2"/>
  <c r="F22" i="2"/>
  <c r="G21" i="2"/>
  <c r="F21" i="2"/>
  <c r="G19" i="2"/>
  <c r="F19" i="2"/>
  <c r="G18" i="2"/>
  <c r="F18" i="2"/>
  <c r="G16" i="2"/>
  <c r="F16" i="2"/>
  <c r="G15" i="2"/>
  <c r="F15" i="2"/>
  <c r="H15" i="2" s="1"/>
  <c r="G14" i="2"/>
  <c r="F14" i="2"/>
  <c r="G13" i="2"/>
  <c r="F13" i="2"/>
  <c r="G12" i="2"/>
  <c r="F12" i="2"/>
  <c r="G11" i="2"/>
  <c r="F11" i="2"/>
  <c r="G10" i="2"/>
  <c r="F10" i="2"/>
  <c r="G9" i="2"/>
  <c r="H9" i="2" s="1"/>
  <c r="F9" i="2"/>
  <c r="G8" i="2"/>
  <c r="F8" i="2"/>
  <c r="G7" i="2"/>
  <c r="F7" i="2"/>
  <c r="G6" i="2"/>
  <c r="F6" i="2"/>
  <c r="G5" i="2"/>
  <c r="F5" i="2"/>
  <c r="H5" i="2" s="1"/>
  <c r="G4" i="2"/>
  <c r="F4" i="2"/>
  <c r="C22" i="2"/>
  <c r="C21" i="2"/>
  <c r="C19" i="2"/>
  <c r="C18" i="2"/>
  <c r="C16" i="2"/>
  <c r="B14" i="3"/>
  <c r="C14" i="2"/>
  <c r="C13" i="2"/>
  <c r="C12" i="2"/>
  <c r="C11" i="2"/>
  <c r="C10" i="2"/>
  <c r="C9" i="2"/>
  <c r="C8" i="2"/>
  <c r="C7" i="2"/>
  <c r="C6" i="2"/>
  <c r="C5" i="2"/>
  <c r="C4" i="2"/>
  <c r="B21" i="2"/>
  <c r="B22" i="2"/>
  <c r="D4" i="5" l="1"/>
  <c r="C4" i="5"/>
  <c r="D5" i="5"/>
  <c r="C5" i="5"/>
  <c r="F7" i="3"/>
  <c r="F6" i="3"/>
  <c r="F11" i="3"/>
  <c r="F15" i="3"/>
  <c r="F20" i="3"/>
  <c r="F18" i="3"/>
  <c r="F10" i="3"/>
  <c r="F12" i="3"/>
  <c r="I15" i="2"/>
  <c r="D14" i="3" s="1"/>
  <c r="C14" i="3"/>
  <c r="F14" i="3" s="1"/>
  <c r="I9" i="2"/>
  <c r="I10" i="2"/>
  <c r="D9" i="3" s="1"/>
  <c r="F9" i="3" s="1"/>
  <c r="I5" i="2"/>
  <c r="D4" i="3" s="1"/>
  <c r="C4" i="3"/>
  <c r="F4" i="3"/>
  <c r="B18" i="2"/>
  <c r="B19" i="2"/>
  <c r="B13" i="2"/>
  <c r="B9" i="2"/>
  <c r="D3" i="5" l="1"/>
  <c r="C3" i="5"/>
  <c r="W22" i="1"/>
  <c r="W21" i="1"/>
  <c r="W19" i="1"/>
  <c r="W18" i="1"/>
  <c r="W16" i="1"/>
  <c r="W15" i="1"/>
  <c r="W14" i="1"/>
  <c r="W13" i="1"/>
  <c r="W12" i="1"/>
  <c r="W11" i="1"/>
  <c r="W10" i="1"/>
  <c r="W9" i="1"/>
  <c r="W8" i="1"/>
  <c r="W7" i="1"/>
  <c r="W6" i="1"/>
  <c r="W5" i="1"/>
  <c r="W4" i="1"/>
  <c r="U22" i="1"/>
  <c r="V22" i="1" s="1"/>
  <c r="U21" i="1"/>
  <c r="V21" i="1" s="1"/>
  <c r="U19" i="1"/>
  <c r="V19" i="1" s="1"/>
  <c r="U18" i="1"/>
  <c r="V18" i="1" s="1"/>
  <c r="U16" i="1"/>
  <c r="V16" i="1" s="1"/>
  <c r="U15" i="1"/>
  <c r="V15" i="1" s="1"/>
  <c r="U14" i="1"/>
  <c r="V14" i="1" s="1"/>
  <c r="U13" i="1"/>
  <c r="V13" i="1" s="1"/>
  <c r="U12" i="1"/>
  <c r="V12" i="1" s="1"/>
  <c r="U11" i="1"/>
  <c r="V11" i="1" s="1"/>
  <c r="U10" i="1"/>
  <c r="V10" i="1" s="1"/>
  <c r="U9" i="1"/>
  <c r="V9" i="1" s="1"/>
  <c r="U8" i="1"/>
  <c r="V8" i="1" s="1"/>
  <c r="U7" i="1"/>
  <c r="V7" i="1" s="1"/>
  <c r="U6" i="1"/>
  <c r="V6" i="1" s="1"/>
  <c r="U5" i="1"/>
  <c r="V5" i="1" s="1"/>
  <c r="U4" i="1"/>
  <c r="V4" i="1"/>
  <c r="R22" i="1"/>
  <c r="S22" i="1" s="1"/>
  <c r="R21" i="1"/>
  <c r="S21" i="1" s="1"/>
  <c r="R19" i="1"/>
  <c r="S19" i="1" s="1"/>
  <c r="R18" i="1"/>
  <c r="S18" i="1" s="1"/>
  <c r="R16" i="1"/>
  <c r="S16" i="1" s="1"/>
  <c r="R15" i="1"/>
  <c r="S15" i="1" s="1"/>
  <c r="R14" i="1"/>
  <c r="S14" i="1" s="1"/>
  <c r="R13" i="1"/>
  <c r="S13" i="1" s="1"/>
  <c r="R12" i="1"/>
  <c r="S12" i="1" s="1"/>
  <c r="R11" i="1"/>
  <c r="S11" i="1" s="1"/>
  <c r="R10" i="1"/>
  <c r="S10" i="1" s="1"/>
  <c r="R9" i="1"/>
  <c r="S9" i="1" s="1"/>
  <c r="R8" i="1"/>
  <c r="S8" i="1" s="1"/>
  <c r="R7" i="1"/>
  <c r="S7" i="1" s="1"/>
  <c r="R6" i="1"/>
  <c r="S6" i="1" s="1"/>
  <c r="R5" i="1"/>
  <c r="S5" i="1" s="1"/>
  <c r="R4" i="1"/>
  <c r="S4" i="1"/>
  <c r="O22" i="1"/>
  <c r="P22" i="1" s="1"/>
  <c r="O21" i="1"/>
  <c r="P21" i="1" s="1"/>
  <c r="O19" i="1"/>
  <c r="P19" i="1" s="1"/>
  <c r="O18" i="1"/>
  <c r="P18" i="1" s="1"/>
  <c r="O16" i="1"/>
  <c r="P16" i="1" s="1"/>
  <c r="O15" i="1"/>
  <c r="P15" i="1" s="1"/>
  <c r="O14" i="1"/>
  <c r="P14" i="1" s="1"/>
  <c r="O13" i="1"/>
  <c r="P13" i="1" s="1"/>
  <c r="O12" i="1"/>
  <c r="P12" i="1" s="1"/>
  <c r="O11" i="1"/>
  <c r="P11" i="1" s="1"/>
  <c r="O10" i="1"/>
  <c r="P10" i="1" s="1"/>
  <c r="O9" i="1"/>
  <c r="P9" i="1" s="1"/>
  <c r="O8" i="1"/>
  <c r="P8" i="1" s="1"/>
  <c r="O7" i="1"/>
  <c r="P7" i="1" s="1"/>
  <c r="O6" i="1"/>
  <c r="P6" i="1" s="1"/>
  <c r="O5" i="1"/>
  <c r="P5" i="1" s="1"/>
  <c r="O4" i="1"/>
  <c r="P4" i="1"/>
  <c r="L22" i="1"/>
  <c r="M22" i="1" s="1"/>
  <c r="L21" i="1"/>
  <c r="M21" i="1" s="1"/>
  <c r="L19" i="1"/>
  <c r="M19" i="1" s="1"/>
  <c r="L18" i="1"/>
  <c r="M18" i="1" s="1"/>
  <c r="L16" i="1"/>
  <c r="M16" i="1" s="1"/>
  <c r="L15" i="1"/>
  <c r="M15" i="1" s="1"/>
  <c r="L14" i="1"/>
  <c r="M14" i="1" s="1"/>
  <c r="L13" i="1"/>
  <c r="M13" i="1" s="1"/>
  <c r="L12" i="1"/>
  <c r="M12" i="1" s="1"/>
  <c r="L11" i="1"/>
  <c r="M11" i="1" s="1"/>
  <c r="L10" i="1"/>
  <c r="M10" i="1" s="1"/>
  <c r="L9" i="1"/>
  <c r="M9" i="1" s="1"/>
  <c r="L8" i="1"/>
  <c r="M8" i="1" s="1"/>
  <c r="L7" i="1"/>
  <c r="M7" i="1" s="1"/>
  <c r="L6" i="1"/>
  <c r="M6" i="1" s="1"/>
  <c r="L5" i="1"/>
  <c r="M5" i="1" s="1"/>
  <c r="L4" i="1"/>
  <c r="M4" i="1"/>
  <c r="I22" i="1"/>
  <c r="J22" i="1" s="1"/>
  <c r="I21" i="1"/>
  <c r="J21" i="1" s="1"/>
  <c r="I19" i="1"/>
  <c r="J19" i="1" s="1"/>
  <c r="I18" i="1"/>
  <c r="J18" i="1" s="1"/>
  <c r="I16" i="1"/>
  <c r="J16" i="1" s="1"/>
  <c r="I15" i="1"/>
  <c r="J15" i="1" s="1"/>
  <c r="I14" i="1"/>
  <c r="J14" i="1" s="1"/>
  <c r="I13" i="1"/>
  <c r="J13" i="1" s="1"/>
  <c r="I12" i="1"/>
  <c r="J12" i="1" s="1"/>
  <c r="I11" i="1"/>
  <c r="J11" i="1" s="1"/>
  <c r="I10" i="1"/>
  <c r="J10" i="1" s="1"/>
  <c r="I9" i="1"/>
  <c r="J9" i="1" s="1"/>
  <c r="I8" i="1"/>
  <c r="J8" i="1" s="1"/>
  <c r="I7" i="1"/>
  <c r="J7" i="1" s="1"/>
  <c r="I6" i="1"/>
  <c r="J6" i="1" s="1"/>
  <c r="I5" i="1"/>
  <c r="J5" i="1" s="1"/>
  <c r="I4" i="1"/>
  <c r="J4" i="1"/>
  <c r="F22" i="1"/>
  <c r="F21" i="1"/>
  <c r="G21" i="1" s="1"/>
  <c r="F19" i="1"/>
  <c r="G19" i="1" s="1"/>
  <c r="F18" i="1"/>
  <c r="F16" i="1"/>
  <c r="F15" i="1"/>
  <c r="G15" i="1" s="1"/>
  <c r="F14" i="1"/>
  <c r="F13" i="1"/>
  <c r="G13" i="1" s="1"/>
  <c r="F12" i="1"/>
  <c r="F11" i="1"/>
  <c r="G11" i="1" s="1"/>
  <c r="F10" i="1"/>
  <c r="F9" i="1"/>
  <c r="G9" i="1" s="1"/>
  <c r="F8" i="1"/>
  <c r="F7" i="1"/>
  <c r="G7" i="1" s="1"/>
  <c r="F6" i="1"/>
  <c r="F5" i="1"/>
  <c r="G5" i="1" s="1"/>
  <c r="F4" i="1"/>
  <c r="G22" i="1"/>
  <c r="G18" i="1"/>
  <c r="G16" i="1"/>
  <c r="G14" i="1"/>
  <c r="G12" i="1"/>
  <c r="G10" i="1"/>
  <c r="G8" i="1"/>
  <c r="G6" i="1"/>
  <c r="G4" i="1"/>
  <c r="D22" i="1"/>
  <c r="C22" i="1"/>
  <c r="C21" i="1"/>
  <c r="D21" i="1" s="1"/>
  <c r="C19" i="1"/>
  <c r="D19" i="1" s="1"/>
  <c r="D18" i="1"/>
  <c r="C18" i="1"/>
  <c r="D16" i="1"/>
  <c r="C16" i="1"/>
  <c r="C15" i="1"/>
  <c r="D15" i="1" s="1"/>
  <c r="D14" i="1"/>
  <c r="C14" i="1"/>
  <c r="C13" i="1"/>
  <c r="D13" i="1" s="1"/>
  <c r="D12" i="1"/>
  <c r="C12" i="1"/>
  <c r="C11" i="1"/>
  <c r="D11" i="1" s="1"/>
  <c r="D10" i="1"/>
  <c r="C10" i="1"/>
  <c r="C9" i="1"/>
  <c r="D9" i="1" s="1"/>
  <c r="D8" i="1"/>
  <c r="C8" i="1"/>
  <c r="C7" i="1"/>
  <c r="D7" i="1" s="1"/>
  <c r="D6" i="1"/>
  <c r="C6" i="1"/>
  <c r="C5" i="1"/>
  <c r="D5" i="1" s="1"/>
  <c r="D4" i="1"/>
  <c r="C4" i="1"/>
  <c r="H21" i="1"/>
  <c r="H19" i="1" l="1"/>
  <c r="T15" i="1" l="1"/>
  <c r="N15" i="1"/>
  <c r="H14" i="1" l="1"/>
  <c r="H13" i="1" l="1"/>
  <c r="H11" i="1" l="1"/>
  <c r="H10" i="1" l="1"/>
  <c r="H8" i="1"/>
</calcChain>
</file>

<file path=xl/sharedStrings.xml><?xml version="1.0" encoding="utf-8"?>
<sst xmlns="http://schemas.openxmlformats.org/spreadsheetml/2006/main" count="216" uniqueCount="112">
  <si>
    <t>System</t>
  </si>
  <si>
    <t>8" Pipe</t>
  </si>
  <si>
    <t>ft</t>
  </si>
  <si>
    <t>in-miles</t>
  </si>
  <si>
    <t>4" Pipe</t>
  </si>
  <si>
    <t>6" Pipe</t>
  </si>
  <si>
    <t>10" Pipe</t>
  </si>
  <si>
    <t>12" Pipe</t>
  </si>
  <si>
    <t>Cypress Lakes</t>
  </si>
  <si>
    <t>Eagle Ridge</t>
  </si>
  <si>
    <t>Labrador</t>
  </si>
  <si>
    <t>Lake Placid</t>
  </si>
  <si>
    <t>Longwood</t>
  </si>
  <si>
    <t>LUSI</t>
  </si>
  <si>
    <t>Mid-County</t>
  </si>
  <si>
    <t>Pennbrooke</t>
  </si>
  <si>
    <t>Sandalhaven</t>
  </si>
  <si>
    <t>Sanlando</t>
  </si>
  <si>
    <t>15" Pipe</t>
  </si>
  <si>
    <t>Tierra Verde</t>
  </si>
  <si>
    <t>18" Pipe</t>
  </si>
  <si>
    <t>UIF Marion</t>
  </si>
  <si>
    <t>UIF Pasco</t>
  </si>
  <si>
    <t>Wis Bar</t>
  </si>
  <si>
    <t>Summertree</t>
  </si>
  <si>
    <t>UIF Seminole</t>
  </si>
  <si>
    <t>Weathersfield</t>
  </si>
  <si>
    <t>Lincoln Heights</t>
  </si>
  <si>
    <r>
      <t>Allowable I&amp;I</t>
    </r>
    <r>
      <rPr>
        <vertAlign val="superscript"/>
        <sz val="11"/>
        <color theme="1"/>
        <rFont val="Calibri"/>
        <family val="2"/>
        <scheme val="minor"/>
      </rPr>
      <t>(1)</t>
    </r>
  </si>
  <si>
    <t>Notes:</t>
  </si>
  <si>
    <t>(1) At 500 gpd/in-mi</t>
  </si>
  <si>
    <t>Total</t>
  </si>
  <si>
    <t>WWTP Flow</t>
  </si>
  <si>
    <t>Billed Water Flow</t>
  </si>
  <si>
    <t>Notes</t>
  </si>
  <si>
    <t>Cross Creek</t>
  </si>
  <si>
    <t>gpd</t>
  </si>
  <si>
    <t>gal/yr</t>
  </si>
  <si>
    <t>Residential</t>
  </si>
  <si>
    <t>Non-Residential</t>
  </si>
  <si>
    <t>Calculated Billed Water Returned to WWTP</t>
  </si>
  <si>
    <t>Residential (80%)</t>
  </si>
  <si>
    <t>Non-Residential (90%)</t>
  </si>
  <si>
    <r>
      <t>Allowable Inflow</t>
    </r>
    <r>
      <rPr>
        <vertAlign val="superscript"/>
        <sz val="11"/>
        <color theme="1"/>
        <rFont val="Calibri"/>
        <family val="2"/>
        <scheme val="minor"/>
      </rPr>
      <t>(1)</t>
    </r>
  </si>
  <si>
    <t>(1) Based on 10% of billed water returned to WWTP</t>
  </si>
  <si>
    <t>MFRs use 60% for residential because area is heavily landscaped</t>
  </si>
  <si>
    <t>MFRs do not do a calculation for Cross Creek</t>
  </si>
  <si>
    <t>check for revised MFR sheet</t>
  </si>
  <si>
    <t>MFRs use 45% for residential because area is heavily landscaped; check for water used by WW customers</t>
  </si>
  <si>
    <t>no F-1 in MFRs</t>
  </si>
  <si>
    <t xml:space="preserve">MFRs use 90 and 96% references docket 060285 </t>
  </si>
  <si>
    <t>MFRs use 39% for residential because area is heavily landscaped; check for water used by WW customers</t>
  </si>
  <si>
    <t>Allowable Infiltration</t>
  </si>
  <si>
    <t>Allowable Inflow</t>
  </si>
  <si>
    <t>MFRs use 84 and 96% based on docket 07-0505</t>
  </si>
  <si>
    <t>Total WW flow</t>
  </si>
  <si>
    <t>Water Returned to WWTP</t>
  </si>
  <si>
    <t>Excess I&amp;I</t>
  </si>
  <si>
    <r>
      <t xml:space="preserve"> Total Allowable I&amp;I</t>
    </r>
    <r>
      <rPr>
        <vertAlign val="superscript"/>
        <sz val="11"/>
        <color theme="1"/>
        <rFont val="Calibri"/>
        <family val="2"/>
        <scheme val="minor"/>
      </rPr>
      <t>(1)</t>
    </r>
  </si>
  <si>
    <t>gpy</t>
  </si>
  <si>
    <t>OK</t>
  </si>
  <si>
    <t>over</t>
  </si>
  <si>
    <t>Water Pumped</t>
  </si>
  <si>
    <t>Water Purcahsed</t>
  </si>
  <si>
    <t>Water Sold</t>
  </si>
  <si>
    <t>Other Uses</t>
  </si>
  <si>
    <t>UAW</t>
  </si>
  <si>
    <t>% UAW</t>
  </si>
  <si>
    <t>LUSI - Main</t>
  </si>
  <si>
    <t>LUSI - Four Lakes</t>
  </si>
  <si>
    <t>LUSI Lake Saunders</t>
  </si>
  <si>
    <t>Pasco - Summertree</t>
  </si>
  <si>
    <t>Pasco - Orangewood, etc.</t>
  </si>
  <si>
    <t>UIF Orange - Davis Shores</t>
  </si>
  <si>
    <t>UIF Orange - Crescent Hts</t>
  </si>
  <si>
    <t>UIF Pinellas - Lake Tarpon</t>
  </si>
  <si>
    <t>UIF Seminole - Bear Lake</t>
  </si>
  <si>
    <t>UIF Seminole - Crystal Lake</t>
  </si>
  <si>
    <t>UIF Seminole - Ravenna Park, etc.</t>
  </si>
  <si>
    <t>UIF Seminole - Jansen</t>
  </si>
  <si>
    <t>UIF Seminole - Little Wekiva</t>
  </si>
  <si>
    <t>UIF Seminole - Oakland Shores</t>
  </si>
  <si>
    <t>UIF Seminole - Park Ridge</t>
  </si>
  <si>
    <t>Uif Seminole - Phillips</t>
  </si>
  <si>
    <t>UIF Seminole - Weathersfield</t>
  </si>
  <si>
    <t>OK; verify Lee County numbers?</t>
  </si>
  <si>
    <t>Longwood Subschedule</t>
  </si>
  <si>
    <t>Res</t>
  </si>
  <si>
    <t>GS 5/8</t>
  </si>
  <si>
    <t>GS 1</t>
  </si>
  <si>
    <t>GS 1.5</t>
  </si>
  <si>
    <t>GS 2</t>
  </si>
  <si>
    <t>GS 3</t>
  </si>
  <si>
    <t>Based on No of Bills Sched E2</t>
  </si>
  <si>
    <t>Equivalency Factor</t>
  </si>
  <si>
    <t>ERUs</t>
  </si>
  <si>
    <t>gpd/ERU</t>
  </si>
  <si>
    <t>used billed water flow from the 2008 rate case as a proxy for current flows</t>
  </si>
  <si>
    <t>OK based on 120 gpcd criteria</t>
  </si>
  <si>
    <t>% Other Uses</t>
  </si>
  <si>
    <t>Excess UAW (%)</t>
  </si>
  <si>
    <t>Excess I&amp;I (gallons)</t>
  </si>
  <si>
    <t>??</t>
  </si>
  <si>
    <t>Excess I&amp;I (%)</t>
  </si>
  <si>
    <t>LONGWOOD</t>
  </si>
  <si>
    <t>cap/ERU</t>
  </si>
  <si>
    <t>gpd/cap</t>
  </si>
  <si>
    <t>WW flow (gpd)</t>
  </si>
  <si>
    <t>CROSS CREEK</t>
  </si>
  <si>
    <t>ERUs Form 2015 AR</t>
  </si>
  <si>
    <t>see below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</si>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</sst>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1" xfId="0" applyBorder="1"/>
    <xf numFmtId="0" fontId="0" fillId="0" borderId="0" xfId="0" applyAlignment="1">
      <alignment horizontal="left" indent="3"/>
    </xf>
    <xf numFmtId="164" fontId="0" fillId="0" borderId="0" xfId="1" applyNumberFormat="1" applyFont="1"/>
    <xf numFmtId="43" fontId="0" fillId="0" borderId="0" xfId="1" applyNumberFormat="1" applyFont="1"/>
    <xf numFmtId="164" fontId="0" fillId="0" borderId="0" xfId="0" applyNumberFormat="1"/>
    <xf numFmtId="0" fontId="0" fillId="0" borderId="0" xfId="0" applyBorder="1"/>
    <xf numFmtId="0" fontId="0" fillId="0" borderId="0" xfId="0" applyAlignment="1">
      <alignment horizontal="left"/>
    </xf>
    <xf numFmtId="0" fontId="0" fillId="2" borderId="0" xfId="0" applyFill="1"/>
    <xf numFmtId="0" fontId="0" fillId="0" borderId="0" xfId="0" applyBorder="1" applyAlignment="1">
      <alignment wrapText="1"/>
    </xf>
    <xf numFmtId="0" fontId="0" fillId="3" borderId="0" xfId="0" applyFill="1"/>
    <xf numFmtId="164" fontId="0" fillId="2" borderId="0" xfId="1" applyNumberFormat="1" applyFont="1" applyFill="1"/>
    <xf numFmtId="0" fontId="0" fillId="0" borderId="1" xfId="0" applyFill="1" applyBorder="1"/>
    <xf numFmtId="10" fontId="0" fillId="0" borderId="0" xfId="2" applyNumberFormat="1" applyFont="1"/>
    <xf numFmtId="164" fontId="0" fillId="0" borderId="0" xfId="1" applyNumberFormat="1" applyFont="1" applyFill="1"/>
    <xf numFmtId="0" fontId="0" fillId="0" borderId="0" xfId="0" applyFill="1"/>
    <xf numFmtId="43" fontId="0" fillId="0" borderId="0" xfId="1" applyFont="1"/>
    <xf numFmtId="1" fontId="0" fillId="0" borderId="0" xfId="0" applyNumberFormat="1"/>
    <xf numFmtId="43" fontId="0" fillId="0" borderId="0" xfId="0" applyNumberFormat="1"/>
    <xf numFmtId="0" fontId="0" fillId="4" borderId="1" xfId="0" applyFill="1" applyBorder="1" applyAlignment="1">
      <alignment wrapText="1"/>
    </xf>
    <xf numFmtId="10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0" xfId="0" applyFill="1" applyAlignment="1">
      <alignment horizontal="left" indent="3"/>
    </xf>
    <xf numFmtId="43" fontId="0" fillId="0" borderId="0" xfId="1" applyFont="1" applyFill="1"/>
    <xf numFmtId="10" fontId="0" fillId="0" borderId="0" xfId="2" applyNumberFormat="1" applyFont="1" applyFill="1"/>
    <xf numFmtId="0" fontId="3" fillId="0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wrapText="1"/>
    </xf>
    <xf numFmtId="0" fontId="3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6"/>
  <sheetViews>
    <sheetView topLeftCell="N1" workbookViewId="0">
      <selection activeCell="AA24" sqref="AA24"/>
    </sheetView>
  </sheetViews>
  <sheetFormatPr defaultRowHeight="15" x14ac:dyDescent="0.25"/>
  <cols>
    <col min="1" max="1" width="19.85546875" customWidth="1"/>
    <col min="4" max="4" width="13.140625" bestFit="1" customWidth="1"/>
    <col min="7" max="7" width="13.140625" bestFit="1" customWidth="1"/>
    <col min="10" max="10" width="13.140625" bestFit="1" customWidth="1"/>
    <col min="13" max="13" width="13.140625" bestFit="1" customWidth="1"/>
    <col min="16" max="16" width="13.140625" bestFit="1" customWidth="1"/>
    <col min="19" max="19" width="13.140625" bestFit="1" customWidth="1"/>
    <col min="22" max="23" width="14.7109375" bestFit="1" customWidth="1"/>
    <col min="24" max="24" width="14.28515625" bestFit="1" customWidth="1"/>
  </cols>
  <sheetData>
    <row r="2" spans="1:24" ht="17.25" x14ac:dyDescent="0.25">
      <c r="A2" t="s">
        <v>0</v>
      </c>
      <c r="B2" s="28" t="s">
        <v>4</v>
      </c>
      <c r="C2" s="28"/>
      <c r="D2" s="28"/>
      <c r="E2" s="28" t="s">
        <v>5</v>
      </c>
      <c r="F2" s="28"/>
      <c r="G2" s="28"/>
      <c r="H2" s="28" t="s">
        <v>1</v>
      </c>
      <c r="I2" s="28"/>
      <c r="J2" s="28"/>
      <c r="K2" s="28" t="s">
        <v>6</v>
      </c>
      <c r="L2" s="28"/>
      <c r="M2" s="28"/>
      <c r="N2" s="28" t="s">
        <v>7</v>
      </c>
      <c r="O2" s="28"/>
      <c r="P2" s="28"/>
      <c r="Q2" s="28" t="s">
        <v>18</v>
      </c>
      <c r="R2" s="28"/>
      <c r="S2" s="28"/>
      <c r="T2" s="28" t="s">
        <v>20</v>
      </c>
      <c r="U2" s="28"/>
      <c r="V2" s="28"/>
      <c r="W2" s="27" t="s">
        <v>58</v>
      </c>
      <c r="X2" s="27"/>
    </row>
    <row r="3" spans="1:24" ht="17.25" x14ac:dyDescent="0.25">
      <c r="A3" s="1"/>
      <c r="B3" s="1" t="s">
        <v>2</v>
      </c>
      <c r="C3" s="1" t="s">
        <v>3</v>
      </c>
      <c r="D3" s="1" t="s">
        <v>28</v>
      </c>
      <c r="E3" s="1" t="s">
        <v>2</v>
      </c>
      <c r="F3" s="1" t="s">
        <v>3</v>
      </c>
      <c r="G3" s="1" t="s">
        <v>28</v>
      </c>
      <c r="H3" s="1" t="s">
        <v>2</v>
      </c>
      <c r="I3" s="1" t="s">
        <v>3</v>
      </c>
      <c r="J3" s="1" t="s">
        <v>28</v>
      </c>
      <c r="K3" s="1" t="s">
        <v>2</v>
      </c>
      <c r="L3" s="1" t="s">
        <v>3</v>
      </c>
      <c r="M3" s="1" t="s">
        <v>28</v>
      </c>
      <c r="N3" s="1" t="s">
        <v>2</v>
      </c>
      <c r="O3" s="1" t="s">
        <v>3</v>
      </c>
      <c r="P3" s="1" t="s">
        <v>28</v>
      </c>
      <c r="Q3" s="1" t="s">
        <v>2</v>
      </c>
      <c r="R3" s="1" t="s">
        <v>3</v>
      </c>
      <c r="S3" s="1" t="s">
        <v>28</v>
      </c>
      <c r="T3" s="1" t="s">
        <v>2</v>
      </c>
      <c r="U3" s="1" t="s">
        <v>3</v>
      </c>
      <c r="V3" s="1" t="s">
        <v>28</v>
      </c>
      <c r="W3" s="1" t="s">
        <v>36</v>
      </c>
      <c r="X3" s="12" t="s">
        <v>59</v>
      </c>
    </row>
    <row r="4" spans="1:24" x14ac:dyDescent="0.25">
      <c r="A4" t="s">
        <v>8</v>
      </c>
      <c r="B4">
        <v>0</v>
      </c>
      <c r="C4" s="4">
        <f>B4*4/5280</f>
        <v>0</v>
      </c>
      <c r="D4" s="3">
        <f>C4*500</f>
        <v>0</v>
      </c>
      <c r="E4">
        <v>483</v>
      </c>
      <c r="F4" s="4">
        <f>E4*6/5280</f>
        <v>0.54886363636363633</v>
      </c>
      <c r="G4" s="3">
        <f>F4*500</f>
        <v>274.43181818181819</v>
      </c>
      <c r="H4">
        <v>43535</v>
      </c>
      <c r="I4" s="4">
        <f>H4*8/5280</f>
        <v>65.962121212121218</v>
      </c>
      <c r="J4" s="3">
        <f>I4*500</f>
        <v>32981.060606060608</v>
      </c>
      <c r="K4">
        <v>118</v>
      </c>
      <c r="L4" s="4">
        <f>K4*10/5280</f>
        <v>0.22348484848484848</v>
      </c>
      <c r="M4" s="3">
        <f>L4*500</f>
        <v>111.74242424242424</v>
      </c>
      <c r="N4">
        <v>2963</v>
      </c>
      <c r="O4" s="4">
        <f>N4*12/5280</f>
        <v>6.7340909090909093</v>
      </c>
      <c r="P4" s="3">
        <f>O4*500</f>
        <v>3367.0454545454545</v>
      </c>
      <c r="Q4">
        <v>0</v>
      </c>
      <c r="R4" s="4">
        <f>Q4*15/5280</f>
        <v>0</v>
      </c>
      <c r="S4" s="3">
        <f>R4*500</f>
        <v>0</v>
      </c>
      <c r="T4">
        <v>0</v>
      </c>
      <c r="U4" s="4">
        <f>T4*18/5280</f>
        <v>0</v>
      </c>
      <c r="V4" s="3">
        <f>U4*500</f>
        <v>0</v>
      </c>
      <c r="W4" s="5">
        <f>V4+S4+P4+M4+J4+G4+D4</f>
        <v>36734.280303030304</v>
      </c>
      <c r="X4" s="5">
        <f>W4*365</f>
        <v>13408012.310606061</v>
      </c>
    </row>
    <row r="5" spans="1:24" x14ac:dyDescent="0.25">
      <c r="A5" t="s">
        <v>9</v>
      </c>
      <c r="B5">
        <v>0</v>
      </c>
      <c r="C5" s="4">
        <f t="shared" ref="C5:C22" si="0">B5*4/5280</f>
        <v>0</v>
      </c>
      <c r="D5" s="3">
        <f t="shared" ref="D5:D22" si="1">C5*500</f>
        <v>0</v>
      </c>
      <c r="E5">
        <v>0</v>
      </c>
      <c r="F5" s="4">
        <f t="shared" ref="F5:F22" si="2">E5*6/5280</f>
        <v>0</v>
      </c>
      <c r="G5" s="3">
        <f t="shared" ref="G5:G22" si="3">F5*500</f>
        <v>0</v>
      </c>
      <c r="H5">
        <v>56845</v>
      </c>
      <c r="I5" s="4">
        <f t="shared" ref="I5:I22" si="4">H5*8/5280</f>
        <v>86.128787878787875</v>
      </c>
      <c r="J5" s="3">
        <f t="shared" ref="J5:J22" si="5">I5*500</f>
        <v>43064.393939393936</v>
      </c>
      <c r="K5">
        <v>0</v>
      </c>
      <c r="L5" s="4">
        <f t="shared" ref="L5:L22" si="6">K5*10/5280</f>
        <v>0</v>
      </c>
      <c r="M5" s="3">
        <f t="shared" ref="M5:M22" si="7">L5*500</f>
        <v>0</v>
      </c>
      <c r="N5">
        <v>0</v>
      </c>
      <c r="O5" s="4">
        <f t="shared" ref="O5:O22" si="8">N5*12/5280</f>
        <v>0</v>
      </c>
      <c r="P5" s="3">
        <f t="shared" ref="P5:P22" si="9">O5*500</f>
        <v>0</v>
      </c>
      <c r="Q5">
        <v>0</v>
      </c>
      <c r="R5" s="4">
        <f t="shared" ref="R5:R22" si="10">Q5*15/5280</f>
        <v>0</v>
      </c>
      <c r="S5" s="3">
        <f t="shared" ref="S5:S22" si="11">R5*500</f>
        <v>0</v>
      </c>
      <c r="T5">
        <v>0</v>
      </c>
      <c r="U5" s="4">
        <f t="shared" ref="U5:U22" si="12">T5*18/5280</f>
        <v>0</v>
      </c>
      <c r="V5" s="3">
        <f t="shared" ref="V5:V22" si="13">U5*500</f>
        <v>0</v>
      </c>
      <c r="W5" s="5">
        <f t="shared" ref="W5:W22" si="14">V5+S5+P5+M5+J5+G5+D5</f>
        <v>43064.393939393936</v>
      </c>
      <c r="X5" s="5">
        <f t="shared" ref="X5:X22" si="15">W5*365</f>
        <v>15718503.787878787</v>
      </c>
    </row>
    <row r="6" spans="1:24" x14ac:dyDescent="0.25">
      <c r="A6" s="2" t="s">
        <v>35</v>
      </c>
      <c r="B6">
        <v>0</v>
      </c>
      <c r="C6" s="4">
        <f t="shared" si="0"/>
        <v>0</v>
      </c>
      <c r="D6" s="3">
        <f t="shared" si="1"/>
        <v>0</v>
      </c>
      <c r="E6">
        <v>0</v>
      </c>
      <c r="F6" s="4">
        <f t="shared" si="2"/>
        <v>0</v>
      </c>
      <c r="G6" s="3">
        <f t="shared" si="3"/>
        <v>0</v>
      </c>
      <c r="H6">
        <v>14380</v>
      </c>
      <c r="I6" s="4">
        <f t="shared" si="4"/>
        <v>21.787878787878789</v>
      </c>
      <c r="J6" s="3">
        <f t="shared" si="5"/>
        <v>10893.939393939394</v>
      </c>
      <c r="K6">
        <v>0</v>
      </c>
      <c r="L6" s="4">
        <f t="shared" si="6"/>
        <v>0</v>
      </c>
      <c r="M6" s="3">
        <f t="shared" si="7"/>
        <v>0</v>
      </c>
      <c r="N6">
        <v>0</v>
      </c>
      <c r="O6" s="4">
        <f t="shared" si="8"/>
        <v>0</v>
      </c>
      <c r="P6" s="3">
        <f t="shared" si="9"/>
        <v>0</v>
      </c>
      <c r="Q6">
        <v>0</v>
      </c>
      <c r="R6" s="4">
        <f t="shared" si="10"/>
        <v>0</v>
      </c>
      <c r="S6" s="3">
        <f t="shared" si="11"/>
        <v>0</v>
      </c>
      <c r="T6">
        <v>0</v>
      </c>
      <c r="U6" s="4">
        <f t="shared" si="12"/>
        <v>0</v>
      </c>
      <c r="V6" s="3">
        <f t="shared" si="13"/>
        <v>0</v>
      </c>
      <c r="W6" s="5">
        <f t="shared" si="14"/>
        <v>10893.939393939394</v>
      </c>
      <c r="X6" s="5">
        <f t="shared" si="15"/>
        <v>3976287.8787878789</v>
      </c>
    </row>
    <row r="7" spans="1:24" x14ac:dyDescent="0.25">
      <c r="A7" t="s">
        <v>10</v>
      </c>
      <c r="B7">
        <v>0</v>
      </c>
      <c r="C7" s="4">
        <f t="shared" si="0"/>
        <v>0</v>
      </c>
      <c r="D7" s="3">
        <f t="shared" si="1"/>
        <v>0</v>
      </c>
      <c r="E7">
        <v>0</v>
      </c>
      <c r="F7" s="4">
        <f t="shared" si="2"/>
        <v>0</v>
      </c>
      <c r="G7" s="3">
        <f t="shared" si="3"/>
        <v>0</v>
      </c>
      <c r="H7">
        <v>27825</v>
      </c>
      <c r="I7" s="4">
        <f t="shared" si="4"/>
        <v>42.159090909090907</v>
      </c>
      <c r="J7" s="3">
        <f t="shared" si="5"/>
        <v>21079.545454545452</v>
      </c>
      <c r="K7">
        <v>0</v>
      </c>
      <c r="L7" s="4">
        <f t="shared" si="6"/>
        <v>0</v>
      </c>
      <c r="M7" s="3">
        <f t="shared" si="7"/>
        <v>0</v>
      </c>
      <c r="N7">
        <v>0</v>
      </c>
      <c r="O7" s="4">
        <f t="shared" si="8"/>
        <v>0</v>
      </c>
      <c r="P7" s="3">
        <f t="shared" si="9"/>
        <v>0</v>
      </c>
      <c r="Q7">
        <v>0</v>
      </c>
      <c r="R7" s="4">
        <f t="shared" si="10"/>
        <v>0</v>
      </c>
      <c r="S7" s="3">
        <f t="shared" si="11"/>
        <v>0</v>
      </c>
      <c r="T7">
        <v>0</v>
      </c>
      <c r="U7" s="4">
        <f t="shared" si="12"/>
        <v>0</v>
      </c>
      <c r="V7" s="3">
        <f t="shared" si="13"/>
        <v>0</v>
      </c>
      <c r="W7" s="5">
        <f t="shared" si="14"/>
        <v>21079.545454545452</v>
      </c>
      <c r="X7" s="5">
        <f t="shared" si="15"/>
        <v>7694034.0909090899</v>
      </c>
    </row>
    <row r="8" spans="1:24" x14ac:dyDescent="0.25">
      <c r="A8" t="s">
        <v>11</v>
      </c>
      <c r="B8">
        <v>0</v>
      </c>
      <c r="C8" s="4">
        <f t="shared" si="0"/>
        <v>0</v>
      </c>
      <c r="D8" s="3">
        <f t="shared" si="1"/>
        <v>0</v>
      </c>
      <c r="E8">
        <v>0</v>
      </c>
      <c r="F8" s="4">
        <f t="shared" si="2"/>
        <v>0</v>
      </c>
      <c r="G8" s="3">
        <f t="shared" si="3"/>
        <v>0</v>
      </c>
      <c r="H8">
        <f>3740+415</f>
        <v>4155</v>
      </c>
      <c r="I8" s="4">
        <f t="shared" si="4"/>
        <v>6.2954545454545459</v>
      </c>
      <c r="J8" s="3">
        <f t="shared" si="5"/>
        <v>3147.727272727273</v>
      </c>
      <c r="K8">
        <v>0</v>
      </c>
      <c r="L8" s="4">
        <f t="shared" si="6"/>
        <v>0</v>
      </c>
      <c r="M8" s="3">
        <f t="shared" si="7"/>
        <v>0</v>
      </c>
      <c r="N8">
        <v>0</v>
      </c>
      <c r="O8" s="4">
        <f t="shared" si="8"/>
        <v>0</v>
      </c>
      <c r="P8" s="3">
        <f t="shared" si="9"/>
        <v>0</v>
      </c>
      <c r="Q8">
        <v>0</v>
      </c>
      <c r="R8" s="4">
        <f t="shared" si="10"/>
        <v>0</v>
      </c>
      <c r="S8" s="3">
        <f t="shared" si="11"/>
        <v>0</v>
      </c>
      <c r="T8">
        <v>0</v>
      </c>
      <c r="U8" s="4">
        <f t="shared" si="12"/>
        <v>0</v>
      </c>
      <c r="V8" s="3">
        <f t="shared" si="13"/>
        <v>0</v>
      </c>
      <c r="W8" s="5">
        <f t="shared" si="14"/>
        <v>3147.727272727273</v>
      </c>
      <c r="X8" s="5">
        <f t="shared" si="15"/>
        <v>1148920.4545454546</v>
      </c>
    </row>
    <row r="9" spans="1:24" x14ac:dyDescent="0.25">
      <c r="A9" t="s">
        <v>12</v>
      </c>
      <c r="B9">
        <v>0</v>
      </c>
      <c r="C9" s="4">
        <f t="shared" si="0"/>
        <v>0</v>
      </c>
      <c r="D9" s="3">
        <f t="shared" si="1"/>
        <v>0</v>
      </c>
      <c r="E9">
        <v>0</v>
      </c>
      <c r="F9" s="4">
        <f t="shared" si="2"/>
        <v>0</v>
      </c>
      <c r="G9" s="3">
        <f t="shared" si="3"/>
        <v>0</v>
      </c>
      <c r="H9">
        <v>15528</v>
      </c>
      <c r="I9" s="4">
        <f t="shared" si="4"/>
        <v>23.527272727272727</v>
      </c>
      <c r="J9" s="3">
        <f t="shared" si="5"/>
        <v>11763.636363636364</v>
      </c>
      <c r="K9">
        <v>0</v>
      </c>
      <c r="L9" s="4">
        <f t="shared" si="6"/>
        <v>0</v>
      </c>
      <c r="M9" s="3">
        <f t="shared" si="7"/>
        <v>0</v>
      </c>
      <c r="N9">
        <v>0</v>
      </c>
      <c r="O9" s="4">
        <f t="shared" si="8"/>
        <v>0</v>
      </c>
      <c r="P9" s="3">
        <f t="shared" si="9"/>
        <v>0</v>
      </c>
      <c r="Q9">
        <v>0</v>
      </c>
      <c r="R9" s="4">
        <f t="shared" si="10"/>
        <v>0</v>
      </c>
      <c r="S9" s="3">
        <f t="shared" si="11"/>
        <v>0</v>
      </c>
      <c r="T9">
        <v>0</v>
      </c>
      <c r="U9" s="4">
        <f t="shared" si="12"/>
        <v>0</v>
      </c>
      <c r="V9" s="3">
        <f t="shared" si="13"/>
        <v>0</v>
      </c>
      <c r="W9" s="5">
        <f t="shared" si="14"/>
        <v>11763.636363636364</v>
      </c>
      <c r="X9" s="5">
        <f t="shared" si="15"/>
        <v>4293727.2727272725</v>
      </c>
    </row>
    <row r="10" spans="1:24" x14ac:dyDescent="0.25">
      <c r="A10" t="s">
        <v>13</v>
      </c>
      <c r="B10">
        <v>0</v>
      </c>
      <c r="C10" s="4">
        <f t="shared" si="0"/>
        <v>0</v>
      </c>
      <c r="D10" s="3">
        <f t="shared" si="1"/>
        <v>0</v>
      </c>
      <c r="E10">
        <v>131</v>
      </c>
      <c r="F10" s="4">
        <f t="shared" si="2"/>
        <v>0.14886363636363636</v>
      </c>
      <c r="G10" s="3">
        <f t="shared" si="3"/>
        <v>74.431818181818187</v>
      </c>
      <c r="H10">
        <f>89532+1132</f>
        <v>90664</v>
      </c>
      <c r="I10" s="4">
        <f t="shared" si="4"/>
        <v>137.36969696969697</v>
      </c>
      <c r="J10" s="3">
        <f t="shared" si="5"/>
        <v>68684.84848484848</v>
      </c>
      <c r="K10">
        <v>350</v>
      </c>
      <c r="L10" s="4">
        <f t="shared" si="6"/>
        <v>0.66287878787878785</v>
      </c>
      <c r="M10" s="3">
        <f t="shared" si="7"/>
        <v>331.43939393939394</v>
      </c>
      <c r="N10">
        <v>0</v>
      </c>
      <c r="O10" s="4">
        <f t="shared" si="8"/>
        <v>0</v>
      </c>
      <c r="P10" s="3">
        <f t="shared" si="9"/>
        <v>0</v>
      </c>
      <c r="Q10">
        <v>0</v>
      </c>
      <c r="R10" s="4">
        <f t="shared" si="10"/>
        <v>0</v>
      </c>
      <c r="S10" s="3">
        <f t="shared" si="11"/>
        <v>0</v>
      </c>
      <c r="T10">
        <v>0</v>
      </c>
      <c r="U10" s="4">
        <f t="shared" si="12"/>
        <v>0</v>
      </c>
      <c r="V10" s="3">
        <f t="shared" si="13"/>
        <v>0</v>
      </c>
      <c r="W10" s="5">
        <f t="shared" si="14"/>
        <v>69090.719696969696</v>
      </c>
      <c r="X10" s="5">
        <f t="shared" si="15"/>
        <v>25218112.689393938</v>
      </c>
    </row>
    <row r="11" spans="1:24" x14ac:dyDescent="0.25">
      <c r="A11" t="s">
        <v>14</v>
      </c>
      <c r="B11">
        <v>0</v>
      </c>
      <c r="C11" s="4">
        <f t="shared" si="0"/>
        <v>0</v>
      </c>
      <c r="D11" s="3">
        <f t="shared" si="1"/>
        <v>0</v>
      </c>
      <c r="E11">
        <v>0</v>
      </c>
      <c r="F11" s="4">
        <f t="shared" si="2"/>
        <v>0</v>
      </c>
      <c r="G11" s="3">
        <f t="shared" si="3"/>
        <v>0</v>
      </c>
      <c r="H11">
        <f>9455+225+74407</f>
        <v>84087</v>
      </c>
      <c r="I11" s="4">
        <f t="shared" si="4"/>
        <v>127.40454545454546</v>
      </c>
      <c r="J11" s="3">
        <f t="shared" si="5"/>
        <v>63702.272727272728</v>
      </c>
      <c r="K11">
        <v>5010</v>
      </c>
      <c r="L11" s="4">
        <f t="shared" si="6"/>
        <v>9.4886363636363633</v>
      </c>
      <c r="M11" s="3">
        <f t="shared" si="7"/>
        <v>4744.318181818182</v>
      </c>
      <c r="N11">
        <v>0</v>
      </c>
      <c r="O11" s="4">
        <f t="shared" si="8"/>
        <v>0</v>
      </c>
      <c r="P11" s="3">
        <f t="shared" si="9"/>
        <v>0</v>
      </c>
      <c r="Q11">
        <v>0</v>
      </c>
      <c r="R11" s="4">
        <f t="shared" si="10"/>
        <v>0</v>
      </c>
      <c r="S11" s="3">
        <f t="shared" si="11"/>
        <v>0</v>
      </c>
      <c r="T11">
        <v>0</v>
      </c>
      <c r="U11" s="4">
        <f t="shared" si="12"/>
        <v>0</v>
      </c>
      <c r="V11" s="3">
        <f t="shared" si="13"/>
        <v>0</v>
      </c>
      <c r="W11" s="5">
        <f t="shared" si="14"/>
        <v>68446.590909090912</v>
      </c>
      <c r="X11" s="5">
        <f t="shared" si="15"/>
        <v>24983005.681818184</v>
      </c>
    </row>
    <row r="12" spans="1:24" x14ac:dyDescent="0.25">
      <c r="A12" t="s">
        <v>15</v>
      </c>
      <c r="B12">
        <v>0</v>
      </c>
      <c r="C12" s="4">
        <f t="shared" si="0"/>
        <v>0</v>
      </c>
      <c r="D12" s="3">
        <f t="shared" si="1"/>
        <v>0</v>
      </c>
      <c r="E12">
        <v>0</v>
      </c>
      <c r="F12" s="4">
        <f t="shared" si="2"/>
        <v>0</v>
      </c>
      <c r="G12" s="3">
        <f t="shared" si="3"/>
        <v>0</v>
      </c>
      <c r="H12">
        <v>46816</v>
      </c>
      <c r="I12" s="4">
        <f t="shared" si="4"/>
        <v>70.933333333333337</v>
      </c>
      <c r="J12" s="3">
        <f t="shared" si="5"/>
        <v>35466.666666666672</v>
      </c>
      <c r="K12">
        <v>0</v>
      </c>
      <c r="L12" s="4">
        <f t="shared" si="6"/>
        <v>0</v>
      </c>
      <c r="M12" s="3">
        <f t="shared" si="7"/>
        <v>0</v>
      </c>
      <c r="N12">
        <v>0</v>
      </c>
      <c r="O12" s="4">
        <f t="shared" si="8"/>
        <v>0</v>
      </c>
      <c r="P12" s="3">
        <f t="shared" si="9"/>
        <v>0</v>
      </c>
      <c r="Q12">
        <v>0</v>
      </c>
      <c r="R12" s="4">
        <f t="shared" si="10"/>
        <v>0</v>
      </c>
      <c r="S12" s="3">
        <f t="shared" si="11"/>
        <v>0</v>
      </c>
      <c r="T12">
        <v>0</v>
      </c>
      <c r="U12" s="4">
        <f t="shared" si="12"/>
        <v>0</v>
      </c>
      <c r="V12" s="3">
        <f t="shared" si="13"/>
        <v>0</v>
      </c>
      <c r="W12" s="5">
        <f t="shared" si="14"/>
        <v>35466.666666666672</v>
      </c>
      <c r="X12" s="5">
        <f t="shared" si="15"/>
        <v>12945333.333333336</v>
      </c>
    </row>
    <row r="13" spans="1:24" x14ac:dyDescent="0.25">
      <c r="A13" t="s">
        <v>16</v>
      </c>
      <c r="B13">
        <v>0</v>
      </c>
      <c r="C13" s="4">
        <f t="shared" si="0"/>
        <v>0</v>
      </c>
      <c r="D13" s="3">
        <f t="shared" si="1"/>
        <v>0</v>
      </c>
      <c r="E13">
        <v>2325</v>
      </c>
      <c r="F13" s="4">
        <f t="shared" si="2"/>
        <v>2.6420454545454546</v>
      </c>
      <c r="G13" s="3">
        <f t="shared" si="3"/>
        <v>1321.0227272727273</v>
      </c>
      <c r="H13">
        <f>16310+26935</f>
        <v>43245</v>
      </c>
      <c r="I13" s="4">
        <f t="shared" si="4"/>
        <v>65.522727272727266</v>
      </c>
      <c r="J13" s="3">
        <f t="shared" si="5"/>
        <v>32761.363636363632</v>
      </c>
      <c r="K13">
        <v>0</v>
      </c>
      <c r="L13" s="4">
        <f t="shared" si="6"/>
        <v>0</v>
      </c>
      <c r="M13" s="3">
        <f t="shared" si="7"/>
        <v>0</v>
      </c>
      <c r="N13">
        <v>0</v>
      </c>
      <c r="O13" s="4">
        <f t="shared" si="8"/>
        <v>0</v>
      </c>
      <c r="P13" s="3">
        <f t="shared" si="9"/>
        <v>0</v>
      </c>
      <c r="Q13">
        <v>0</v>
      </c>
      <c r="R13" s="4">
        <f t="shared" si="10"/>
        <v>0</v>
      </c>
      <c r="S13" s="3">
        <f t="shared" si="11"/>
        <v>0</v>
      </c>
      <c r="T13">
        <v>0</v>
      </c>
      <c r="U13" s="4">
        <f t="shared" si="12"/>
        <v>0</v>
      </c>
      <c r="V13" s="3">
        <f t="shared" si="13"/>
        <v>0</v>
      </c>
      <c r="W13" s="5">
        <f t="shared" si="14"/>
        <v>34082.38636363636</v>
      </c>
      <c r="X13" s="5">
        <f t="shared" si="15"/>
        <v>12440071.022727272</v>
      </c>
    </row>
    <row r="14" spans="1:24" x14ac:dyDescent="0.25">
      <c r="A14" t="s">
        <v>17</v>
      </c>
      <c r="B14">
        <v>1583</v>
      </c>
      <c r="C14" s="4">
        <f t="shared" si="0"/>
        <v>1.1992424242424242</v>
      </c>
      <c r="D14" s="3">
        <f t="shared" si="1"/>
        <v>599.62121212121212</v>
      </c>
      <c r="E14">
        <v>7339</v>
      </c>
      <c r="F14" s="4">
        <f t="shared" si="2"/>
        <v>8.3397727272727273</v>
      </c>
      <c r="G14" s="3">
        <f t="shared" si="3"/>
        <v>4169.886363636364</v>
      </c>
      <c r="H14">
        <f>421375+26</f>
        <v>421401</v>
      </c>
      <c r="I14" s="4">
        <f t="shared" si="4"/>
        <v>638.48636363636365</v>
      </c>
      <c r="J14" s="3">
        <f t="shared" si="5"/>
        <v>319243.18181818182</v>
      </c>
      <c r="K14">
        <v>45681</v>
      </c>
      <c r="L14" s="4">
        <f t="shared" si="6"/>
        <v>86.517045454545453</v>
      </c>
      <c r="M14" s="3">
        <f t="shared" si="7"/>
        <v>43258.522727272728</v>
      </c>
      <c r="N14">
        <v>2009</v>
      </c>
      <c r="O14" s="4">
        <f t="shared" si="8"/>
        <v>4.5659090909090905</v>
      </c>
      <c r="P14" s="3">
        <f t="shared" si="9"/>
        <v>2282.954545454545</v>
      </c>
      <c r="Q14">
        <v>180</v>
      </c>
      <c r="R14" s="4">
        <f t="shared" si="10"/>
        <v>0.51136363636363635</v>
      </c>
      <c r="S14" s="3">
        <f t="shared" si="11"/>
        <v>255.68181818181819</v>
      </c>
      <c r="T14">
        <v>0</v>
      </c>
      <c r="U14" s="4">
        <f t="shared" si="12"/>
        <v>0</v>
      </c>
      <c r="V14" s="3">
        <f t="shared" si="13"/>
        <v>0</v>
      </c>
      <c r="W14" s="5">
        <f t="shared" si="14"/>
        <v>369809.84848484851</v>
      </c>
      <c r="X14" s="5">
        <f t="shared" si="15"/>
        <v>134980594.69696972</v>
      </c>
    </row>
    <row r="15" spans="1:24" x14ac:dyDescent="0.25">
      <c r="A15" t="s">
        <v>19</v>
      </c>
      <c r="B15">
        <v>0</v>
      </c>
      <c r="C15" s="4">
        <f t="shared" si="0"/>
        <v>0</v>
      </c>
      <c r="D15" s="3">
        <f t="shared" si="1"/>
        <v>0</v>
      </c>
      <c r="E15">
        <v>0</v>
      </c>
      <c r="F15" s="4">
        <f t="shared" si="2"/>
        <v>0</v>
      </c>
      <c r="G15" s="3">
        <f t="shared" si="3"/>
        <v>0</v>
      </c>
      <c r="H15">
        <v>27885</v>
      </c>
      <c r="I15" s="4">
        <f t="shared" si="4"/>
        <v>42.25</v>
      </c>
      <c r="J15" s="3">
        <f t="shared" si="5"/>
        <v>21125</v>
      </c>
      <c r="K15">
        <v>440</v>
      </c>
      <c r="L15" s="4">
        <f t="shared" si="6"/>
        <v>0.83333333333333337</v>
      </c>
      <c r="M15" s="3">
        <f t="shared" si="7"/>
        <v>416.66666666666669</v>
      </c>
      <c r="N15">
        <f>906+3115</f>
        <v>4021</v>
      </c>
      <c r="O15" s="4">
        <f t="shared" si="8"/>
        <v>9.1386363636363637</v>
      </c>
      <c r="P15" s="3">
        <f t="shared" si="9"/>
        <v>4569.318181818182</v>
      </c>
      <c r="Q15">
        <v>3461</v>
      </c>
      <c r="R15" s="4">
        <f t="shared" si="10"/>
        <v>9.8323863636363633</v>
      </c>
      <c r="S15" s="3">
        <f t="shared" si="11"/>
        <v>4916.193181818182</v>
      </c>
      <c r="T15">
        <f>360+2765</f>
        <v>3125</v>
      </c>
      <c r="U15" s="4">
        <f t="shared" si="12"/>
        <v>10.653409090909092</v>
      </c>
      <c r="V15" s="3">
        <f t="shared" si="13"/>
        <v>5326.704545454546</v>
      </c>
      <c r="W15" s="5">
        <f t="shared" si="14"/>
        <v>36353.882575757576</v>
      </c>
      <c r="X15" s="5">
        <f t="shared" si="15"/>
        <v>13269167.140151516</v>
      </c>
    </row>
    <row r="16" spans="1:24" x14ac:dyDescent="0.25">
      <c r="A16" t="s">
        <v>21</v>
      </c>
      <c r="B16">
        <v>0</v>
      </c>
      <c r="C16" s="4">
        <f t="shared" si="0"/>
        <v>0</v>
      </c>
      <c r="D16" s="3">
        <f t="shared" si="1"/>
        <v>0</v>
      </c>
      <c r="E16">
        <v>0</v>
      </c>
      <c r="F16" s="4">
        <f t="shared" si="2"/>
        <v>0</v>
      </c>
      <c r="G16" s="3">
        <f t="shared" si="3"/>
        <v>0</v>
      </c>
      <c r="H16">
        <v>2798</v>
      </c>
      <c r="I16" s="4">
        <f t="shared" si="4"/>
        <v>4.2393939393939393</v>
      </c>
      <c r="J16" s="3">
        <f t="shared" si="5"/>
        <v>2119.6969696969695</v>
      </c>
      <c r="K16">
        <v>0</v>
      </c>
      <c r="L16" s="4">
        <f t="shared" si="6"/>
        <v>0</v>
      </c>
      <c r="M16" s="3">
        <f t="shared" si="7"/>
        <v>0</v>
      </c>
      <c r="N16">
        <v>0</v>
      </c>
      <c r="O16" s="4">
        <f t="shared" si="8"/>
        <v>0</v>
      </c>
      <c r="P16" s="3">
        <f t="shared" si="9"/>
        <v>0</v>
      </c>
      <c r="Q16">
        <v>0</v>
      </c>
      <c r="R16" s="4">
        <f t="shared" si="10"/>
        <v>0</v>
      </c>
      <c r="S16" s="3">
        <f t="shared" si="11"/>
        <v>0</v>
      </c>
      <c r="T16">
        <v>0</v>
      </c>
      <c r="U16" s="4">
        <f t="shared" si="12"/>
        <v>0</v>
      </c>
      <c r="V16" s="3">
        <f t="shared" si="13"/>
        <v>0</v>
      </c>
      <c r="W16" s="5">
        <f t="shared" si="14"/>
        <v>2119.6969696969695</v>
      </c>
      <c r="X16" s="5">
        <f t="shared" si="15"/>
        <v>773689.39393939392</v>
      </c>
    </row>
    <row r="17" spans="1:24" x14ac:dyDescent="0.25">
      <c r="A17" t="s">
        <v>22</v>
      </c>
      <c r="C17" s="4"/>
      <c r="D17" s="3"/>
      <c r="F17" s="4"/>
      <c r="G17" s="3"/>
      <c r="I17" s="4"/>
      <c r="J17" s="3"/>
      <c r="L17" s="4"/>
      <c r="M17" s="3"/>
      <c r="O17" s="4"/>
      <c r="P17" s="3"/>
      <c r="R17" s="4"/>
      <c r="S17" s="3"/>
      <c r="U17" s="4"/>
      <c r="V17" s="3"/>
      <c r="W17" s="5"/>
      <c r="X17" s="5"/>
    </row>
    <row r="18" spans="1:24" x14ac:dyDescent="0.25">
      <c r="A18" s="2" t="s">
        <v>23</v>
      </c>
      <c r="B18">
        <v>0</v>
      </c>
      <c r="C18" s="4">
        <f t="shared" si="0"/>
        <v>0</v>
      </c>
      <c r="D18" s="3">
        <f t="shared" si="1"/>
        <v>0</v>
      </c>
      <c r="E18">
        <v>0</v>
      </c>
      <c r="F18" s="4">
        <f t="shared" si="2"/>
        <v>0</v>
      </c>
      <c r="G18" s="3">
        <f t="shared" si="3"/>
        <v>0</v>
      </c>
      <c r="H18">
        <v>4662</v>
      </c>
      <c r="I18" s="4">
        <f t="shared" si="4"/>
        <v>7.0636363636363635</v>
      </c>
      <c r="J18" s="3">
        <f t="shared" si="5"/>
        <v>3531.8181818181815</v>
      </c>
      <c r="K18">
        <v>0</v>
      </c>
      <c r="L18" s="4">
        <f t="shared" si="6"/>
        <v>0</v>
      </c>
      <c r="M18" s="3">
        <f t="shared" si="7"/>
        <v>0</v>
      </c>
      <c r="N18">
        <v>0</v>
      </c>
      <c r="O18" s="4">
        <f t="shared" si="8"/>
        <v>0</v>
      </c>
      <c r="P18" s="3">
        <f t="shared" si="9"/>
        <v>0</v>
      </c>
      <c r="Q18">
        <v>0</v>
      </c>
      <c r="R18" s="4">
        <f t="shared" si="10"/>
        <v>0</v>
      </c>
      <c r="S18" s="3">
        <f t="shared" si="11"/>
        <v>0</v>
      </c>
      <c r="T18">
        <v>0</v>
      </c>
      <c r="U18" s="4">
        <f t="shared" si="12"/>
        <v>0</v>
      </c>
      <c r="V18" s="3">
        <f t="shared" si="13"/>
        <v>0</v>
      </c>
      <c r="W18" s="5">
        <f t="shared" si="14"/>
        <v>3531.8181818181815</v>
      </c>
      <c r="X18" s="5">
        <f t="shared" si="15"/>
        <v>1289113.6363636362</v>
      </c>
    </row>
    <row r="19" spans="1:24" x14ac:dyDescent="0.25">
      <c r="A19" s="2" t="s">
        <v>24</v>
      </c>
      <c r="B19">
        <v>372</v>
      </c>
      <c r="C19" s="4">
        <f t="shared" si="0"/>
        <v>0.2818181818181818</v>
      </c>
      <c r="D19" s="3">
        <f t="shared" si="1"/>
        <v>140.90909090909091</v>
      </c>
      <c r="E19">
        <v>3825</v>
      </c>
      <c r="F19" s="4">
        <f t="shared" si="2"/>
        <v>4.3465909090909092</v>
      </c>
      <c r="G19" s="3">
        <f t="shared" si="3"/>
        <v>2173.2954545454545</v>
      </c>
      <c r="H19">
        <f>30299+286</f>
        <v>30585</v>
      </c>
      <c r="I19" s="4">
        <f t="shared" si="4"/>
        <v>46.340909090909093</v>
      </c>
      <c r="J19" s="3">
        <f t="shared" si="5"/>
        <v>23170.454545454548</v>
      </c>
      <c r="K19">
        <v>2677</v>
      </c>
      <c r="L19" s="4">
        <f t="shared" si="6"/>
        <v>5.0700757575757578</v>
      </c>
      <c r="M19" s="3">
        <f t="shared" si="7"/>
        <v>2535.037878787879</v>
      </c>
      <c r="N19">
        <v>0</v>
      </c>
      <c r="O19" s="4">
        <f t="shared" si="8"/>
        <v>0</v>
      </c>
      <c r="P19" s="3">
        <f t="shared" si="9"/>
        <v>0</v>
      </c>
      <c r="Q19">
        <v>0</v>
      </c>
      <c r="R19" s="4">
        <f t="shared" si="10"/>
        <v>0</v>
      </c>
      <c r="S19" s="3">
        <f t="shared" si="11"/>
        <v>0</v>
      </c>
      <c r="T19">
        <v>0</v>
      </c>
      <c r="U19" s="4">
        <f t="shared" si="12"/>
        <v>0</v>
      </c>
      <c r="V19" s="3">
        <f t="shared" si="13"/>
        <v>0</v>
      </c>
      <c r="W19" s="5">
        <f t="shared" si="14"/>
        <v>28019.696969696975</v>
      </c>
      <c r="X19" s="5">
        <f t="shared" si="15"/>
        <v>10227189.393939396</v>
      </c>
    </row>
    <row r="20" spans="1:24" x14ac:dyDescent="0.25">
      <c r="A20" t="s">
        <v>25</v>
      </c>
      <c r="C20" s="4"/>
      <c r="D20" s="3"/>
      <c r="F20" s="4"/>
      <c r="G20" s="3"/>
      <c r="I20" s="4"/>
      <c r="J20" s="3"/>
      <c r="L20" s="4"/>
      <c r="M20" s="3"/>
      <c r="O20" s="4"/>
      <c r="P20" s="3"/>
      <c r="R20" s="4"/>
      <c r="S20" s="3"/>
      <c r="U20" s="4"/>
      <c r="V20" s="3"/>
      <c r="W20" s="5"/>
      <c r="X20" s="5"/>
    </row>
    <row r="21" spans="1:24" x14ac:dyDescent="0.25">
      <c r="A21" s="2" t="s">
        <v>26</v>
      </c>
      <c r="B21">
        <v>0</v>
      </c>
      <c r="C21" s="4">
        <f t="shared" si="0"/>
        <v>0</v>
      </c>
      <c r="D21" s="3">
        <f t="shared" si="1"/>
        <v>0</v>
      </c>
      <c r="E21">
        <v>0</v>
      </c>
      <c r="F21" s="4">
        <f t="shared" si="2"/>
        <v>0</v>
      </c>
      <c r="G21" s="3">
        <f t="shared" si="3"/>
        <v>0</v>
      </c>
      <c r="H21">
        <f>195+403+45258</f>
        <v>45856</v>
      </c>
      <c r="I21" s="4">
        <f t="shared" si="4"/>
        <v>69.478787878787884</v>
      </c>
      <c r="J21" s="3">
        <f t="shared" si="5"/>
        <v>34739.393939393944</v>
      </c>
      <c r="K21">
        <v>1751</v>
      </c>
      <c r="L21" s="4">
        <f t="shared" si="6"/>
        <v>3.3162878787878789</v>
      </c>
      <c r="M21" s="3">
        <f t="shared" si="7"/>
        <v>1658.1439393939395</v>
      </c>
      <c r="N21">
        <v>0</v>
      </c>
      <c r="O21" s="4">
        <f t="shared" si="8"/>
        <v>0</v>
      </c>
      <c r="P21" s="3">
        <f t="shared" si="9"/>
        <v>0</v>
      </c>
      <c r="Q21">
        <v>0</v>
      </c>
      <c r="R21" s="4">
        <f t="shared" si="10"/>
        <v>0</v>
      </c>
      <c r="S21" s="3">
        <f t="shared" si="11"/>
        <v>0</v>
      </c>
      <c r="T21">
        <v>0</v>
      </c>
      <c r="U21" s="4">
        <f t="shared" si="12"/>
        <v>0</v>
      </c>
      <c r="V21" s="3">
        <f t="shared" si="13"/>
        <v>0</v>
      </c>
      <c r="W21" s="5">
        <f t="shared" si="14"/>
        <v>36397.53787878788</v>
      </c>
      <c r="X21" s="5">
        <f t="shared" si="15"/>
        <v>13285101.325757576</v>
      </c>
    </row>
    <row r="22" spans="1:24" x14ac:dyDescent="0.25">
      <c r="A22" s="2" t="s">
        <v>27</v>
      </c>
      <c r="B22">
        <v>0</v>
      </c>
      <c r="C22" s="4">
        <f t="shared" si="0"/>
        <v>0</v>
      </c>
      <c r="D22" s="3">
        <f t="shared" si="1"/>
        <v>0</v>
      </c>
      <c r="E22">
        <v>6018</v>
      </c>
      <c r="F22" s="4">
        <f t="shared" si="2"/>
        <v>6.8386363636363638</v>
      </c>
      <c r="G22" s="3">
        <f t="shared" si="3"/>
        <v>3419.318181818182</v>
      </c>
      <c r="H22">
        <v>0</v>
      </c>
      <c r="I22" s="4">
        <f t="shared" si="4"/>
        <v>0</v>
      </c>
      <c r="J22" s="3">
        <f t="shared" si="5"/>
        <v>0</v>
      </c>
      <c r="K22">
        <v>0</v>
      </c>
      <c r="L22" s="4">
        <f t="shared" si="6"/>
        <v>0</v>
      </c>
      <c r="M22" s="3">
        <f t="shared" si="7"/>
        <v>0</v>
      </c>
      <c r="N22">
        <v>0</v>
      </c>
      <c r="O22" s="4">
        <f t="shared" si="8"/>
        <v>0</v>
      </c>
      <c r="P22" s="3">
        <f t="shared" si="9"/>
        <v>0</v>
      </c>
      <c r="Q22">
        <v>0</v>
      </c>
      <c r="R22" s="4">
        <f t="shared" si="10"/>
        <v>0</v>
      </c>
      <c r="S22" s="3">
        <f t="shared" si="11"/>
        <v>0</v>
      </c>
      <c r="T22">
        <v>0</v>
      </c>
      <c r="U22" s="4">
        <f t="shared" si="12"/>
        <v>0</v>
      </c>
      <c r="V22" s="3">
        <f t="shared" si="13"/>
        <v>0</v>
      </c>
      <c r="W22" s="5">
        <f t="shared" si="14"/>
        <v>3419.318181818182</v>
      </c>
      <c r="X22" s="5">
        <f t="shared" si="15"/>
        <v>1248051.1363636365</v>
      </c>
    </row>
    <row r="25" spans="1:24" x14ac:dyDescent="0.25">
      <c r="A25" t="s">
        <v>29</v>
      </c>
    </row>
    <row r="26" spans="1:24" x14ac:dyDescent="0.25">
      <c r="A26" t="s">
        <v>30</v>
      </c>
    </row>
  </sheetData>
  <mergeCells count="8">
    <mergeCell ref="W2:X2"/>
    <mergeCell ref="T2:V2"/>
    <mergeCell ref="B2:D2"/>
    <mergeCell ref="E2:G2"/>
    <mergeCell ref="H2:J2"/>
    <mergeCell ref="K2:M2"/>
    <mergeCell ref="N2:P2"/>
    <mergeCell ref="Q2:S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J16" sqref="J16"/>
    </sheetView>
  </sheetViews>
  <sheetFormatPr defaultRowHeight="15" x14ac:dyDescent="0.25"/>
  <cols>
    <col min="1" max="1" width="18.5703125" bestFit="1" customWidth="1"/>
    <col min="2" max="2" width="13.28515625" bestFit="1" customWidth="1"/>
    <col min="3" max="3" width="12.5703125" bestFit="1" customWidth="1"/>
    <col min="4" max="4" width="17" bestFit="1" customWidth="1"/>
    <col min="5" max="5" width="16.85546875" customWidth="1"/>
    <col min="6" max="8" width="22.140625" customWidth="1"/>
    <col min="9" max="9" width="18.140625" bestFit="1" customWidth="1"/>
  </cols>
  <sheetData>
    <row r="1" spans="1:10" ht="17.25" customHeight="1" x14ac:dyDescent="0.25">
      <c r="F1" s="9"/>
      <c r="G1" s="9"/>
      <c r="H1" s="9"/>
    </row>
    <row r="2" spans="1:10" ht="17.25" customHeight="1" x14ac:dyDescent="0.25">
      <c r="A2" s="6" t="s">
        <v>0</v>
      </c>
      <c r="B2" s="6" t="s">
        <v>32</v>
      </c>
      <c r="C2" s="6" t="s">
        <v>32</v>
      </c>
      <c r="D2" s="27" t="s">
        <v>33</v>
      </c>
      <c r="E2" s="27"/>
      <c r="F2" s="29" t="s">
        <v>40</v>
      </c>
      <c r="G2" s="29"/>
      <c r="H2" s="29"/>
      <c r="I2" s="6" t="s">
        <v>43</v>
      </c>
    </row>
    <row r="3" spans="1:10" x14ac:dyDescent="0.25">
      <c r="A3" s="1"/>
      <c r="B3" s="1" t="s">
        <v>36</v>
      </c>
      <c r="C3" s="1" t="s">
        <v>37</v>
      </c>
      <c r="D3" s="1" t="s">
        <v>38</v>
      </c>
      <c r="E3" s="1" t="s">
        <v>39</v>
      </c>
      <c r="F3" s="1" t="s">
        <v>41</v>
      </c>
      <c r="G3" s="1" t="s">
        <v>42</v>
      </c>
      <c r="H3" s="1" t="s">
        <v>31</v>
      </c>
      <c r="I3" s="1"/>
    </row>
    <row r="4" spans="1:10" x14ac:dyDescent="0.25">
      <c r="A4" t="s">
        <v>8</v>
      </c>
      <c r="B4" s="3">
        <v>99674</v>
      </c>
      <c r="C4" s="3">
        <f>B4*365</f>
        <v>36381010</v>
      </c>
      <c r="D4" s="14">
        <v>40703771</v>
      </c>
      <c r="E4" s="14">
        <v>1336290</v>
      </c>
      <c r="F4" s="3">
        <f>D4*0.8</f>
        <v>32563016.800000001</v>
      </c>
      <c r="G4" s="3">
        <f>E4*0.9</f>
        <v>1202661</v>
      </c>
      <c r="H4" s="3">
        <f>F4+G4</f>
        <v>33765677.799999997</v>
      </c>
      <c r="I4" s="3">
        <f>H4*0.1</f>
        <v>3376567.78</v>
      </c>
    </row>
    <row r="5" spans="1:10" x14ac:dyDescent="0.25">
      <c r="A5" t="s">
        <v>9</v>
      </c>
      <c r="B5" s="3">
        <v>213178</v>
      </c>
      <c r="C5" s="3">
        <f t="shared" ref="C5:C22" si="0">B5*365</f>
        <v>77809970</v>
      </c>
      <c r="D5" s="14">
        <v>57599000</v>
      </c>
      <c r="E5" s="14">
        <v>41028000</v>
      </c>
      <c r="F5" s="3">
        <f t="shared" ref="F5:F22" si="1">D5*0.8</f>
        <v>46079200</v>
      </c>
      <c r="G5" s="3">
        <f t="shared" ref="G5:G22" si="2">E5*0.9</f>
        <v>36925200</v>
      </c>
      <c r="H5" s="3">
        <f t="shared" ref="H5:H22" si="3">F5+G5</f>
        <v>83004400</v>
      </c>
      <c r="I5" s="3">
        <f t="shared" ref="I5:I22" si="4">H5*0.1</f>
        <v>8300440</v>
      </c>
      <c r="J5" t="s">
        <v>45</v>
      </c>
    </row>
    <row r="6" spans="1:10" x14ac:dyDescent="0.25">
      <c r="A6" s="2" t="s">
        <v>35</v>
      </c>
      <c r="B6" s="3">
        <v>58249</v>
      </c>
      <c r="C6" s="3">
        <f t="shared" si="0"/>
        <v>21260885</v>
      </c>
      <c r="D6" s="14">
        <v>66136000</v>
      </c>
      <c r="E6" s="14"/>
      <c r="F6" s="3">
        <f t="shared" si="1"/>
        <v>52908800</v>
      </c>
      <c r="G6" s="3">
        <f t="shared" si="2"/>
        <v>0</v>
      </c>
      <c r="H6" s="3">
        <f t="shared" si="3"/>
        <v>52908800</v>
      </c>
      <c r="I6" s="3">
        <f t="shared" si="4"/>
        <v>5290880</v>
      </c>
      <c r="J6" t="s">
        <v>46</v>
      </c>
    </row>
    <row r="7" spans="1:10" x14ac:dyDescent="0.25">
      <c r="A7" t="s">
        <v>10</v>
      </c>
      <c r="B7" s="3">
        <v>56165</v>
      </c>
      <c r="C7" s="3">
        <f t="shared" si="0"/>
        <v>20500225</v>
      </c>
      <c r="D7" s="14">
        <v>13584000</v>
      </c>
      <c r="E7" s="14">
        <v>2985130</v>
      </c>
      <c r="F7" s="3">
        <f t="shared" si="1"/>
        <v>10867200</v>
      </c>
      <c r="G7" s="3">
        <f t="shared" si="2"/>
        <v>2686617</v>
      </c>
      <c r="H7" s="3">
        <f t="shared" si="3"/>
        <v>13553817</v>
      </c>
      <c r="I7" s="3">
        <f t="shared" si="4"/>
        <v>1355381.7000000002</v>
      </c>
    </row>
    <row r="8" spans="1:10" x14ac:dyDescent="0.25">
      <c r="A8" t="s">
        <v>11</v>
      </c>
      <c r="B8" s="3">
        <v>18749</v>
      </c>
      <c r="C8" s="3">
        <f t="shared" si="0"/>
        <v>6843385</v>
      </c>
      <c r="D8" s="14">
        <v>2088930</v>
      </c>
      <c r="E8" s="14">
        <v>4475280</v>
      </c>
      <c r="F8" s="3">
        <f t="shared" si="1"/>
        <v>1671144</v>
      </c>
      <c r="G8" s="3">
        <f t="shared" si="2"/>
        <v>4027752</v>
      </c>
      <c r="H8" s="3">
        <f t="shared" si="3"/>
        <v>5698896</v>
      </c>
      <c r="I8" s="3">
        <f t="shared" si="4"/>
        <v>569889.6</v>
      </c>
    </row>
    <row r="9" spans="1:10" x14ac:dyDescent="0.25">
      <c r="A9" t="s">
        <v>12</v>
      </c>
      <c r="B9" s="3">
        <f>137344000/365</f>
        <v>376284.9315068493</v>
      </c>
      <c r="C9" s="3">
        <f t="shared" si="0"/>
        <v>137344000</v>
      </c>
      <c r="D9" s="14" t="s">
        <v>47</v>
      </c>
      <c r="E9" s="14">
        <v>2283761</v>
      </c>
      <c r="F9" s="3" t="e">
        <f t="shared" si="1"/>
        <v>#VALUE!</v>
      </c>
      <c r="G9" s="3">
        <f t="shared" si="2"/>
        <v>2055384.9000000001</v>
      </c>
      <c r="H9" s="3" t="e">
        <f t="shared" si="3"/>
        <v>#VALUE!</v>
      </c>
      <c r="I9" s="3" t="e">
        <f t="shared" si="4"/>
        <v>#VALUE!</v>
      </c>
    </row>
    <row r="10" spans="1:10" x14ac:dyDescent="0.25">
      <c r="A10" t="s">
        <v>13</v>
      </c>
      <c r="B10" s="3">
        <v>451110</v>
      </c>
      <c r="C10" s="3">
        <f t="shared" si="0"/>
        <v>164655150</v>
      </c>
      <c r="D10" s="14">
        <v>369274419</v>
      </c>
      <c r="E10" s="14">
        <v>0</v>
      </c>
      <c r="F10" s="3">
        <f t="shared" si="1"/>
        <v>295419535.19999999</v>
      </c>
      <c r="G10" s="3">
        <f t="shared" si="2"/>
        <v>0</v>
      </c>
      <c r="H10" s="3">
        <f t="shared" si="3"/>
        <v>295419535.19999999</v>
      </c>
      <c r="I10" s="3">
        <f t="shared" si="4"/>
        <v>29541953.52</v>
      </c>
      <c r="J10" t="s">
        <v>48</v>
      </c>
    </row>
    <row r="11" spans="1:10" x14ac:dyDescent="0.25">
      <c r="A11" t="s">
        <v>14</v>
      </c>
      <c r="B11" s="3">
        <v>773340</v>
      </c>
      <c r="C11" s="3">
        <f t="shared" si="0"/>
        <v>282269100</v>
      </c>
      <c r="D11" s="14">
        <v>130810000</v>
      </c>
      <c r="E11" s="14">
        <v>185188000</v>
      </c>
      <c r="F11" s="3">
        <f t="shared" si="1"/>
        <v>104648000</v>
      </c>
      <c r="G11" s="3">
        <f t="shared" si="2"/>
        <v>166669200</v>
      </c>
      <c r="H11" s="3">
        <f t="shared" si="3"/>
        <v>271317200</v>
      </c>
      <c r="I11" s="3">
        <f t="shared" si="4"/>
        <v>27131720</v>
      </c>
      <c r="J11" t="s">
        <v>49</v>
      </c>
    </row>
    <row r="12" spans="1:10" x14ac:dyDescent="0.25">
      <c r="A12" t="s">
        <v>15</v>
      </c>
      <c r="B12" s="3">
        <v>98397</v>
      </c>
      <c r="C12" s="3">
        <f t="shared" si="0"/>
        <v>35914905</v>
      </c>
      <c r="D12" s="14">
        <v>103670904</v>
      </c>
      <c r="E12" s="14">
        <v>2040450</v>
      </c>
      <c r="F12" s="3">
        <f t="shared" si="1"/>
        <v>82936723.200000003</v>
      </c>
      <c r="G12" s="3">
        <f t="shared" si="2"/>
        <v>1836405</v>
      </c>
      <c r="H12" s="3">
        <f t="shared" si="3"/>
        <v>84773128.200000003</v>
      </c>
      <c r="I12" s="3">
        <f t="shared" si="4"/>
        <v>8477312.8200000003</v>
      </c>
    </row>
    <row r="13" spans="1:10" x14ac:dyDescent="0.25">
      <c r="A13" t="s">
        <v>16</v>
      </c>
      <c r="B13" s="3">
        <f>56513+81773</f>
        <v>138286</v>
      </c>
      <c r="C13" s="3">
        <f t="shared" si="0"/>
        <v>50474390</v>
      </c>
      <c r="D13" s="14">
        <v>21141000</v>
      </c>
      <c r="E13" s="14">
        <v>15358000</v>
      </c>
      <c r="F13" s="3">
        <f t="shared" si="1"/>
        <v>16912800</v>
      </c>
      <c r="G13" s="3">
        <f t="shared" si="2"/>
        <v>13822200</v>
      </c>
      <c r="H13" s="3">
        <f t="shared" si="3"/>
        <v>30735000</v>
      </c>
      <c r="I13" s="3">
        <f t="shared" si="4"/>
        <v>3073500</v>
      </c>
      <c r="J13" t="s">
        <v>50</v>
      </c>
    </row>
    <row r="14" spans="1:10" x14ac:dyDescent="0.25">
      <c r="A14" t="s">
        <v>17</v>
      </c>
      <c r="B14" s="3">
        <v>2004742</v>
      </c>
      <c r="C14" s="3">
        <f t="shared" si="0"/>
        <v>731730830</v>
      </c>
      <c r="D14" s="14">
        <v>1359282799</v>
      </c>
      <c r="E14" s="14">
        <v>256291071</v>
      </c>
      <c r="F14" s="3">
        <f t="shared" si="1"/>
        <v>1087426239.2</v>
      </c>
      <c r="G14" s="3">
        <f t="shared" si="2"/>
        <v>230661963.90000001</v>
      </c>
      <c r="H14" s="3">
        <f t="shared" si="3"/>
        <v>1318088203.1000001</v>
      </c>
      <c r="I14" s="3">
        <f t="shared" si="4"/>
        <v>131808820.31000002</v>
      </c>
      <c r="J14" t="s">
        <v>51</v>
      </c>
    </row>
    <row r="15" spans="1:10" x14ac:dyDescent="0.25">
      <c r="A15" t="s">
        <v>19</v>
      </c>
      <c r="B15" s="3"/>
      <c r="C15" s="3">
        <v>129033140</v>
      </c>
      <c r="D15" s="14">
        <f>72498000+54372000</f>
        <v>126870000</v>
      </c>
      <c r="E15" s="14">
        <v>16838000</v>
      </c>
      <c r="F15" s="3">
        <f t="shared" si="1"/>
        <v>101496000</v>
      </c>
      <c r="G15" s="3">
        <f t="shared" si="2"/>
        <v>15154200</v>
      </c>
      <c r="H15" s="3">
        <f t="shared" si="3"/>
        <v>116650200</v>
      </c>
      <c r="I15" s="3">
        <f t="shared" si="4"/>
        <v>11665020</v>
      </c>
      <c r="J15" t="s">
        <v>97</v>
      </c>
    </row>
    <row r="16" spans="1:10" x14ac:dyDescent="0.25">
      <c r="A16" t="s">
        <v>21</v>
      </c>
      <c r="B16" s="11">
        <v>17000</v>
      </c>
      <c r="C16" s="3">
        <f t="shared" si="0"/>
        <v>6205000</v>
      </c>
      <c r="D16" s="14">
        <v>2021700</v>
      </c>
      <c r="E16" s="14">
        <v>4122943</v>
      </c>
      <c r="F16" s="3">
        <f t="shared" si="1"/>
        <v>1617360</v>
      </c>
      <c r="G16" s="3">
        <f t="shared" si="2"/>
        <v>3710648.7</v>
      </c>
      <c r="H16" s="3">
        <f t="shared" si="3"/>
        <v>5328008.7</v>
      </c>
      <c r="I16" s="3">
        <f t="shared" si="4"/>
        <v>532800.87</v>
      </c>
    </row>
    <row r="17" spans="1:10" x14ac:dyDescent="0.25">
      <c r="A17" t="s">
        <v>22</v>
      </c>
      <c r="B17" s="3"/>
      <c r="C17" s="3"/>
      <c r="D17" s="14"/>
      <c r="E17" s="14"/>
      <c r="F17" s="3"/>
      <c r="G17" s="3"/>
      <c r="H17" s="3"/>
      <c r="I17" s="3"/>
    </row>
    <row r="18" spans="1:10" x14ac:dyDescent="0.25">
      <c r="A18" s="2" t="s">
        <v>23</v>
      </c>
      <c r="B18" s="3">
        <f>5526330/365</f>
        <v>15140.630136986301</v>
      </c>
      <c r="C18" s="3">
        <f t="shared" si="0"/>
        <v>5526330</v>
      </c>
      <c r="D18" s="14">
        <v>3622137</v>
      </c>
      <c r="E18" s="14">
        <v>99210</v>
      </c>
      <c r="F18" s="3">
        <f t="shared" si="1"/>
        <v>2897709.6</v>
      </c>
      <c r="G18" s="3">
        <f t="shared" si="2"/>
        <v>89289</v>
      </c>
      <c r="H18" s="3">
        <f t="shared" si="3"/>
        <v>2986998.6</v>
      </c>
      <c r="I18" s="3">
        <f t="shared" si="4"/>
        <v>298699.86000000004</v>
      </c>
    </row>
    <row r="19" spans="1:10" x14ac:dyDescent="0.25">
      <c r="A19" s="2" t="s">
        <v>24</v>
      </c>
      <c r="B19" s="3">
        <f>33347000/365</f>
        <v>91361.643835616444</v>
      </c>
      <c r="C19" s="3">
        <f t="shared" si="0"/>
        <v>33347000.000000004</v>
      </c>
      <c r="D19" s="14">
        <v>26377016</v>
      </c>
      <c r="E19" s="14">
        <v>807910</v>
      </c>
      <c r="F19" s="3">
        <f t="shared" si="1"/>
        <v>21101612.800000001</v>
      </c>
      <c r="G19" s="3">
        <f t="shared" si="2"/>
        <v>727119</v>
      </c>
      <c r="H19" s="3">
        <f t="shared" si="3"/>
        <v>21828731.800000001</v>
      </c>
      <c r="I19" s="3">
        <f t="shared" si="4"/>
        <v>2182873.1800000002</v>
      </c>
    </row>
    <row r="20" spans="1:10" x14ac:dyDescent="0.25">
      <c r="A20" t="s">
        <v>25</v>
      </c>
      <c r="B20" s="3"/>
      <c r="C20" s="3"/>
      <c r="D20" s="14"/>
      <c r="E20" s="14"/>
      <c r="F20" s="3"/>
      <c r="G20" s="3"/>
      <c r="H20" s="3"/>
      <c r="I20" s="3"/>
    </row>
    <row r="21" spans="1:10" x14ac:dyDescent="0.25">
      <c r="A21" s="2" t="s">
        <v>26</v>
      </c>
      <c r="B21" s="3">
        <f>48584209/365</f>
        <v>133107.42191780821</v>
      </c>
      <c r="C21" s="3">
        <f t="shared" si="0"/>
        <v>48584209</v>
      </c>
      <c r="D21" s="14">
        <v>67872053</v>
      </c>
      <c r="E21" s="14">
        <v>1533960</v>
      </c>
      <c r="F21" s="3">
        <f t="shared" si="1"/>
        <v>54297642.400000006</v>
      </c>
      <c r="G21" s="3">
        <f t="shared" si="2"/>
        <v>1380564</v>
      </c>
      <c r="H21" s="3">
        <f t="shared" si="3"/>
        <v>55678206.400000006</v>
      </c>
      <c r="I21" s="3">
        <f t="shared" si="4"/>
        <v>5567820.6400000006</v>
      </c>
    </row>
    <row r="22" spans="1:10" x14ac:dyDescent="0.25">
      <c r="A22" s="2" t="s">
        <v>27</v>
      </c>
      <c r="B22" s="3">
        <f>23302461/365</f>
        <v>63842.358904109591</v>
      </c>
      <c r="C22" s="3">
        <f t="shared" si="0"/>
        <v>23302461</v>
      </c>
      <c r="D22" s="14">
        <v>12888970</v>
      </c>
      <c r="E22" s="14">
        <v>2014360</v>
      </c>
      <c r="F22" s="3">
        <f t="shared" si="1"/>
        <v>10311176</v>
      </c>
      <c r="G22" s="3">
        <f t="shared" si="2"/>
        <v>1812924</v>
      </c>
      <c r="H22" s="3">
        <f t="shared" si="3"/>
        <v>12124100</v>
      </c>
      <c r="I22" s="3">
        <f t="shared" si="4"/>
        <v>1212410</v>
      </c>
      <c r="J22" t="s">
        <v>54</v>
      </c>
    </row>
    <row r="23" spans="1:10" x14ac:dyDescent="0.25">
      <c r="D23" s="15"/>
      <c r="E23" s="15"/>
    </row>
    <row r="24" spans="1:10" x14ac:dyDescent="0.25">
      <c r="A24" s="7" t="s">
        <v>34</v>
      </c>
    </row>
    <row r="25" spans="1:10" x14ac:dyDescent="0.25">
      <c r="A25" s="7" t="s">
        <v>44</v>
      </c>
    </row>
    <row r="26" spans="1:10" x14ac:dyDescent="0.25">
      <c r="A26" s="7"/>
    </row>
    <row r="29" spans="1:10" x14ac:dyDescent="0.25">
      <c r="B29" s="8"/>
      <c r="C29" s="8"/>
    </row>
    <row r="30" spans="1:10" x14ac:dyDescent="0.25">
      <c r="B30" s="10"/>
      <c r="C30" s="10"/>
    </row>
  </sheetData>
  <mergeCells count="2">
    <mergeCell ref="D2:E2"/>
    <mergeCell ref="F2:H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9"/>
  <sheetViews>
    <sheetView tabSelected="1" topLeftCell="A16" workbookViewId="0">
      <selection activeCell="F37" sqref="F37"/>
    </sheetView>
  </sheetViews>
  <sheetFormatPr defaultRowHeight="15" x14ac:dyDescent="0.25"/>
  <cols>
    <col min="1" max="1" width="20.42578125" customWidth="1"/>
    <col min="2" max="2" width="15.28515625" bestFit="1" customWidth="1"/>
    <col min="3" max="3" width="24.28515625" bestFit="1" customWidth="1"/>
    <col min="4" max="4" width="21.28515625" customWidth="1"/>
    <col min="5" max="5" width="14.7109375" customWidth="1"/>
    <col min="6" max="6" width="16" bestFit="1" customWidth="1"/>
    <col min="8" max="9" width="0" hidden="1" customWidth="1"/>
  </cols>
  <sheetData>
    <row r="2" spans="1:8" ht="30" x14ac:dyDescent="0.25">
      <c r="A2" s="21" t="s">
        <v>0</v>
      </c>
      <c r="B2" s="22" t="s">
        <v>55</v>
      </c>
      <c r="C2" s="22" t="s">
        <v>56</v>
      </c>
      <c r="D2" s="22" t="s">
        <v>53</v>
      </c>
      <c r="E2" s="22" t="s">
        <v>52</v>
      </c>
      <c r="F2" s="22" t="s">
        <v>57</v>
      </c>
    </row>
    <row r="3" spans="1:8" x14ac:dyDescent="0.25">
      <c r="A3" t="s">
        <v>8</v>
      </c>
      <c r="B3" s="3">
        <f>Inflow!C4</f>
        <v>36381010</v>
      </c>
      <c r="C3" s="3">
        <f>Inflow!H4</f>
        <v>33765677.799999997</v>
      </c>
      <c r="D3" s="3">
        <f>Inflow!I4</f>
        <v>3376567.78</v>
      </c>
      <c r="E3" s="3">
        <f>Infiltration!X4</f>
        <v>13408012.310606061</v>
      </c>
      <c r="F3" s="3">
        <f>B3-C3-D3-E3</f>
        <v>-14169247.890606057</v>
      </c>
      <c r="H3" t="s">
        <v>60</v>
      </c>
    </row>
    <row r="4" spans="1:8" x14ac:dyDescent="0.25">
      <c r="A4" t="s">
        <v>9</v>
      </c>
      <c r="B4" s="3">
        <f>Inflow!C5</f>
        <v>77809970</v>
      </c>
      <c r="C4" s="3">
        <f>Inflow!H5</f>
        <v>83004400</v>
      </c>
      <c r="D4" s="3">
        <f>Inflow!I5</f>
        <v>8300440</v>
      </c>
      <c r="E4" s="3">
        <f>Infiltration!X5</f>
        <v>15718503.787878787</v>
      </c>
      <c r="F4" s="3">
        <f t="shared" ref="F4:F21" si="0">B4-C4-D4-E4</f>
        <v>-29213373.787878789</v>
      </c>
      <c r="H4" t="s">
        <v>60</v>
      </c>
    </row>
    <row r="5" spans="1:8" x14ac:dyDescent="0.25">
      <c r="A5" s="2" t="s">
        <v>35</v>
      </c>
      <c r="B5" s="3">
        <f>Inflow!C6</f>
        <v>21260885</v>
      </c>
      <c r="C5" s="3" t="s">
        <v>110</v>
      </c>
      <c r="D5" s="3" t="s">
        <v>110</v>
      </c>
      <c r="E5" s="3" t="s">
        <v>110</v>
      </c>
      <c r="F5" s="3" t="s">
        <v>110</v>
      </c>
      <c r="H5" t="s">
        <v>85</v>
      </c>
    </row>
    <row r="6" spans="1:8" x14ac:dyDescent="0.25">
      <c r="A6" t="s">
        <v>10</v>
      </c>
      <c r="B6" s="3">
        <f>Inflow!C7</f>
        <v>20500225</v>
      </c>
      <c r="C6" s="3">
        <f>Inflow!H7</f>
        <v>13553817</v>
      </c>
      <c r="D6" s="3">
        <f>Inflow!I7</f>
        <v>1355381.7000000002</v>
      </c>
      <c r="E6" s="3">
        <f>Infiltration!X7</f>
        <v>7694034.0909090899</v>
      </c>
      <c r="F6" s="3">
        <f t="shared" si="0"/>
        <v>-2103007.7909090901</v>
      </c>
      <c r="H6" t="s">
        <v>60</v>
      </c>
    </row>
    <row r="7" spans="1:8" x14ac:dyDescent="0.25">
      <c r="A7" t="s">
        <v>11</v>
      </c>
      <c r="B7" s="3">
        <f>Inflow!C8</f>
        <v>6843385</v>
      </c>
      <c r="C7" s="3">
        <f>Inflow!H8</f>
        <v>5698896</v>
      </c>
      <c r="D7" s="3">
        <f>Inflow!I8</f>
        <v>569889.6</v>
      </c>
      <c r="E7" s="3">
        <f>Infiltration!X8</f>
        <v>1148920.4545454546</v>
      </c>
      <c r="F7" s="3">
        <f t="shared" si="0"/>
        <v>-574321.05454545456</v>
      </c>
      <c r="H7" t="s">
        <v>60</v>
      </c>
    </row>
    <row r="8" spans="1:8" x14ac:dyDescent="0.25">
      <c r="A8" t="s">
        <v>12</v>
      </c>
      <c r="B8" s="3">
        <f>Inflow!C9</f>
        <v>137344000</v>
      </c>
      <c r="C8" s="3" t="s">
        <v>110</v>
      </c>
      <c r="D8" s="3" t="s">
        <v>110</v>
      </c>
      <c r="E8" s="3" t="s">
        <v>110</v>
      </c>
      <c r="F8" s="3" t="s">
        <v>110</v>
      </c>
      <c r="H8" t="s">
        <v>98</v>
      </c>
    </row>
    <row r="9" spans="1:8" x14ac:dyDescent="0.25">
      <c r="A9" t="s">
        <v>13</v>
      </c>
      <c r="B9" s="3">
        <f>Inflow!C10</f>
        <v>164655150</v>
      </c>
      <c r="C9" s="3">
        <f>Inflow!H10</f>
        <v>295419535.19999999</v>
      </c>
      <c r="D9" s="3">
        <f>Inflow!I10</f>
        <v>29541953.52</v>
      </c>
      <c r="E9" s="3">
        <f>Infiltration!X10</f>
        <v>25218112.689393938</v>
      </c>
      <c r="F9" s="3">
        <f t="shared" si="0"/>
        <v>-185524451.40939394</v>
      </c>
      <c r="H9" t="s">
        <v>60</v>
      </c>
    </row>
    <row r="10" spans="1:8" x14ac:dyDescent="0.25">
      <c r="A10" t="s">
        <v>14</v>
      </c>
      <c r="B10" s="3">
        <f>Inflow!C11</f>
        <v>282269100</v>
      </c>
      <c r="C10" s="3">
        <f>Inflow!H11</f>
        <v>271317200</v>
      </c>
      <c r="D10" s="3">
        <f>Inflow!I11</f>
        <v>27131720</v>
      </c>
      <c r="E10" s="3">
        <f>Infiltration!X11</f>
        <v>24983005.681818184</v>
      </c>
      <c r="F10" s="3">
        <f t="shared" si="0"/>
        <v>-41162825.681818187</v>
      </c>
      <c r="H10" t="s">
        <v>60</v>
      </c>
    </row>
    <row r="11" spans="1:8" x14ac:dyDescent="0.25">
      <c r="A11" t="s">
        <v>15</v>
      </c>
      <c r="B11" s="3">
        <f>Inflow!C12</f>
        <v>35914905</v>
      </c>
      <c r="C11" s="3">
        <f>Inflow!H12</f>
        <v>84773128.200000003</v>
      </c>
      <c r="D11" s="3">
        <f>Inflow!I12</f>
        <v>8477312.8200000003</v>
      </c>
      <c r="E11" s="3">
        <f>Infiltration!X12</f>
        <v>12945333.333333336</v>
      </c>
      <c r="F11" s="3">
        <f t="shared" si="0"/>
        <v>-70280869.353333339</v>
      </c>
      <c r="H11" t="s">
        <v>60</v>
      </c>
    </row>
    <row r="12" spans="1:8" s="15" customFormat="1" x14ac:dyDescent="0.25">
      <c r="A12" s="15" t="s">
        <v>16</v>
      </c>
      <c r="B12" s="14">
        <f>Inflow!C13</f>
        <v>50474390</v>
      </c>
      <c r="C12" s="14">
        <f>Inflow!H13</f>
        <v>30735000</v>
      </c>
      <c r="D12" s="14">
        <f>Inflow!I13</f>
        <v>3073500</v>
      </c>
      <c r="E12" s="14">
        <f>Infiltration!X13</f>
        <v>12440071.022727272</v>
      </c>
      <c r="F12" s="14">
        <f t="shared" si="0"/>
        <v>4225818.9772727285</v>
      </c>
      <c r="H12" s="15" t="s">
        <v>61</v>
      </c>
    </row>
    <row r="13" spans="1:8" x14ac:dyDescent="0.25">
      <c r="A13" t="s">
        <v>17</v>
      </c>
      <c r="B13" s="3">
        <f>Inflow!C14</f>
        <v>731730830</v>
      </c>
      <c r="C13" s="3">
        <f>Inflow!H14</f>
        <v>1318088203.1000001</v>
      </c>
      <c r="D13" s="3">
        <f>Inflow!I14</f>
        <v>131808820.31000002</v>
      </c>
      <c r="E13" s="3">
        <f>Infiltration!X14</f>
        <v>134980594.69696972</v>
      </c>
      <c r="F13" s="3">
        <f t="shared" si="0"/>
        <v>-853146788.10696995</v>
      </c>
      <c r="H13" t="s">
        <v>60</v>
      </c>
    </row>
    <row r="14" spans="1:8" x14ac:dyDescent="0.25">
      <c r="A14" t="s">
        <v>19</v>
      </c>
      <c r="B14" s="3">
        <f>Inflow!C15</f>
        <v>129033140</v>
      </c>
      <c r="C14" s="3">
        <f>Inflow!H15</f>
        <v>116650200</v>
      </c>
      <c r="D14" s="3">
        <f>Inflow!I15</f>
        <v>11665020</v>
      </c>
      <c r="E14" s="3">
        <f>Infiltration!X15</f>
        <v>13269167.140151516</v>
      </c>
      <c r="F14" s="3">
        <f t="shared" si="0"/>
        <v>-12551247.140151516</v>
      </c>
      <c r="H14" t="s">
        <v>60</v>
      </c>
    </row>
    <row r="15" spans="1:8" x14ac:dyDescent="0.25">
      <c r="A15" t="s">
        <v>21</v>
      </c>
      <c r="B15" s="3">
        <f>Inflow!C16</f>
        <v>6205000</v>
      </c>
      <c r="C15" s="3">
        <f>Inflow!H16</f>
        <v>5328008.7</v>
      </c>
      <c r="D15" s="3">
        <f>Inflow!I16</f>
        <v>532800.87</v>
      </c>
      <c r="E15" s="3">
        <f>Infiltration!X16</f>
        <v>773689.39393939392</v>
      </c>
      <c r="F15" s="3">
        <f t="shared" si="0"/>
        <v>-429498.9639393941</v>
      </c>
      <c r="H15" t="s">
        <v>60</v>
      </c>
    </row>
    <row r="16" spans="1:8" x14ac:dyDescent="0.25">
      <c r="A16" t="s">
        <v>22</v>
      </c>
      <c r="B16" s="3"/>
      <c r="C16" s="3"/>
      <c r="D16" s="3"/>
      <c r="E16" s="3"/>
      <c r="F16" s="3"/>
    </row>
    <row r="17" spans="1:8" s="15" customFormat="1" x14ac:dyDescent="0.25">
      <c r="A17" s="23" t="s">
        <v>23</v>
      </c>
      <c r="B17" s="14">
        <f>Inflow!C18</f>
        <v>5526330</v>
      </c>
      <c r="C17" s="14">
        <f>Inflow!H18</f>
        <v>2986998.6</v>
      </c>
      <c r="D17" s="14">
        <f>Inflow!I18</f>
        <v>298699.86000000004</v>
      </c>
      <c r="E17" s="14">
        <f>Infiltration!X18</f>
        <v>1289113.6363636362</v>
      </c>
      <c r="F17" s="14">
        <f t="shared" si="0"/>
        <v>951517.9036363638</v>
      </c>
      <c r="H17" s="15" t="s">
        <v>61</v>
      </c>
    </row>
    <row r="18" spans="1:8" x14ac:dyDescent="0.25">
      <c r="A18" s="2" t="s">
        <v>24</v>
      </c>
      <c r="B18" s="3">
        <f>Inflow!C19</f>
        <v>33347000.000000004</v>
      </c>
      <c r="C18" s="3">
        <f>Inflow!H19</f>
        <v>21828731.800000001</v>
      </c>
      <c r="D18" s="3">
        <f>Inflow!I19</f>
        <v>2182873.1800000002</v>
      </c>
      <c r="E18" s="3">
        <f>Infiltration!X19</f>
        <v>10227189.393939396</v>
      </c>
      <c r="F18" s="3">
        <f t="shared" si="0"/>
        <v>-891794.37393939309</v>
      </c>
      <c r="H18" t="s">
        <v>60</v>
      </c>
    </row>
    <row r="19" spans="1:8" x14ac:dyDescent="0.25">
      <c r="A19" t="s">
        <v>25</v>
      </c>
      <c r="B19" s="3"/>
      <c r="C19" s="3"/>
      <c r="D19" s="3"/>
      <c r="E19" s="3"/>
      <c r="F19" s="3"/>
    </row>
    <row r="20" spans="1:8" x14ac:dyDescent="0.25">
      <c r="A20" s="2" t="s">
        <v>26</v>
      </c>
      <c r="B20" s="3">
        <f>Inflow!C21</f>
        <v>48584209</v>
      </c>
      <c r="C20" s="3">
        <f>Inflow!H21</f>
        <v>55678206.400000006</v>
      </c>
      <c r="D20" s="3">
        <f>Inflow!I21</f>
        <v>5567820.6400000006</v>
      </c>
      <c r="E20" s="3">
        <f>Infiltration!X21</f>
        <v>13285101.325757576</v>
      </c>
      <c r="F20" s="3">
        <f t="shared" si="0"/>
        <v>-25946919.365757585</v>
      </c>
      <c r="H20" t="s">
        <v>60</v>
      </c>
    </row>
    <row r="21" spans="1:8" s="15" customFormat="1" x14ac:dyDescent="0.25">
      <c r="A21" s="23" t="s">
        <v>27</v>
      </c>
      <c r="B21" s="14">
        <f>Inflow!C22</f>
        <v>23302461</v>
      </c>
      <c r="C21" s="14">
        <f>Inflow!H22</f>
        <v>12124100</v>
      </c>
      <c r="D21" s="14">
        <f>Inflow!I22</f>
        <v>1212410</v>
      </c>
      <c r="E21" s="14">
        <f>Infiltration!X22</f>
        <v>1248051.1363636365</v>
      </c>
      <c r="F21" s="14">
        <f t="shared" si="0"/>
        <v>8717899.8636363633</v>
      </c>
      <c r="H21" s="15" t="s">
        <v>61</v>
      </c>
    </row>
    <row r="23" spans="1:8" x14ac:dyDescent="0.25">
      <c r="A23" s="30" t="s">
        <v>104</v>
      </c>
      <c r="B23" s="30"/>
      <c r="C23" s="30"/>
      <c r="D23" s="30"/>
    </row>
    <row r="24" spans="1:8" ht="30" x14ac:dyDescent="0.25">
      <c r="A24" s="21" t="s">
        <v>86</v>
      </c>
      <c r="B24" s="22" t="s">
        <v>93</v>
      </c>
      <c r="C24" s="21" t="s">
        <v>94</v>
      </c>
      <c r="D24" s="21" t="s">
        <v>95</v>
      </c>
    </row>
    <row r="25" spans="1:8" x14ac:dyDescent="0.25">
      <c r="A25" t="s">
        <v>87</v>
      </c>
      <c r="B25" s="17">
        <f>18639/12</f>
        <v>1553.25</v>
      </c>
      <c r="C25">
        <v>1</v>
      </c>
      <c r="D25" s="16">
        <f>B25*C25</f>
        <v>1553.25</v>
      </c>
    </row>
    <row r="26" spans="1:8" x14ac:dyDescent="0.25">
      <c r="A26" t="s">
        <v>88</v>
      </c>
      <c r="B26" s="17">
        <f>610/12</f>
        <v>50.833333333333336</v>
      </c>
      <c r="C26">
        <v>1</v>
      </c>
      <c r="D26" s="16">
        <f t="shared" ref="D26:D30" si="1">B26*C26</f>
        <v>50.833333333333336</v>
      </c>
    </row>
    <row r="27" spans="1:8" x14ac:dyDescent="0.25">
      <c r="A27" t="s">
        <v>89</v>
      </c>
      <c r="B27" s="17">
        <f>121/12</f>
        <v>10.083333333333334</v>
      </c>
      <c r="C27">
        <v>2.5</v>
      </c>
      <c r="D27" s="16">
        <f t="shared" si="1"/>
        <v>25.208333333333336</v>
      </c>
    </row>
    <row r="28" spans="1:8" x14ac:dyDescent="0.25">
      <c r="A28" t="s">
        <v>90</v>
      </c>
      <c r="B28" s="17">
        <f>85/12</f>
        <v>7.083333333333333</v>
      </c>
      <c r="C28">
        <v>5</v>
      </c>
      <c r="D28" s="16">
        <f t="shared" si="1"/>
        <v>35.416666666666664</v>
      </c>
    </row>
    <row r="29" spans="1:8" x14ac:dyDescent="0.25">
      <c r="A29" t="s">
        <v>91</v>
      </c>
      <c r="B29" s="17">
        <f>14/2</f>
        <v>7</v>
      </c>
      <c r="C29">
        <v>10</v>
      </c>
      <c r="D29" s="16">
        <f t="shared" si="1"/>
        <v>70</v>
      </c>
    </row>
    <row r="30" spans="1:8" x14ac:dyDescent="0.25">
      <c r="A30" t="s">
        <v>92</v>
      </c>
      <c r="B30" s="17">
        <f>48/12</f>
        <v>4</v>
      </c>
      <c r="C30">
        <v>20</v>
      </c>
      <c r="D30" s="16">
        <f t="shared" si="1"/>
        <v>80</v>
      </c>
    </row>
    <row r="31" spans="1:8" x14ac:dyDescent="0.25">
      <c r="C31" t="s">
        <v>31</v>
      </c>
      <c r="D31" s="18">
        <f>SUM(D25:D30)</f>
        <v>1814.7083333333333</v>
      </c>
    </row>
    <row r="32" spans="1:8" x14ac:dyDescent="0.25">
      <c r="C32" t="s">
        <v>107</v>
      </c>
      <c r="D32" s="16">
        <f>B8/365</f>
        <v>376284.9315068493</v>
      </c>
    </row>
    <row r="33" spans="1:4" x14ac:dyDescent="0.25">
      <c r="C33" t="s">
        <v>96</v>
      </c>
      <c r="D33" s="16">
        <f>D32/D31</f>
        <v>207.35284265525644</v>
      </c>
    </row>
    <row r="34" spans="1:4" x14ac:dyDescent="0.25">
      <c r="C34" t="s">
        <v>105</v>
      </c>
      <c r="D34" s="16">
        <v>2.5</v>
      </c>
    </row>
    <row r="35" spans="1:4" x14ac:dyDescent="0.25">
      <c r="C35" t="s">
        <v>106</v>
      </c>
      <c r="D35" s="16">
        <f>D33/D34</f>
        <v>82.94113706210257</v>
      </c>
    </row>
    <row r="37" spans="1:4" x14ac:dyDescent="0.25">
      <c r="A37" s="30" t="s">
        <v>108</v>
      </c>
      <c r="B37" s="30"/>
      <c r="C37" s="30"/>
      <c r="D37" s="30"/>
    </row>
    <row r="38" spans="1:4" x14ac:dyDescent="0.25">
      <c r="A38" s="21" t="s">
        <v>86</v>
      </c>
      <c r="B38" s="22"/>
      <c r="C38" s="21" t="s">
        <v>94</v>
      </c>
      <c r="D38" s="21" t="s">
        <v>109</v>
      </c>
    </row>
    <row r="39" spans="1:4" x14ac:dyDescent="0.25">
      <c r="A39" t="s">
        <v>87</v>
      </c>
      <c r="B39" s="17"/>
      <c r="C39">
        <v>1</v>
      </c>
      <c r="D39" s="16">
        <v>908</v>
      </c>
    </row>
    <row r="40" spans="1:4" x14ac:dyDescent="0.25">
      <c r="A40" t="s">
        <v>88</v>
      </c>
      <c r="B40" s="17"/>
      <c r="C40">
        <v>1</v>
      </c>
      <c r="D40" s="16">
        <f t="shared" ref="D40:D44" si="2">B40*C40</f>
        <v>0</v>
      </c>
    </row>
    <row r="41" spans="1:4" x14ac:dyDescent="0.25">
      <c r="A41" t="s">
        <v>89</v>
      </c>
      <c r="B41" s="17"/>
      <c r="C41">
        <v>2.5</v>
      </c>
      <c r="D41" s="16">
        <f t="shared" si="2"/>
        <v>0</v>
      </c>
    </row>
    <row r="42" spans="1:4" x14ac:dyDescent="0.25">
      <c r="A42" t="s">
        <v>90</v>
      </c>
      <c r="B42" s="17"/>
      <c r="C42">
        <v>5</v>
      </c>
      <c r="D42" s="16">
        <f t="shared" si="2"/>
        <v>0</v>
      </c>
    </row>
    <row r="43" spans="1:4" x14ac:dyDescent="0.25">
      <c r="A43" t="s">
        <v>91</v>
      </c>
      <c r="B43" s="17"/>
      <c r="C43">
        <v>10</v>
      </c>
      <c r="D43" s="16">
        <f t="shared" si="2"/>
        <v>0</v>
      </c>
    </row>
    <row r="44" spans="1:4" x14ac:dyDescent="0.25">
      <c r="A44" t="s">
        <v>92</v>
      </c>
      <c r="B44" s="17"/>
      <c r="C44">
        <v>20</v>
      </c>
      <c r="D44" s="16">
        <f t="shared" si="2"/>
        <v>0</v>
      </c>
    </row>
    <row r="45" spans="1:4" x14ac:dyDescent="0.25">
      <c r="C45" t="s">
        <v>31</v>
      </c>
      <c r="D45" s="18">
        <f>SUM(D39:D44)</f>
        <v>908</v>
      </c>
    </row>
    <row r="46" spans="1:4" x14ac:dyDescent="0.25">
      <c r="C46" t="s">
        <v>107</v>
      </c>
      <c r="D46" s="16">
        <f>B5/365</f>
        <v>58249</v>
      </c>
    </row>
    <row r="47" spans="1:4" x14ac:dyDescent="0.25">
      <c r="C47" t="s">
        <v>96</v>
      </c>
      <c r="D47" s="16">
        <f>D46/D45</f>
        <v>64.15088105726872</v>
      </c>
    </row>
    <row r="48" spans="1:4" x14ac:dyDescent="0.25">
      <c r="C48" t="s">
        <v>105</v>
      </c>
      <c r="D48" s="16">
        <v>2.5</v>
      </c>
    </row>
    <row r="49" spans="3:4" x14ac:dyDescent="0.25">
      <c r="C49" t="s">
        <v>106</v>
      </c>
      <c r="D49" s="16">
        <f>D47/D48</f>
        <v>25.660352422907486</v>
      </c>
    </row>
  </sheetData>
  <mergeCells count="2">
    <mergeCell ref="A23:D23"/>
    <mergeCell ref="A37:D3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E32" sqref="E32"/>
    </sheetView>
  </sheetViews>
  <sheetFormatPr defaultRowHeight="15" x14ac:dyDescent="0.25"/>
  <cols>
    <col min="1" max="1" width="26.7109375" bestFit="1" customWidth="1"/>
    <col min="2" max="2" width="14.5703125" bestFit="1" customWidth="1"/>
    <col min="3" max="3" width="16.28515625" bestFit="1" customWidth="1"/>
    <col min="4" max="4" width="13.28515625" bestFit="1" customWidth="1"/>
    <col min="5" max="5" width="10.7109375" bestFit="1" customWidth="1"/>
    <col min="6" max="6" width="10.5703125" bestFit="1" customWidth="1"/>
    <col min="8" max="8" width="12.7109375" bestFit="1" customWidth="1"/>
  </cols>
  <sheetData>
    <row r="1" spans="1:9" x14ac:dyDescent="0.25">
      <c r="A1" s="6"/>
      <c r="B1" s="6"/>
      <c r="C1" s="6"/>
      <c r="D1" s="6"/>
      <c r="E1" s="6"/>
      <c r="F1" s="6"/>
      <c r="G1" s="6"/>
    </row>
    <row r="2" spans="1:9" x14ac:dyDescent="0.25">
      <c r="A2" s="21" t="s">
        <v>0</v>
      </c>
      <c r="B2" s="21" t="s">
        <v>62</v>
      </c>
      <c r="C2" s="21" t="s">
        <v>63</v>
      </c>
      <c r="D2" s="21" t="s">
        <v>64</v>
      </c>
      <c r="E2" s="21" t="s">
        <v>65</v>
      </c>
      <c r="F2" s="21" t="s">
        <v>66</v>
      </c>
      <c r="G2" s="21" t="s">
        <v>67</v>
      </c>
      <c r="H2" s="26" t="s">
        <v>99</v>
      </c>
    </row>
    <row r="3" spans="1:9" s="15" customFormat="1" x14ac:dyDescent="0.25">
      <c r="A3" s="15" t="s">
        <v>8</v>
      </c>
      <c r="B3" s="24">
        <v>68.16</v>
      </c>
      <c r="C3" s="24">
        <v>0</v>
      </c>
      <c r="D3" s="24">
        <v>44.584000000000003</v>
      </c>
      <c r="E3" s="24">
        <v>16.824000000000002</v>
      </c>
      <c r="F3" s="24">
        <f>B3-D3-E3+C3</f>
        <v>6.7519999999999918</v>
      </c>
      <c r="G3" s="25">
        <f>F3/(B3+C3)</f>
        <v>9.9061032863849652E-2</v>
      </c>
      <c r="H3" s="25">
        <f>E3/(B3+C3)</f>
        <v>0.24683098591549299</v>
      </c>
    </row>
    <row r="4" spans="1:9" s="15" customFormat="1" x14ac:dyDescent="0.25">
      <c r="A4" s="15" t="s">
        <v>10</v>
      </c>
      <c r="B4" s="24">
        <v>22.463000000000001</v>
      </c>
      <c r="C4" s="24">
        <v>0</v>
      </c>
      <c r="D4" s="24">
        <v>17.213000000000001</v>
      </c>
      <c r="E4" s="24">
        <v>1.97</v>
      </c>
      <c r="F4" s="24">
        <f t="shared" ref="F4:F25" si="0">B4-D4-E4+C4</f>
        <v>3.2800000000000002</v>
      </c>
      <c r="G4" s="25">
        <f t="shared" ref="G4:G25" si="1">F4/(B4+C4)</f>
        <v>0.14601789609580199</v>
      </c>
      <c r="H4" s="25">
        <f t="shared" ref="H4:H25" si="2">E4/(B4+C4)</f>
        <v>8.769977295997862E-2</v>
      </c>
    </row>
    <row r="5" spans="1:9" s="15" customFormat="1" x14ac:dyDescent="0.25">
      <c r="A5" s="15" t="s">
        <v>11</v>
      </c>
      <c r="B5" s="24">
        <v>5.359</v>
      </c>
      <c r="C5" s="24">
        <v>0</v>
      </c>
      <c r="D5" s="24">
        <v>4.6589999999999998</v>
      </c>
      <c r="E5" s="24">
        <v>0</v>
      </c>
      <c r="F5" s="24">
        <f t="shared" si="0"/>
        <v>0.70000000000000018</v>
      </c>
      <c r="G5" s="25">
        <f t="shared" si="1"/>
        <v>0.13062138458667666</v>
      </c>
      <c r="H5" s="25">
        <f t="shared" si="2"/>
        <v>0</v>
      </c>
    </row>
    <row r="6" spans="1:9" s="15" customFormat="1" x14ac:dyDescent="0.25">
      <c r="A6" s="15" t="s">
        <v>68</v>
      </c>
      <c r="B6" s="24">
        <v>1393933</v>
      </c>
      <c r="C6" s="24">
        <v>0</v>
      </c>
      <c r="D6" s="24">
        <v>1313905</v>
      </c>
      <c r="E6" s="24">
        <v>9704</v>
      </c>
      <c r="F6" s="24">
        <f t="shared" si="0"/>
        <v>70324</v>
      </c>
      <c r="G6" s="25">
        <f t="shared" si="1"/>
        <v>5.045005749917679E-2</v>
      </c>
      <c r="H6" s="25">
        <f t="shared" si="2"/>
        <v>6.9615971499347529E-3</v>
      </c>
    </row>
    <row r="7" spans="1:9" s="15" customFormat="1" x14ac:dyDescent="0.25">
      <c r="A7" s="15" t="s">
        <v>69</v>
      </c>
      <c r="B7" s="24">
        <v>6.85</v>
      </c>
      <c r="C7" s="24">
        <v>0</v>
      </c>
      <c r="D7" s="24">
        <v>5.9939999999999998</v>
      </c>
      <c r="E7" s="24">
        <v>0.24199999999999999</v>
      </c>
      <c r="F7" s="24">
        <f t="shared" si="0"/>
        <v>0.61399999999999988</v>
      </c>
      <c r="G7" s="25">
        <f t="shared" si="1"/>
        <v>8.9635036496350351E-2</v>
      </c>
      <c r="H7" s="25">
        <f t="shared" si="2"/>
        <v>3.5328467153284672E-2</v>
      </c>
    </row>
    <row r="8" spans="1:9" s="15" customFormat="1" x14ac:dyDescent="0.25">
      <c r="A8" s="15" t="s">
        <v>70</v>
      </c>
      <c r="B8" s="24">
        <v>4.3410000000000002</v>
      </c>
      <c r="C8" s="24">
        <v>0</v>
      </c>
      <c r="D8" s="24">
        <v>2.2839999999999998</v>
      </c>
      <c r="E8" s="24">
        <v>2.0739999999999998</v>
      </c>
      <c r="F8" s="24">
        <f t="shared" si="0"/>
        <v>-1.699999999999946E-2</v>
      </c>
      <c r="G8" s="25">
        <f t="shared" si="1"/>
        <v>-3.9161483529139502E-3</v>
      </c>
      <c r="H8" s="25">
        <f t="shared" si="2"/>
        <v>0.47777009905551709</v>
      </c>
      <c r="I8" s="15" t="s">
        <v>111</v>
      </c>
    </row>
    <row r="9" spans="1:9" s="15" customFormat="1" x14ac:dyDescent="0.25">
      <c r="A9" s="15" t="s">
        <v>71</v>
      </c>
      <c r="B9" s="24">
        <v>58.598999999999997</v>
      </c>
      <c r="C9" s="24"/>
      <c r="D9" s="24">
        <v>27.358000000000001</v>
      </c>
      <c r="E9" s="24">
        <v>27.853999999999999</v>
      </c>
      <c r="F9" s="24">
        <f t="shared" si="0"/>
        <v>3.3869999999999969</v>
      </c>
      <c r="G9" s="25">
        <f t="shared" si="1"/>
        <v>5.7799621153944554E-2</v>
      </c>
      <c r="H9" s="25">
        <f t="shared" si="2"/>
        <v>0.47533234355535081</v>
      </c>
      <c r="I9" s="15" t="s">
        <v>111</v>
      </c>
    </row>
    <row r="10" spans="1:9" s="15" customFormat="1" x14ac:dyDescent="0.25">
      <c r="A10" s="15" t="s">
        <v>72</v>
      </c>
      <c r="B10" s="24">
        <v>75.988</v>
      </c>
      <c r="C10" s="24">
        <v>0</v>
      </c>
      <c r="D10" s="24">
        <v>61.93</v>
      </c>
      <c r="E10" s="24">
        <v>0.63800000000000001</v>
      </c>
      <c r="F10" s="24">
        <f t="shared" si="0"/>
        <v>13.42</v>
      </c>
      <c r="G10" s="25">
        <f t="shared" si="1"/>
        <v>0.17660683265778807</v>
      </c>
      <c r="H10" s="25">
        <f t="shared" si="2"/>
        <v>8.3960625361899251E-3</v>
      </c>
    </row>
    <row r="11" spans="1:9" s="15" customFormat="1" x14ac:dyDescent="0.25">
      <c r="A11" s="15" t="s">
        <v>15</v>
      </c>
      <c r="B11" s="24">
        <v>141.733</v>
      </c>
      <c r="C11" s="24">
        <v>0</v>
      </c>
      <c r="D11" s="24">
        <v>130.04900000000001</v>
      </c>
      <c r="E11" s="24">
        <v>1.659</v>
      </c>
      <c r="F11" s="24">
        <f t="shared" si="0"/>
        <v>10.024999999999997</v>
      </c>
      <c r="G11" s="25">
        <f t="shared" si="1"/>
        <v>7.073158685697753E-2</v>
      </c>
      <c r="H11" s="25">
        <f t="shared" si="2"/>
        <v>1.1705107490845463E-2</v>
      </c>
    </row>
    <row r="12" spans="1:9" s="15" customFormat="1" x14ac:dyDescent="0.25">
      <c r="A12" s="15" t="s">
        <v>17</v>
      </c>
      <c r="B12" s="24">
        <v>2352.8069999999998</v>
      </c>
      <c r="C12" s="24">
        <v>0</v>
      </c>
      <c r="D12" s="24">
        <v>2222.1370000000002</v>
      </c>
      <c r="E12" s="24">
        <v>9.9819999999999993</v>
      </c>
      <c r="F12" s="24">
        <f t="shared" si="0"/>
        <v>120.68799999999962</v>
      </c>
      <c r="G12" s="25">
        <f t="shared" si="1"/>
        <v>5.1295325115914579E-2</v>
      </c>
      <c r="H12" s="25">
        <f t="shared" si="2"/>
        <v>4.242591933805025E-3</v>
      </c>
    </row>
    <row r="13" spans="1:9" s="15" customFormat="1" x14ac:dyDescent="0.25">
      <c r="A13" s="15" t="s">
        <v>21</v>
      </c>
      <c r="B13" s="24">
        <v>55.316000000000003</v>
      </c>
      <c r="C13" s="24">
        <v>0</v>
      </c>
      <c r="D13" s="24">
        <v>48.284999999999997</v>
      </c>
      <c r="E13" s="24">
        <v>0.75</v>
      </c>
      <c r="F13" s="24">
        <f t="shared" si="0"/>
        <v>6.2810000000000059</v>
      </c>
      <c r="G13" s="25">
        <f t="shared" si="1"/>
        <v>0.11354761732590943</v>
      </c>
      <c r="H13" s="25">
        <f t="shared" si="2"/>
        <v>1.355846409718707E-2</v>
      </c>
    </row>
    <row r="14" spans="1:9" s="15" customFormat="1" x14ac:dyDescent="0.25">
      <c r="A14" s="15" t="s">
        <v>73</v>
      </c>
      <c r="B14" s="24">
        <v>0</v>
      </c>
      <c r="C14" s="24">
        <v>3.6779999999999999</v>
      </c>
      <c r="D14" s="24">
        <v>3.718</v>
      </c>
      <c r="E14" s="24">
        <v>1.2E-2</v>
      </c>
      <c r="F14" s="24">
        <f t="shared" si="0"/>
        <v>-5.2000000000000046E-2</v>
      </c>
      <c r="G14" s="25">
        <f t="shared" si="1"/>
        <v>-1.4138118542686255E-2</v>
      </c>
      <c r="H14" s="25">
        <f t="shared" si="2"/>
        <v>3.2626427406199023E-3</v>
      </c>
    </row>
    <row r="15" spans="1:9" s="15" customFormat="1" x14ac:dyDescent="0.25">
      <c r="A15" s="15" t="s">
        <v>74</v>
      </c>
      <c r="B15" s="24">
        <v>0</v>
      </c>
      <c r="C15" s="24">
        <v>17.855</v>
      </c>
      <c r="D15" s="24">
        <v>17.436</v>
      </c>
      <c r="E15" s="24">
        <v>2E-3</v>
      </c>
      <c r="F15" s="24">
        <f t="shared" si="0"/>
        <v>0.41700000000000159</v>
      </c>
      <c r="G15" s="25">
        <f t="shared" si="1"/>
        <v>2.3354802576309244E-2</v>
      </c>
      <c r="H15" s="25">
        <f t="shared" si="2"/>
        <v>1.1201344161299356E-4</v>
      </c>
    </row>
    <row r="16" spans="1:9" s="15" customFormat="1" x14ac:dyDescent="0.25">
      <c r="A16" s="15" t="s">
        <v>75</v>
      </c>
      <c r="B16" s="24">
        <v>16.562000000000001</v>
      </c>
      <c r="C16" s="24">
        <v>0.01</v>
      </c>
      <c r="D16" s="24">
        <v>12.848000000000001</v>
      </c>
      <c r="E16" s="24">
        <v>0.376</v>
      </c>
      <c r="F16" s="24">
        <f t="shared" si="0"/>
        <v>3.3480000000000003</v>
      </c>
      <c r="G16" s="25">
        <f t="shared" si="1"/>
        <v>0.20202751629254162</v>
      </c>
      <c r="H16" s="25">
        <f t="shared" si="2"/>
        <v>2.268887279748974E-2</v>
      </c>
    </row>
    <row r="17" spans="1:8" s="15" customFormat="1" x14ac:dyDescent="0.25">
      <c r="A17" s="15" t="s">
        <v>76</v>
      </c>
      <c r="B17" s="24">
        <v>14.353</v>
      </c>
      <c r="C17" s="24">
        <v>3.028</v>
      </c>
      <c r="D17" s="24">
        <v>15.134</v>
      </c>
      <c r="E17" s="24">
        <v>0.54900000000000004</v>
      </c>
      <c r="F17" s="24">
        <f t="shared" si="0"/>
        <v>1.6979999999999995</v>
      </c>
      <c r="G17" s="25">
        <f t="shared" si="1"/>
        <v>9.7692883033197134E-2</v>
      </c>
      <c r="H17" s="25">
        <f t="shared" si="2"/>
        <v>3.1586214832288136E-2</v>
      </c>
    </row>
    <row r="18" spans="1:8" s="15" customFormat="1" x14ac:dyDescent="0.25">
      <c r="A18" s="15" t="s">
        <v>78</v>
      </c>
      <c r="B18" s="24">
        <v>23.86</v>
      </c>
      <c r="C18" s="24">
        <v>0</v>
      </c>
      <c r="D18" s="24">
        <v>20.631</v>
      </c>
      <c r="E18" s="24">
        <v>0.61599999999999999</v>
      </c>
      <c r="F18" s="24">
        <f t="shared" si="0"/>
        <v>2.6129999999999991</v>
      </c>
      <c r="G18" s="25">
        <f t="shared" si="1"/>
        <v>0.10951383067896057</v>
      </c>
      <c r="H18" s="25">
        <f t="shared" si="2"/>
        <v>2.5817267393126571E-2</v>
      </c>
    </row>
    <row r="19" spans="1:8" s="15" customFormat="1" x14ac:dyDescent="0.25">
      <c r="A19" s="15" t="s">
        <v>77</v>
      </c>
      <c r="B19" s="24">
        <v>0</v>
      </c>
      <c r="C19" s="24">
        <v>10.698</v>
      </c>
      <c r="D19" s="24">
        <v>10.666</v>
      </c>
      <c r="E19" s="24">
        <v>0.122</v>
      </c>
      <c r="F19" s="24">
        <f t="shared" si="0"/>
        <v>-8.9999999999999858E-2</v>
      </c>
      <c r="G19" s="25">
        <f t="shared" si="1"/>
        <v>-8.4127874369040803E-3</v>
      </c>
      <c r="H19" s="25">
        <f t="shared" si="2"/>
        <v>1.1404000747803327E-2</v>
      </c>
    </row>
    <row r="20" spans="1:8" s="15" customFormat="1" x14ac:dyDescent="0.25">
      <c r="A20" s="15" t="s">
        <v>79</v>
      </c>
      <c r="B20" s="24">
        <v>20.602</v>
      </c>
      <c r="C20" s="24">
        <v>0</v>
      </c>
      <c r="D20" s="24">
        <v>19.004999999999999</v>
      </c>
      <c r="E20" s="24">
        <v>0.57899999999999996</v>
      </c>
      <c r="F20" s="24">
        <f t="shared" si="0"/>
        <v>1.0180000000000013</v>
      </c>
      <c r="G20" s="25">
        <f t="shared" si="1"/>
        <v>4.9412678380739795E-2</v>
      </c>
      <c r="H20" s="25">
        <f t="shared" si="2"/>
        <v>2.8104067566255702E-2</v>
      </c>
    </row>
    <row r="21" spans="1:8" s="15" customFormat="1" x14ac:dyDescent="0.25">
      <c r="A21" s="15" t="s">
        <v>80</v>
      </c>
      <c r="B21" s="24">
        <v>4.9509999999999996</v>
      </c>
      <c r="C21" s="24">
        <v>0</v>
      </c>
      <c r="D21" s="24">
        <v>3.42</v>
      </c>
      <c r="E21" s="24">
        <v>0.79800000000000004</v>
      </c>
      <c r="F21" s="24">
        <f t="shared" si="0"/>
        <v>0.73299999999999965</v>
      </c>
      <c r="G21" s="25">
        <f t="shared" si="1"/>
        <v>0.14805089880832148</v>
      </c>
      <c r="H21" s="25">
        <f t="shared" si="2"/>
        <v>0.16117955968491215</v>
      </c>
    </row>
    <row r="22" spans="1:8" s="15" customFormat="1" x14ac:dyDescent="0.25">
      <c r="A22" s="15" t="s">
        <v>81</v>
      </c>
      <c r="B22" s="24">
        <v>24.369</v>
      </c>
      <c r="C22" s="24">
        <v>0.108</v>
      </c>
      <c r="D22" s="24">
        <v>21.048999999999999</v>
      </c>
      <c r="E22" s="24">
        <v>0.434</v>
      </c>
      <c r="F22" s="24">
        <f t="shared" si="0"/>
        <v>2.9940000000000002</v>
      </c>
      <c r="G22" s="25">
        <f t="shared" si="1"/>
        <v>0.12231891163132738</v>
      </c>
      <c r="H22" s="25">
        <f t="shared" si="2"/>
        <v>1.7730931078155002E-2</v>
      </c>
    </row>
    <row r="23" spans="1:8" s="15" customFormat="1" x14ac:dyDescent="0.25">
      <c r="A23" s="15" t="s">
        <v>82</v>
      </c>
      <c r="B23" s="24">
        <v>6.0919999999999996</v>
      </c>
      <c r="C23" s="24">
        <v>0</v>
      </c>
      <c r="D23" s="24">
        <v>5.8159999999999998</v>
      </c>
      <c r="E23" s="24">
        <v>0.218</v>
      </c>
      <c r="F23" s="24">
        <f t="shared" si="0"/>
        <v>5.7999999999999802E-2</v>
      </c>
      <c r="G23" s="25">
        <f t="shared" si="1"/>
        <v>9.5206828627708157E-3</v>
      </c>
      <c r="H23" s="25">
        <f t="shared" si="2"/>
        <v>3.5784635587655947E-2</v>
      </c>
    </row>
    <row r="24" spans="1:8" s="15" customFormat="1" x14ac:dyDescent="0.25">
      <c r="A24" s="15" t="s">
        <v>83</v>
      </c>
      <c r="B24" s="24">
        <v>5.835</v>
      </c>
      <c r="C24" s="24">
        <v>0.34100000000000003</v>
      </c>
      <c r="D24" s="24">
        <v>5.3339999999999996</v>
      </c>
      <c r="E24" s="24">
        <v>0.128</v>
      </c>
      <c r="F24" s="24">
        <f t="shared" si="0"/>
        <v>0.71400000000000041</v>
      </c>
      <c r="G24" s="25">
        <f t="shared" si="1"/>
        <v>0.1156088082901555</v>
      </c>
      <c r="H24" s="25">
        <f t="shared" si="2"/>
        <v>2.072538860103627E-2</v>
      </c>
    </row>
    <row r="25" spans="1:8" s="15" customFormat="1" x14ac:dyDescent="0.25">
      <c r="A25" s="15" t="s">
        <v>84</v>
      </c>
      <c r="B25" s="24">
        <v>73.444000000000003</v>
      </c>
      <c r="C25" s="24">
        <v>6.3479999999999999</v>
      </c>
      <c r="D25" s="24">
        <v>69.734999999999999</v>
      </c>
      <c r="E25" s="24">
        <v>1.0309999999999999</v>
      </c>
      <c r="F25" s="24">
        <f t="shared" si="0"/>
        <v>9.0260000000000034</v>
      </c>
      <c r="G25" s="25">
        <f t="shared" si="1"/>
        <v>0.11311910968518152</v>
      </c>
      <c r="H25" s="25">
        <f t="shared" si="2"/>
        <v>1.2921094846601162E-2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7"/>
  <sheetViews>
    <sheetView workbookViewId="0">
      <selection activeCell="D24" sqref="D24"/>
    </sheetView>
  </sheetViews>
  <sheetFormatPr defaultRowHeight="15" x14ac:dyDescent="0.25"/>
  <cols>
    <col min="1" max="1" width="31.140625" bestFit="1" customWidth="1"/>
    <col min="2" max="2" width="14.42578125" customWidth="1"/>
    <col min="3" max="3" width="12.42578125" customWidth="1"/>
  </cols>
  <sheetData>
    <row r="2" spans="1:4" ht="30" x14ac:dyDescent="0.25">
      <c r="A2" s="19" t="s">
        <v>0</v>
      </c>
      <c r="B2" s="19" t="s">
        <v>100</v>
      </c>
      <c r="C2" s="19" t="s">
        <v>101</v>
      </c>
      <c r="D2" s="19" t="s">
        <v>103</v>
      </c>
    </row>
    <row r="3" spans="1:4" x14ac:dyDescent="0.25">
      <c r="A3" t="str">
        <f>'I&amp;I Summary ATW-3'!A12</f>
        <v>Sandalhaven</v>
      </c>
      <c r="C3" s="3">
        <f>'I&amp;I Summary ATW-3'!F12</f>
        <v>4225818.9772727285</v>
      </c>
      <c r="D3" s="13">
        <f>'I&amp;I Summary ATW-3'!F12/'I&amp;I Summary ATW-3'!B12</f>
        <v>8.3722041559545907E-2</v>
      </c>
    </row>
    <row r="4" spans="1:4" x14ac:dyDescent="0.25">
      <c r="A4" t="str">
        <f>'I&amp;I Summary ATW-3'!A17</f>
        <v>Wis Bar</v>
      </c>
      <c r="C4" s="3">
        <f>'I&amp;I Summary ATW-3'!F17</f>
        <v>951517.9036363638</v>
      </c>
      <c r="D4" s="13">
        <f>'I&amp;I Summary ATW-3'!F17/'I&amp;I Summary ATW-3'!B17</f>
        <v>0.17217898743585053</v>
      </c>
    </row>
    <row r="5" spans="1:4" x14ac:dyDescent="0.25">
      <c r="A5" t="str">
        <f>'I&amp;I Summary ATW-3'!A21</f>
        <v>Lincoln Heights</v>
      </c>
      <c r="C5" s="3">
        <f>'I&amp;I Summary ATW-3'!F21</f>
        <v>8717899.8636363633</v>
      </c>
      <c r="D5" s="13">
        <f>'I&amp;I Summary ATW-3'!F21/'I&amp;I Summary ATW-3'!B21</f>
        <v>0.37411927708564185</v>
      </c>
    </row>
    <row r="6" spans="1:4" x14ac:dyDescent="0.25">
      <c r="A6" t="str">
        <f>'EUW ATW-2'!A4</f>
        <v>Labrador</v>
      </c>
      <c r="B6" s="20">
        <f>'EUW ATW-2'!G4-0.1</f>
        <v>4.601789609580198E-2</v>
      </c>
    </row>
    <row r="7" spans="1:4" x14ac:dyDescent="0.25">
      <c r="A7" t="str">
        <f>'EUW ATW-2'!A5</f>
        <v>Lake Placid</v>
      </c>
      <c r="B7" s="20">
        <f>'EUW ATW-2'!G5-0.1</f>
        <v>3.0621384586676653E-2</v>
      </c>
    </row>
    <row r="8" spans="1:4" x14ac:dyDescent="0.25">
      <c r="A8" t="str">
        <f>'EUW ATW-2'!A10</f>
        <v>Pasco - Orangewood, etc.</v>
      </c>
      <c r="B8" s="20">
        <f>'EUW ATW-2'!G10-0.1</f>
        <v>7.660683265778806E-2</v>
      </c>
    </row>
    <row r="9" spans="1:4" x14ac:dyDescent="0.25">
      <c r="A9" t="str">
        <f>'EUW ATW-2'!A13</f>
        <v>UIF Marion</v>
      </c>
      <c r="B9" s="20">
        <f>'EUW ATW-2'!G13-0.1</f>
        <v>1.3547617325909422E-2</v>
      </c>
    </row>
    <row r="10" spans="1:4" x14ac:dyDescent="0.25">
      <c r="A10" t="str">
        <f>'EUW ATW-2'!A16</f>
        <v>UIF Pinellas - Lake Tarpon</v>
      </c>
      <c r="B10" s="20">
        <f>'EUW ATW-2'!G16-0.1</f>
        <v>0.10202751629254161</v>
      </c>
    </row>
    <row r="11" spans="1:4" x14ac:dyDescent="0.25">
      <c r="A11" t="str">
        <f>'EUW ATW-2'!A18</f>
        <v>UIF Seminole - Ravenna Park, etc.</v>
      </c>
      <c r="B11" s="20">
        <f>'EUW ATW-2'!G18-0.1</f>
        <v>9.5138306789605692E-3</v>
      </c>
    </row>
    <row r="12" spans="1:4" x14ac:dyDescent="0.25">
      <c r="A12" t="str">
        <f>'EUW ATW-2'!A21</f>
        <v>UIF Seminole - Little Wekiva</v>
      </c>
      <c r="B12" s="20">
        <f>'EUW ATW-2'!G21-0.1</f>
        <v>4.8050898808321474E-2</v>
      </c>
    </row>
    <row r="13" spans="1:4" x14ac:dyDescent="0.25">
      <c r="A13" t="str">
        <f>'EUW ATW-2'!A22</f>
        <v>UIF Seminole - Oakland Shores</v>
      </c>
      <c r="B13" s="20">
        <f>'EUW ATW-2'!G22-0.1</f>
        <v>2.2318911631327376E-2</v>
      </c>
    </row>
    <row r="14" spans="1:4" x14ac:dyDescent="0.25">
      <c r="A14" t="str">
        <f>'EUW ATW-2'!A24</f>
        <v>Uif Seminole - Phillips</v>
      </c>
      <c r="B14" s="20">
        <f>'EUW ATW-2'!G24-0.1</f>
        <v>1.5608808290155499E-2</v>
      </c>
    </row>
    <row r="15" spans="1:4" x14ac:dyDescent="0.25">
      <c r="A15" t="str">
        <f>'EUW ATW-2'!A25</f>
        <v>UIF Seminole - Weathersfield</v>
      </c>
      <c r="B15" s="20">
        <f>'EUW ATW-2'!G25-0.1</f>
        <v>1.3119109685181513E-2</v>
      </c>
    </row>
    <row r="16" spans="1:4" x14ac:dyDescent="0.25">
      <c r="A16" t="str">
        <f>'EUW ATW-2'!A8</f>
        <v>LUSI Lake Saunders</v>
      </c>
      <c r="B16" t="s">
        <v>102</v>
      </c>
    </row>
    <row r="17" spans="1:2" x14ac:dyDescent="0.25">
      <c r="A17" t="str">
        <f>'EUW ATW-2'!A9</f>
        <v>Pasco - Summertree</v>
      </c>
      <c r="B17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Infiltration</vt:lpstr>
      <vt:lpstr>Inflow</vt:lpstr>
      <vt:lpstr>I&amp;I Summary ATW-3</vt:lpstr>
      <vt:lpstr>EUW ATW-2</vt:lpstr>
      <vt:lpstr>UAW I&amp;I Summary</vt:lpstr>
    </vt:vector>
  </TitlesOfParts>
  <Company>Tetra Tech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Woodcock, Andrew</dc:creator>
  <cp:lastModifiedBy>Woodcock, Andrew</cp:lastModifiedBy>
  <dcterms:created xsi:type="dcterms:W3CDTF">2017-01-11T13:51:50Z</dcterms:created>
  <dcterms:modified xsi:type="dcterms:W3CDTF">2017-03-01T14:51:49Z</dcterms:modified>
</cp:coreProperties>
</file>