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40" activeTab="1"/>
  </bookViews>
  <sheets>
    <sheet name="25RE-Repairs" sheetId="3" r:id="rId1"/>
    <sheet name="25DP.03 Cost of Removal" sheetId="5" r:id="rId2"/>
    <sheet name="1.0 Summary by Entity" sheetId="2" r:id="rId3"/>
    <sheet name="Summary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I">#REF!</definedName>
    <definedName name="\p">[1]DE!#REF!</definedName>
    <definedName name="_12MODEPR">#REF!</definedName>
    <definedName name="_5YRALL">#REF!</definedName>
    <definedName name="_5YRBEL">#REF!</definedName>
    <definedName name="_5YRCAPSUM">#REF!</definedName>
    <definedName name="_5YRCORP">#REF!</definedName>
    <definedName name="_5YRDEPRSUM">#REF!</definedName>
    <definedName name="_5YRDOV">#REF!</definedName>
    <definedName name="_5YRDTL">#REF!</definedName>
    <definedName name="_5YREAS">#REF!</definedName>
    <definedName name="_5YRGEO">#REF!</definedName>
    <definedName name="_5YRPOC">#REF!</definedName>
    <definedName name="_5YRSAL">#REF!</definedName>
    <definedName name="_5YRTRANS">#REF!</definedName>
    <definedName name="_ADD105">#REF!</definedName>
    <definedName name="_ADD3651">#REF!</definedName>
    <definedName name="_ADD3652">#REF!</definedName>
    <definedName name="_ADD366">#REF!</definedName>
    <definedName name="_ADD367">#REF!</definedName>
    <definedName name="_ADD368">#REF!</definedName>
    <definedName name="_ADD369">#REF!</definedName>
    <definedName name="_ADD370">#REF!</definedName>
    <definedName name="_ADD371">#REF!</definedName>
    <definedName name="_ADD391">#REF!</definedName>
    <definedName name="_ADD392">#REF!</definedName>
    <definedName name="_ADD394">#REF!</definedName>
    <definedName name="_ADD396">#REF!</definedName>
    <definedName name="_xlnm._FilterDatabase" localSheetId="3" hidden="1">Summary!$A$6:$O$42</definedName>
    <definedName name="_Key1" hidden="1">[2]IncTx_Calc!#REF!</definedName>
    <definedName name="_Order1" hidden="1">255</definedName>
    <definedName name="_RET366">#REF!</definedName>
    <definedName name="_RET367">#REF!</definedName>
    <definedName name="_RET369">#REF!</definedName>
    <definedName name="_RET370">#REF!</definedName>
    <definedName name="_RET371">#REF!</definedName>
    <definedName name="_RET391">#REF!</definedName>
    <definedName name="_RET392">#REF!</definedName>
    <definedName name="_RET394">#REF!</definedName>
    <definedName name="_Sort" hidden="1">[2]IncTx_Calc!#REF!</definedName>
    <definedName name="_TM7915142317">'1.0 Summary by Entity'!$E$42</definedName>
    <definedName name="_TM82615082552">'1.0 Summary by Entity'!$N$11</definedName>
    <definedName name="ACA___GRO_CALC">#REF!</definedName>
    <definedName name="ACQUISITION_ADJ_AMORT">#REF!</definedName>
    <definedName name="AFUDC">#REF!</definedName>
    <definedName name="AMORT_OF_REG_ASSET">#REF!</definedName>
    <definedName name="CAPDETAIL">#REF!</definedName>
    <definedName name="CAPITAL">#REF!</definedName>
    <definedName name="CAPSUM">#REF!</definedName>
    <definedName name="COMMODITY">#REF!</definedName>
    <definedName name="DEMAND">#REF!</definedName>
    <definedName name="DEMAND_STORAGES">#REF!</definedName>
    <definedName name="DEPRBYDIST">#REF!</definedName>
    <definedName name="DEPRCODETAIL">#REF!</definedName>
    <definedName name="DIT_Tax_True_Ups">#REF!</definedName>
    <definedName name="DIVIDEND_DEDUCTION">#REF!</definedName>
    <definedName name="FAS_109">#REF!</definedName>
    <definedName name="Fed_Tax_True_Ups">#REF!</definedName>
    <definedName name="Full_Sample">#REF!</definedName>
    <definedName name="IN_Sample">#REF!</definedName>
    <definedName name="INFO">#REF!</definedName>
    <definedName name="INJ_W_D_S">#REF!</definedName>
    <definedName name="ITC">#REF!</definedName>
    <definedName name="JE">#REF!</definedName>
    <definedName name="LOBBYING">#REF!</definedName>
    <definedName name="MD_TAX_REG_ASSET">#REF!</definedName>
    <definedName name="Meals">#REF!</definedName>
    <definedName name="MERGER_COST_AMORT">#REF!</definedName>
    <definedName name="MERGER_RELATED_EXP">#REF!</definedName>
    <definedName name="NEWDEPR">#REF!</definedName>
    <definedName name="OLDDEPR">#REF!</definedName>
    <definedName name="PAGE1">[1]DE!#REF!</definedName>
    <definedName name="PAGE2">[1]DE!#REF!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ENALTIES">#REF!</definedName>
    <definedName name="PRINT">#REF!</definedName>
    <definedName name="_xlnm.Print_Area" localSheetId="2">'1.0 Summary by Entity'!$A$1:$N$45</definedName>
    <definedName name="PRINT_AREA_MI">'[3]IT Calc'!#REF!</definedName>
    <definedName name="PRINT_EXPLANATI">#REF!</definedName>
    <definedName name="PTI">#REF!</definedName>
    <definedName name="Q1_Q3_Sample">#REF!</definedName>
    <definedName name="RATES">#REF!</definedName>
    <definedName name="REG_LIAB_AMORT_ADIT">#REF!</definedName>
    <definedName name="REGULATORY_LIAB">#REF!</definedName>
    <definedName name="REVENUE">#REF!</definedName>
    <definedName name="ROWS">#REF!</definedName>
    <definedName name="ROWSDEPR">#REF!</definedName>
    <definedName name="ROWSOLD">#REF!</definedName>
    <definedName name="SAMPLE">#REF!</definedName>
    <definedName name="SAMPLESIZE">#REF!</definedName>
    <definedName name="ST_Tax_True_Ups">#REF!</definedName>
    <definedName name="State_Tax">#REF!</definedName>
    <definedName name="Summ">'[4]DEL-updated'!$A$11:$T$372</definedName>
    <definedName name="SUMSTAT">'[5]ESTIMATION SUMMARY'!#REF!</definedName>
    <definedName name="TAX_RATE">#REF!</definedName>
    <definedName name="Total_Tax">#REF!</definedName>
  </definedNames>
  <calcPr calcId="152511"/>
  <pivotCaches>
    <pivotCache cacheId="0" r:id="rId1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5" l="1"/>
  <c r="G24" i="5"/>
  <c r="F16" i="5" l="1"/>
  <c r="H16" i="5"/>
  <c r="E16" i="5"/>
  <c r="J11" i="5"/>
  <c r="D66" i="3" l="1"/>
  <c r="G22" i="5" l="1"/>
  <c r="J22" i="5" s="1"/>
  <c r="H24" i="5"/>
  <c r="F24" i="5"/>
  <c r="J12" i="5"/>
  <c r="J13" i="5"/>
  <c r="J14" i="5"/>
  <c r="E8" i="5"/>
  <c r="F8" i="5"/>
  <c r="A14" i="5"/>
  <c r="A13" i="5"/>
  <c r="A12" i="5"/>
  <c r="A11" i="5"/>
  <c r="J24" i="5" l="1"/>
  <c r="J16" i="5"/>
  <c r="I16" i="5"/>
  <c r="D50" i="3" l="1"/>
  <c r="D52" i="3"/>
  <c r="D53" i="3"/>
  <c r="D54" i="3"/>
  <c r="D55" i="3"/>
  <c r="D56" i="3"/>
  <c r="D57" i="3"/>
  <c r="D48" i="3"/>
  <c r="G50" i="3"/>
  <c r="H50" i="3" s="1"/>
  <c r="G52" i="3"/>
  <c r="H52" i="3"/>
  <c r="G53" i="3"/>
  <c r="H53" i="3" s="1"/>
  <c r="G54" i="3"/>
  <c r="H54" i="3"/>
  <c r="G55" i="3"/>
  <c r="H55" i="3" s="1"/>
  <c r="G56" i="3"/>
  <c r="H56" i="3"/>
  <c r="G57" i="3"/>
  <c r="H57" i="3" s="1"/>
  <c r="G48" i="3"/>
  <c r="H48" i="3"/>
  <c r="E73" i="3" l="1"/>
  <c r="E66" i="3"/>
  <c r="D74" i="3"/>
  <c r="E48" i="3" l="1"/>
  <c r="E50" i="3"/>
  <c r="E52" i="3"/>
  <c r="E53" i="3"/>
  <c r="E54" i="3"/>
  <c r="E55" i="3"/>
  <c r="E56" i="3"/>
  <c r="E57" i="3"/>
  <c r="M40" i="4"/>
  <c r="I38" i="4"/>
  <c r="E38" i="4"/>
  <c r="N37" i="4"/>
  <c r="O37" i="4" s="1"/>
  <c r="K37" i="4"/>
  <c r="I37" i="4"/>
  <c r="E37" i="4"/>
  <c r="N36" i="4"/>
  <c r="O36" i="4" s="1"/>
  <c r="I36" i="4"/>
  <c r="E36" i="4"/>
  <c r="K36" i="4" s="1"/>
  <c r="D35" i="4"/>
  <c r="E35" i="4" s="1"/>
  <c r="N34" i="4"/>
  <c r="O34" i="4" s="1"/>
  <c r="I34" i="4"/>
  <c r="E34" i="4"/>
  <c r="K34" i="4" s="1"/>
  <c r="D33" i="4"/>
  <c r="E33" i="4" s="1"/>
  <c r="D60" i="3" s="1"/>
  <c r="E60" i="3" s="1"/>
  <c r="D32" i="4"/>
  <c r="H32" i="4" s="1"/>
  <c r="I32" i="4" s="1"/>
  <c r="G59" i="3" s="1"/>
  <c r="H59" i="3" s="1"/>
  <c r="D31" i="4"/>
  <c r="I30" i="4"/>
  <c r="E30" i="4"/>
  <c r="D29" i="4"/>
  <c r="I28" i="4"/>
  <c r="E28" i="4"/>
  <c r="N27" i="4"/>
  <c r="O27" i="4" s="1"/>
  <c r="K27" i="4"/>
  <c r="I27" i="4"/>
  <c r="E27" i="4"/>
  <c r="N26" i="4"/>
  <c r="O26" i="4" s="1"/>
  <c r="I26" i="4"/>
  <c r="E26" i="4"/>
  <c r="K26" i="4" s="1"/>
  <c r="I25" i="4"/>
  <c r="E25" i="4"/>
  <c r="I24" i="4"/>
  <c r="E24" i="4"/>
  <c r="N23" i="4"/>
  <c r="O23" i="4" s="1"/>
  <c r="K23" i="4"/>
  <c r="I23" i="4"/>
  <c r="E23" i="4"/>
  <c r="N22" i="4"/>
  <c r="O22" i="4" s="1"/>
  <c r="I22" i="4"/>
  <c r="E22" i="4"/>
  <c r="K22" i="4" s="1"/>
  <c r="U21" i="4"/>
  <c r="N21" i="4"/>
  <c r="O21" i="4" s="1"/>
  <c r="K21" i="4"/>
  <c r="I21" i="4"/>
  <c r="E21" i="4"/>
  <c r="N20" i="4"/>
  <c r="O20" i="4" s="1"/>
  <c r="I20" i="4"/>
  <c r="E20" i="4"/>
  <c r="K20" i="4" s="1"/>
  <c r="I19" i="4"/>
  <c r="E19" i="4"/>
  <c r="N18" i="4"/>
  <c r="O18" i="4" s="1"/>
  <c r="I18" i="4"/>
  <c r="E18" i="4"/>
  <c r="K18" i="4" s="1"/>
  <c r="I17" i="4"/>
  <c r="E17" i="4"/>
  <c r="I16" i="4"/>
  <c r="E16" i="4"/>
  <c r="U15" i="4"/>
  <c r="U18" i="4" s="1"/>
  <c r="S15" i="4"/>
  <c r="S18" i="4" s="1"/>
  <c r="S21" i="4" s="1"/>
  <c r="D15" i="4"/>
  <c r="E15" i="4" s="1"/>
  <c r="D51" i="3" s="1"/>
  <c r="E51" i="3" s="1"/>
  <c r="N14" i="4"/>
  <c r="O14" i="4" s="1"/>
  <c r="I14" i="4"/>
  <c r="E14" i="4"/>
  <c r="K14" i="4" s="1"/>
  <c r="I13" i="4"/>
  <c r="E13" i="4"/>
  <c r="I12" i="4"/>
  <c r="E12" i="4"/>
  <c r="I11" i="4"/>
  <c r="G49" i="3" s="1"/>
  <c r="H49" i="3" s="1"/>
  <c r="E11" i="4"/>
  <c r="D11" i="4"/>
  <c r="H11" i="4" s="1"/>
  <c r="I10" i="4"/>
  <c r="E10" i="4"/>
  <c r="N9" i="4"/>
  <c r="O9" i="4" s="1"/>
  <c r="K9" i="4"/>
  <c r="I9" i="4"/>
  <c r="E9" i="4"/>
  <c r="D8" i="4"/>
  <c r="H8" i="4" s="1"/>
  <c r="I8" i="4" s="1"/>
  <c r="E8" i="4" l="1"/>
  <c r="K8" i="4" s="1"/>
  <c r="D73" i="3"/>
  <c r="I56" i="3"/>
  <c r="K56" i="3" s="1"/>
  <c r="H15" i="4"/>
  <c r="I15" i="4" s="1"/>
  <c r="G51" i="3" s="1"/>
  <c r="H51" i="3" s="1"/>
  <c r="N11" i="4"/>
  <c r="O11" i="4" s="1"/>
  <c r="D49" i="3"/>
  <c r="E49" i="3" s="1"/>
  <c r="E32" i="4"/>
  <c r="H33" i="4"/>
  <c r="I33" i="4" s="1"/>
  <c r="G60" i="3" s="1"/>
  <c r="H60" i="3" s="1"/>
  <c r="H35" i="4"/>
  <c r="I35" i="4" s="1"/>
  <c r="N35" i="4" s="1"/>
  <c r="O35" i="4" s="1"/>
  <c r="K11" i="4"/>
  <c r="N13" i="4"/>
  <c r="O13" i="4" s="1"/>
  <c r="K13" i="4"/>
  <c r="N16" i="4"/>
  <c r="O16" i="4" s="1"/>
  <c r="K16" i="4"/>
  <c r="N10" i="4"/>
  <c r="O10" i="4" s="1"/>
  <c r="K10" i="4"/>
  <c r="N17" i="4"/>
  <c r="O17" i="4" s="1"/>
  <c r="K17" i="4"/>
  <c r="N24" i="4"/>
  <c r="O24" i="4" s="1"/>
  <c r="K24" i="4"/>
  <c r="N28" i="4"/>
  <c r="O28" i="4" s="1"/>
  <c r="K28" i="4"/>
  <c r="N30" i="4"/>
  <c r="O30" i="4" s="1"/>
  <c r="K30" i="4"/>
  <c r="N38" i="4"/>
  <c r="O38" i="4" s="1"/>
  <c r="K38" i="4"/>
  <c r="N8" i="4"/>
  <c r="N12" i="4"/>
  <c r="O12" i="4" s="1"/>
  <c r="K12" i="4"/>
  <c r="N19" i="4"/>
  <c r="O19" i="4" s="1"/>
  <c r="K19" i="4"/>
  <c r="N25" i="4"/>
  <c r="O25" i="4" s="1"/>
  <c r="K25" i="4"/>
  <c r="H29" i="4"/>
  <c r="I29" i="4" s="1"/>
  <c r="E29" i="4"/>
  <c r="H31" i="4"/>
  <c r="I31" i="4" s="1"/>
  <c r="G58" i="3" s="1"/>
  <c r="H58" i="3" s="1"/>
  <c r="E31" i="4"/>
  <c r="D58" i="3" s="1"/>
  <c r="E58" i="3" s="1"/>
  <c r="K15" i="4" l="1"/>
  <c r="K35" i="4"/>
  <c r="H61" i="3"/>
  <c r="N33" i="4"/>
  <c r="O33" i="4" s="1"/>
  <c r="N15" i="4"/>
  <c r="O15" i="4" s="1"/>
  <c r="K33" i="4"/>
  <c r="K32" i="4"/>
  <c r="D59" i="3"/>
  <c r="E59" i="3" s="1"/>
  <c r="E61" i="3" s="1"/>
  <c r="N32" i="4"/>
  <c r="O32" i="4" s="1"/>
  <c r="F73" i="3"/>
  <c r="D77" i="3"/>
  <c r="N31" i="4"/>
  <c r="O31" i="4" s="1"/>
  <c r="K31" i="4"/>
  <c r="N29" i="4"/>
  <c r="O29" i="4" s="1"/>
  <c r="K29" i="4"/>
  <c r="O8" i="4"/>
  <c r="K40" i="4" l="1"/>
  <c r="D78" i="3"/>
  <c r="F27" i="5" s="1"/>
  <c r="F31" i="5" s="1"/>
  <c r="O40" i="4"/>
  <c r="N40" i="4"/>
  <c r="F32" i="5" l="1"/>
  <c r="K36" i="2" l="1"/>
  <c r="J36" i="2"/>
  <c r="I36" i="2"/>
  <c r="H36" i="2"/>
  <c r="G36" i="2"/>
  <c r="L36" i="2" s="1"/>
  <c r="D36" i="2"/>
  <c r="C36" i="2"/>
  <c r="B36" i="2"/>
  <c r="K35" i="2"/>
  <c r="J35" i="2"/>
  <c r="I35" i="2"/>
  <c r="H35" i="2"/>
  <c r="L35" i="2" s="1"/>
  <c r="G35" i="2"/>
  <c r="D35" i="2"/>
  <c r="C35" i="2"/>
  <c r="B35" i="2"/>
  <c r="K34" i="2"/>
  <c r="J34" i="2"/>
  <c r="I34" i="2"/>
  <c r="H34" i="2"/>
  <c r="G34" i="2"/>
  <c r="D34" i="2"/>
  <c r="C34" i="2"/>
  <c r="B34" i="2"/>
  <c r="K33" i="2"/>
  <c r="J33" i="2"/>
  <c r="I33" i="2"/>
  <c r="H33" i="2"/>
  <c r="G33" i="2"/>
  <c r="D33" i="2"/>
  <c r="C33" i="2"/>
  <c r="B33" i="2"/>
  <c r="K32" i="2"/>
  <c r="J32" i="2"/>
  <c r="I32" i="2"/>
  <c r="H32" i="2"/>
  <c r="G32" i="2"/>
  <c r="D32" i="2"/>
  <c r="C32" i="2"/>
  <c r="B32" i="2"/>
  <c r="K31" i="2"/>
  <c r="J31" i="2"/>
  <c r="I31" i="2"/>
  <c r="H31" i="2"/>
  <c r="L31" i="2" s="1"/>
  <c r="G31" i="2"/>
  <c r="D31" i="2"/>
  <c r="C31" i="2"/>
  <c r="B31" i="2"/>
  <c r="K30" i="2"/>
  <c r="J30" i="2"/>
  <c r="I30" i="2"/>
  <c r="H30" i="2"/>
  <c r="G30" i="2"/>
  <c r="D30" i="2"/>
  <c r="C30" i="2"/>
  <c r="B30" i="2"/>
  <c r="K29" i="2"/>
  <c r="J29" i="2"/>
  <c r="I29" i="2"/>
  <c r="H29" i="2"/>
  <c r="G29" i="2"/>
  <c r="D29" i="2"/>
  <c r="C29" i="2"/>
  <c r="B29" i="2"/>
  <c r="K28" i="2"/>
  <c r="J28" i="2"/>
  <c r="I28" i="2"/>
  <c r="H28" i="2"/>
  <c r="G28" i="2"/>
  <c r="D28" i="2"/>
  <c r="C28" i="2"/>
  <c r="B28" i="2"/>
  <c r="K27" i="2"/>
  <c r="J27" i="2"/>
  <c r="I27" i="2"/>
  <c r="H27" i="2"/>
  <c r="L27" i="2" s="1"/>
  <c r="G27" i="2"/>
  <c r="D27" i="2"/>
  <c r="C27" i="2"/>
  <c r="B27" i="2"/>
  <c r="K26" i="2"/>
  <c r="J26" i="2"/>
  <c r="I26" i="2"/>
  <c r="H26" i="2"/>
  <c r="G26" i="2"/>
  <c r="D26" i="2"/>
  <c r="C26" i="2"/>
  <c r="B26" i="2"/>
  <c r="K25" i="2"/>
  <c r="J25" i="2"/>
  <c r="I25" i="2"/>
  <c r="H25" i="2"/>
  <c r="G25" i="2"/>
  <c r="D25" i="2"/>
  <c r="C25" i="2"/>
  <c r="B25" i="2"/>
  <c r="K24" i="2"/>
  <c r="J24" i="2"/>
  <c r="I24" i="2"/>
  <c r="H24" i="2"/>
  <c r="G24" i="2"/>
  <c r="D24" i="2"/>
  <c r="C24" i="2"/>
  <c r="B24" i="2"/>
  <c r="K23" i="2"/>
  <c r="J23" i="2"/>
  <c r="I23" i="2"/>
  <c r="H23" i="2"/>
  <c r="L23" i="2" s="1"/>
  <c r="G23" i="2"/>
  <c r="D23" i="2"/>
  <c r="C23" i="2"/>
  <c r="B23" i="2"/>
  <c r="K22" i="2"/>
  <c r="J22" i="2"/>
  <c r="I22" i="2"/>
  <c r="H22" i="2"/>
  <c r="G22" i="2"/>
  <c r="D22" i="2"/>
  <c r="C22" i="2"/>
  <c r="B22" i="2"/>
  <c r="K21" i="2"/>
  <c r="J21" i="2"/>
  <c r="I21" i="2"/>
  <c r="H21" i="2"/>
  <c r="G21" i="2"/>
  <c r="D21" i="2"/>
  <c r="C21" i="2"/>
  <c r="B21" i="2"/>
  <c r="K20" i="2"/>
  <c r="J20" i="2"/>
  <c r="I20" i="2"/>
  <c r="H20" i="2"/>
  <c r="G20" i="2"/>
  <c r="D20" i="2"/>
  <c r="C20" i="2"/>
  <c r="B20" i="2"/>
  <c r="K19" i="2"/>
  <c r="J19" i="2"/>
  <c r="I19" i="2"/>
  <c r="H19" i="2"/>
  <c r="L19" i="2" s="1"/>
  <c r="G19" i="2"/>
  <c r="D19" i="2"/>
  <c r="C19" i="2"/>
  <c r="B19" i="2"/>
  <c r="K18" i="2"/>
  <c r="J18" i="2"/>
  <c r="I18" i="2"/>
  <c r="H18" i="2"/>
  <c r="G18" i="2"/>
  <c r="F18" i="2"/>
  <c r="E18" i="2"/>
  <c r="D18" i="2"/>
  <c r="C18" i="2"/>
  <c r="B18" i="2"/>
  <c r="K17" i="2"/>
  <c r="J17" i="2"/>
  <c r="I17" i="2"/>
  <c r="H17" i="2"/>
  <c r="G17" i="2"/>
  <c r="F17" i="2"/>
  <c r="F37" i="2" s="1"/>
  <c r="E17" i="2"/>
  <c r="D17" i="2"/>
  <c r="C17" i="2"/>
  <c r="B17" i="2"/>
  <c r="K16" i="2"/>
  <c r="J16" i="2"/>
  <c r="I16" i="2"/>
  <c r="H16" i="2"/>
  <c r="G16" i="2"/>
  <c r="D16" i="2"/>
  <c r="C16" i="2"/>
  <c r="B16" i="2"/>
  <c r="K15" i="2"/>
  <c r="J15" i="2"/>
  <c r="I15" i="2"/>
  <c r="H15" i="2"/>
  <c r="G15" i="2"/>
  <c r="D15" i="2"/>
  <c r="C15" i="2"/>
  <c r="B15" i="2"/>
  <c r="K14" i="2"/>
  <c r="J14" i="2"/>
  <c r="I14" i="2"/>
  <c r="H14" i="2"/>
  <c r="G14" i="2"/>
  <c r="D14" i="2"/>
  <c r="C14" i="2"/>
  <c r="B14" i="2"/>
  <c r="K13" i="2"/>
  <c r="J13" i="2"/>
  <c r="I13" i="2"/>
  <c r="H13" i="2"/>
  <c r="G13" i="2"/>
  <c r="D13" i="2"/>
  <c r="C13" i="2"/>
  <c r="B13" i="2"/>
  <c r="K12" i="2"/>
  <c r="J12" i="2"/>
  <c r="I12" i="2"/>
  <c r="H12" i="2"/>
  <c r="G12" i="2"/>
  <c r="D12" i="2"/>
  <c r="C12" i="2"/>
  <c r="B12" i="2"/>
  <c r="K11" i="2"/>
  <c r="J11" i="2"/>
  <c r="I11" i="2"/>
  <c r="H11" i="2"/>
  <c r="L11" i="2" s="1"/>
  <c r="G11" i="2"/>
  <c r="D11" i="2"/>
  <c r="C11" i="2"/>
  <c r="B11" i="2"/>
  <c r="K10" i="2"/>
  <c r="J10" i="2"/>
  <c r="I10" i="2"/>
  <c r="H10" i="2"/>
  <c r="G10" i="2"/>
  <c r="D10" i="2"/>
  <c r="C10" i="2"/>
  <c r="B10" i="2"/>
  <c r="K9" i="2"/>
  <c r="J9" i="2"/>
  <c r="I9" i="2"/>
  <c r="H9" i="2"/>
  <c r="G9" i="2"/>
  <c r="D9" i="2"/>
  <c r="C9" i="2"/>
  <c r="B9" i="2"/>
  <c r="K8" i="2"/>
  <c r="J8" i="2"/>
  <c r="I8" i="2"/>
  <c r="H8" i="2"/>
  <c r="G8" i="2"/>
  <c r="D8" i="2"/>
  <c r="C8" i="2"/>
  <c r="B8" i="2"/>
  <c r="N11" i="2" l="1"/>
  <c r="H37" i="2"/>
  <c r="O8" i="2"/>
  <c r="O10" i="2"/>
  <c r="O11" i="2"/>
  <c r="P11" i="2" s="1"/>
  <c r="O12" i="2"/>
  <c r="O19" i="2"/>
  <c r="P19" i="2" s="1"/>
  <c r="O24" i="2"/>
  <c r="L25" i="2"/>
  <c r="O25" i="2"/>
  <c r="O26" i="2"/>
  <c r="O27" i="2"/>
  <c r="P27" i="2" s="1"/>
  <c r="O28" i="2"/>
  <c r="L29" i="2"/>
  <c r="O29" i="2"/>
  <c r="O30" i="2"/>
  <c r="O31" i="2"/>
  <c r="P31" i="2" s="1"/>
  <c r="O32" i="2"/>
  <c r="L33" i="2"/>
  <c r="O33" i="2"/>
  <c r="L34" i="2"/>
  <c r="O34" i="2"/>
  <c r="O35" i="2"/>
  <c r="P35" i="2" s="1"/>
  <c r="O36" i="2"/>
  <c r="P36" i="2" s="1"/>
  <c r="L18" i="2"/>
  <c r="O18" i="2"/>
  <c r="I37" i="2"/>
  <c r="L9" i="2"/>
  <c r="P9" i="2" s="1"/>
  <c r="O9" i="2"/>
  <c r="L13" i="2"/>
  <c r="O13" i="2"/>
  <c r="O14" i="2"/>
  <c r="O15" i="2"/>
  <c r="O16" i="2"/>
  <c r="L17" i="2"/>
  <c r="O17" i="2"/>
  <c r="O20" i="2"/>
  <c r="L21" i="2"/>
  <c r="O21" i="2"/>
  <c r="O22" i="2"/>
  <c r="O23" i="2"/>
  <c r="P23" i="2" s="1"/>
  <c r="L12" i="2"/>
  <c r="L16" i="2"/>
  <c r="E37" i="2"/>
  <c r="L20" i="2"/>
  <c r="P20" i="2" s="1"/>
  <c r="L24" i="2"/>
  <c r="L28" i="2"/>
  <c r="L32" i="2"/>
  <c r="P32" i="2" s="1"/>
  <c r="N36" i="2"/>
  <c r="L15" i="2"/>
  <c r="P15" i="2" s="1"/>
  <c r="J37" i="2"/>
  <c r="L10" i="2"/>
  <c r="L22" i="2"/>
  <c r="L14" i="2"/>
  <c r="C37" i="2"/>
  <c r="G37" i="2"/>
  <c r="L8" i="2"/>
  <c r="K37" i="2"/>
  <c r="L26" i="2"/>
  <c r="P26" i="2" s="1"/>
  <c r="B37" i="2"/>
  <c r="L30" i="2"/>
  <c r="D37" i="2"/>
  <c r="P28" i="2" l="1"/>
  <c r="P10" i="2"/>
  <c r="P30" i="2"/>
  <c r="P24" i="2"/>
  <c r="P33" i="2"/>
  <c r="O37" i="2"/>
  <c r="P16" i="2"/>
  <c r="N16" i="2"/>
  <c r="P13" i="2"/>
  <c r="P18" i="2"/>
  <c r="P34" i="2"/>
  <c r="P25" i="2"/>
  <c r="N25" i="2"/>
  <c r="P14" i="2"/>
  <c r="P17" i="2"/>
  <c r="P29" i="2"/>
  <c r="P8" i="2"/>
  <c r="N8" i="2"/>
  <c r="N37" i="2" s="1"/>
  <c r="P22" i="2"/>
  <c r="P12" i="2"/>
  <c r="N12" i="2"/>
  <c r="P21" i="2"/>
  <c r="L37" i="2"/>
  <c r="P37" i="2" s="1"/>
  <c r="E74" i="3" l="1"/>
  <c r="E77" i="3" l="1"/>
  <c r="E78" i="3" s="1"/>
  <c r="G27" i="5" s="1"/>
  <c r="G31" i="5" s="1"/>
  <c r="G32" i="5" s="1"/>
  <c r="F74" i="3"/>
  <c r="F77" i="3" l="1"/>
  <c r="F78" i="3" s="1"/>
  <c r="H27" i="5" s="1"/>
  <c r="H31" i="5" s="1"/>
  <c r="H32" i="5" l="1"/>
</calcChain>
</file>

<file path=xl/comments1.xml><?xml version="1.0" encoding="utf-8"?>
<comments xmlns="http://schemas.openxmlformats.org/spreadsheetml/2006/main">
  <authors>
    <author>Cristiano, Kelly</author>
  </authors>
  <commentList>
    <comment ref="I11" authorId="0">
      <text>
        <r>
          <rPr>
            <b/>
            <sz val="9"/>
            <color indexed="81"/>
            <rFont val="Tahoma"/>
            <family val="2"/>
          </rPr>
          <t>Cristiano, Kelly:</t>
        </r>
        <r>
          <rPr>
            <sz val="9"/>
            <color indexed="81"/>
            <rFont val="Tahoma"/>
            <family val="2"/>
          </rPr>
          <t xml:space="preserve">
Prior year CU without Aspire
</t>
        </r>
      </text>
    </comment>
  </commentList>
</comments>
</file>

<file path=xl/sharedStrings.xml><?xml version="1.0" encoding="utf-8"?>
<sst xmlns="http://schemas.openxmlformats.org/spreadsheetml/2006/main" count="289" uniqueCount="148">
  <si>
    <t>Chesapeake Utilities Corporation</t>
  </si>
  <si>
    <t>Repairs Cost as of 12/31/2013</t>
  </si>
  <si>
    <t>Accumulated Depreciation as of 12/31/2013</t>
  </si>
  <si>
    <t>Net Tax Value - 481(a) as of 12/31/2013</t>
  </si>
  <si>
    <t>2013 Electric Extrapolation 481(a)</t>
  </si>
  <si>
    <t>2014 Electric Depreciation Reversal</t>
  </si>
  <si>
    <t>2014 Repairs Adjustment</t>
  </si>
  <si>
    <t>Dispositions Reversal - 481 (a) as of 12/31/2013</t>
  </si>
  <si>
    <t>2014 Dispositions Reversal</t>
  </si>
  <si>
    <t>Dispositions Reversal - CY Depreciation**</t>
  </si>
  <si>
    <t>Total</t>
  </si>
  <si>
    <t>Repairs and Maintenance Study</t>
  </si>
  <si>
    <t>For the Year Ended December 31, 2014</t>
  </si>
  <si>
    <t>(Favorable)/Unfavorable</t>
  </si>
  <si>
    <t>PwC Entity ID</t>
  </si>
  <si>
    <t>2014 Depreciation Reversal*</t>
  </si>
  <si>
    <t>CFG</t>
  </si>
  <si>
    <t>Corporate</t>
  </si>
  <si>
    <t>Delaware</t>
  </si>
  <si>
    <t>Eastern Shore</t>
  </si>
  <si>
    <t>FF46 FLO GAS FPU</t>
  </si>
  <si>
    <t>FLO GAS FF41 FPU</t>
  </si>
  <si>
    <t>FLO GAS FF43 FPU</t>
  </si>
  <si>
    <t>FLO GAS FF45 FPU</t>
  </si>
  <si>
    <t>FPU- FC 2013</t>
  </si>
  <si>
    <t>FPU FE44 2013</t>
  </si>
  <si>
    <t>FPU FE45 2013</t>
  </si>
  <si>
    <t>FPU- FN41 2013</t>
  </si>
  <si>
    <t>FPU- FN43 2013</t>
  </si>
  <si>
    <t>FPU- FN45 2013</t>
  </si>
  <si>
    <t>FPU Indiantown</t>
  </si>
  <si>
    <t>Maryland</t>
  </si>
  <si>
    <t>MPS</t>
  </si>
  <si>
    <t>Sharp - Allentown</t>
  </si>
  <si>
    <t>Sharp - Belle Haven District</t>
  </si>
  <si>
    <t>Sharp - CGS DE</t>
  </si>
  <si>
    <t>Sharp - CGS MD</t>
  </si>
  <si>
    <t>Sharp - Corporate</t>
  </si>
  <si>
    <t>Sharp - Dover District</t>
  </si>
  <si>
    <t>Sharp - Easton District</t>
  </si>
  <si>
    <t>Sharp - Georgetown District</t>
  </si>
  <si>
    <t>Sharp - Honeybrook District</t>
  </si>
  <si>
    <t>Sharp - Pocomoke District</t>
  </si>
  <si>
    <t>Sharp - Salisbury District</t>
  </si>
  <si>
    <t>Skipjack</t>
  </si>
  <si>
    <t>481(a)</t>
  </si>
  <si>
    <t>CY Depreciation</t>
  </si>
  <si>
    <t>CY Repairs Deduction</t>
  </si>
  <si>
    <t>CY Disposition Reversal</t>
  </si>
  <si>
    <t>*Includes 2014 depreciation for Pre &amp; Post 2014 Repair Adjustments</t>
  </si>
  <si>
    <t>**Includes 2014 depreciation for Pre &amp; Post 2014 Disposal Reversals</t>
  </si>
  <si>
    <r>
      <rPr>
        <b/>
        <sz val="10"/>
        <color rgb="FFFF0000"/>
        <rFont val="Calibri"/>
        <family val="2"/>
      </rPr>
      <t>1.0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   Σ        = 17,341,259</t>
    </r>
  </si>
  <si>
    <t>Flo-Gas</t>
  </si>
  <si>
    <t>FPU</t>
  </si>
  <si>
    <t>Sharpgas</t>
  </si>
  <si>
    <t>ESNG</t>
  </si>
  <si>
    <t>Parent</t>
  </si>
  <si>
    <t>1.0    Σ        = 17,341,259</t>
  </si>
  <si>
    <t>CF00</t>
  </si>
  <si>
    <t>CU00</t>
  </si>
  <si>
    <t>DE00</t>
  </si>
  <si>
    <t>ES00</t>
  </si>
  <si>
    <t>FF00</t>
  </si>
  <si>
    <t>SK00</t>
  </si>
  <si>
    <t>FC00</t>
  </si>
  <si>
    <t>FE00</t>
  </si>
  <si>
    <t>FN00</t>
  </si>
  <si>
    <t>FI00</t>
  </si>
  <si>
    <t>MD00</t>
  </si>
  <si>
    <t>SG00</t>
  </si>
  <si>
    <t>SC00</t>
  </si>
  <si>
    <t>BU</t>
  </si>
  <si>
    <t>Row Labels</t>
  </si>
  <si>
    <t>Grand Total</t>
  </si>
  <si>
    <t>Sum of Total</t>
  </si>
  <si>
    <t xml:space="preserve">Apportionment - Rate Analysis </t>
  </si>
  <si>
    <t>Provision</t>
  </si>
  <si>
    <t>2017 Provision</t>
  </si>
  <si>
    <t>2017 Provision (Tax Reform)</t>
  </si>
  <si>
    <t xml:space="preserve">Impact of Rate Change </t>
  </si>
  <si>
    <t>(2016 Return Rates)</t>
  </si>
  <si>
    <t>(2016 Return Rates - Tax Reform)</t>
  </si>
  <si>
    <t>(2016 Deferred Balances)</t>
  </si>
  <si>
    <t>Fed Rate</t>
  </si>
  <si>
    <t>Blended State</t>
  </si>
  <si>
    <t>Blended Total</t>
  </si>
  <si>
    <t>Change</t>
  </si>
  <si>
    <t>@Provsion Rates</t>
  </si>
  <si>
    <t>@Return Rates</t>
  </si>
  <si>
    <t>Change in Deferred Tax</t>
  </si>
  <si>
    <t>AC00</t>
  </si>
  <si>
    <t>AE01</t>
  </si>
  <si>
    <t>100% OH</t>
  </si>
  <si>
    <t>100% FL</t>
  </si>
  <si>
    <t>100% DE</t>
  </si>
  <si>
    <t>EF00</t>
  </si>
  <si>
    <t>ER00</t>
  </si>
  <si>
    <t>100% MD</t>
  </si>
  <si>
    <t>FT00</t>
  </si>
  <si>
    <t>FM00</t>
  </si>
  <si>
    <t>GE00</t>
  </si>
  <si>
    <t>IN00</t>
  </si>
  <si>
    <t>PC00</t>
  </si>
  <si>
    <t>PP10</t>
  </si>
  <si>
    <t>PP20</t>
  </si>
  <si>
    <t>PS00</t>
  </si>
  <si>
    <t>PS30</t>
  </si>
  <si>
    <t>100% PA</t>
  </si>
  <si>
    <t>SV00</t>
  </si>
  <si>
    <t>Use DE</t>
  </si>
  <si>
    <t>XE00</t>
  </si>
  <si>
    <t>WC00</t>
  </si>
  <si>
    <t>EL17-WC</t>
  </si>
  <si>
    <t>ELIM</t>
  </si>
  <si>
    <t>Note:  PS30 - Steeler was a new division in 2017 and not included in the 2016 Return</t>
  </si>
  <si>
    <t>Rate</t>
  </si>
  <si>
    <t>25RE</t>
  </si>
  <si>
    <t>s/b</t>
  </si>
  <si>
    <t>have</t>
  </si>
  <si>
    <t>ADJ 25RE</t>
  </si>
  <si>
    <t>ADJ 25DP</t>
  </si>
  <si>
    <t>COR</t>
  </si>
  <si>
    <t>ADJ 25DP.05</t>
  </si>
  <si>
    <t>ADJ 25DP.01</t>
  </si>
  <si>
    <t/>
  </si>
  <si>
    <t>SubConsolidated Deferred Balances Report - Fed/State/FBOS (Reporting)</t>
  </si>
  <si>
    <t>BEFORE</t>
  </si>
  <si>
    <t>FL</t>
  </si>
  <si>
    <t>Fed</t>
  </si>
  <si>
    <t>Blended</t>
  </si>
  <si>
    <t>Repairs</t>
  </si>
  <si>
    <t>Seg 3</t>
  </si>
  <si>
    <t>Code</t>
  </si>
  <si>
    <t>Name</t>
  </si>
  <si>
    <t>12/31/2017 Balance</t>
  </si>
  <si>
    <t>Rate Change</t>
  </si>
  <si>
    <t>Protected</t>
  </si>
  <si>
    <t>P</t>
  </si>
  <si>
    <t>25DP.01</t>
  </si>
  <si>
    <t>Depreciation</t>
  </si>
  <si>
    <t>25DP.02</t>
  </si>
  <si>
    <t>Contribution in Aid of Construction</t>
  </si>
  <si>
    <t>25DP.03</t>
  </si>
  <si>
    <t>Cost of Removal</t>
  </si>
  <si>
    <t>25DP.04</t>
  </si>
  <si>
    <t>Asset Gain/Loss</t>
  </si>
  <si>
    <t>Cost of Removal Adjustment</t>
  </si>
  <si>
    <t>2017 TAX REFORM, FT00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</si>
</sst>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_(&quot;$&quot;* #,##0_);_(&quot;$&quot;* \(#,##0\);_(&quot;$&quot;* &quot;-&quot;??_);_(@_)"/>
    <numFmt numFmtId="168" formatCode="0.00000%"/>
    <numFmt numFmtId="169" formatCode="0.000000%"/>
    <numFmt numFmtId="170" formatCode="#,###,##0.00;\(#,###,##0.00\)"/>
    <numFmt numFmtId="171" formatCode="0.0000%"/>
    <numFmt numFmtId="172" formatCode="m/d/yy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0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b/>
      <sz val="10"/>
      <color rgb="FFFF0000"/>
      <name val="Georgia"/>
      <family val="1"/>
    </font>
    <font>
      <sz val="11"/>
      <color theme="1"/>
      <name val="Georgia"/>
      <family val="1"/>
    </font>
    <font>
      <u/>
      <sz val="10"/>
      <color theme="10"/>
      <name val="Arial"/>
      <family val="2"/>
    </font>
    <font>
      <b/>
      <sz val="9"/>
      <color rgb="FFFF0000"/>
      <name val="Georgia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18" fillId="0" borderId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5" applyNumberFormat="0" applyFill="0" applyProtection="0">
      <alignment horizontal="center" wrapText="1"/>
    </xf>
    <xf numFmtId="37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37" fontId="4" fillId="0" borderId="6" applyFont="0" applyFill="0" applyAlignment="0" applyProtection="0"/>
  </cellStyleXfs>
  <cellXfs count="130">
    <xf numFmtId="0" fontId="0" fillId="0" borderId="0" xfId="0"/>
    <xf numFmtId="0" fontId="5" fillId="0" borderId="0" xfId="0" applyFont="1"/>
    <xf numFmtId="0" fontId="3" fillId="0" borderId="1" xfId="0" applyFont="1" applyBorder="1"/>
    <xf numFmtId="164" fontId="0" fillId="0" borderId="0" xfId="0" applyNumberFormat="1" applyFont="1"/>
    <xf numFmtId="0" fontId="3" fillId="0" borderId="1" xfId="0" applyFont="1" applyFill="1" applyBorder="1"/>
    <xf numFmtId="0" fontId="3" fillId="0" borderId="0" xfId="0" applyFont="1" applyFill="1" applyBorder="1"/>
    <xf numFmtId="165" fontId="7" fillId="0" borderId="0" xfId="0" applyNumberFormat="1" applyFont="1" applyAlignment="1">
      <alignment horizontal="center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164" fontId="0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wrapText="1"/>
    </xf>
    <xf numFmtId="164" fontId="8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166" fontId="10" fillId="0" borderId="0" xfId="3" applyNumberFormat="1" applyFont="1" applyAlignment="1">
      <alignment horizontal="center"/>
    </xf>
    <xf numFmtId="167" fontId="6" fillId="0" borderId="0" xfId="0" applyNumberFormat="1" applyFont="1" applyBorder="1"/>
    <xf numFmtId="164" fontId="8" fillId="3" borderId="2" xfId="0" applyNumberFormat="1" applyFont="1" applyFill="1" applyBorder="1"/>
    <xf numFmtId="0" fontId="0" fillId="3" borderId="0" xfId="0" applyFill="1"/>
    <xf numFmtId="164" fontId="0" fillId="3" borderId="0" xfId="0" applyNumberFormat="1" applyFill="1"/>
    <xf numFmtId="164" fontId="8" fillId="4" borderId="2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164" fontId="8" fillId="5" borderId="2" xfId="0" applyNumberFormat="1" applyFont="1" applyFill="1" applyBorder="1"/>
    <xf numFmtId="0" fontId="0" fillId="5" borderId="0" xfId="0" applyFill="1"/>
    <xf numFmtId="164" fontId="0" fillId="5" borderId="0" xfId="0" applyNumberFormat="1" applyFill="1"/>
    <xf numFmtId="164" fontId="8" fillId="6" borderId="2" xfId="0" applyNumberFormat="1" applyFont="1" applyFill="1" applyBorder="1"/>
    <xf numFmtId="0" fontId="0" fillId="6" borderId="0" xfId="0" applyFill="1"/>
    <xf numFmtId="164" fontId="0" fillId="6" borderId="0" xfId="0" applyNumberFormat="1" applyFill="1"/>
    <xf numFmtId="164" fontId="8" fillId="7" borderId="2" xfId="0" applyNumberFormat="1" applyFont="1" applyFill="1" applyBorder="1"/>
    <xf numFmtId="0" fontId="0" fillId="7" borderId="0" xfId="0" applyFill="1"/>
    <xf numFmtId="164" fontId="8" fillId="8" borderId="2" xfId="0" applyNumberFormat="1" applyFont="1" applyFill="1" applyBorder="1"/>
    <xf numFmtId="0" fontId="0" fillId="8" borderId="0" xfId="0" applyFill="1"/>
    <xf numFmtId="164" fontId="0" fillId="8" borderId="0" xfId="0" applyNumberFormat="1" applyFill="1"/>
    <xf numFmtId="164" fontId="0" fillId="7" borderId="0" xfId="0" applyNumberFormat="1" applyFill="1"/>
    <xf numFmtId="164" fontId="0" fillId="0" borderId="0" xfId="0" applyNumberFormat="1"/>
    <xf numFmtId="164" fontId="0" fillId="0" borderId="0" xfId="5" applyNumberFormat="1" applyFont="1"/>
    <xf numFmtId="164" fontId="0" fillId="0" borderId="0" xfId="5" applyNumberFormat="1" applyFont="1" applyAlignment="1">
      <alignment horizontal="left"/>
    </xf>
    <xf numFmtId="164" fontId="0" fillId="0" borderId="0" xfId="5" applyNumberFormat="1" applyFont="1" applyAlignment="1">
      <alignment wrapText="1"/>
    </xf>
    <xf numFmtId="164" fontId="1" fillId="7" borderId="2" xfId="0" applyNumberFormat="1" applyFont="1" applyFill="1" applyBorder="1"/>
    <xf numFmtId="164" fontId="1" fillId="8" borderId="2" xfId="0" applyNumberFormat="1" applyFont="1" applyFill="1" applyBorder="1"/>
    <xf numFmtId="164" fontId="1" fillId="3" borderId="2" xfId="0" applyNumberFormat="1" applyFont="1" applyFill="1" applyBorder="1"/>
    <xf numFmtId="164" fontId="1" fillId="4" borderId="2" xfId="0" applyNumberFormat="1" applyFont="1" applyFill="1" applyBorder="1"/>
    <xf numFmtId="164" fontId="1" fillId="5" borderId="2" xfId="0" applyNumberFormat="1" applyFont="1" applyFill="1" applyBorder="1"/>
    <xf numFmtId="164" fontId="1" fillId="6" borderId="2" xfId="0" applyNumberFormat="1" applyFont="1" applyFill="1" applyBorder="1"/>
    <xf numFmtId="164" fontId="15" fillId="2" borderId="2" xfId="0" applyNumberFormat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16" fillId="0" borderId="0" xfId="7" applyFont="1"/>
    <xf numFmtId="0" fontId="1" fillId="0" borderId="0" xfId="7"/>
    <xf numFmtId="0" fontId="1" fillId="0" borderId="0" xfId="7" applyFill="1"/>
    <xf numFmtId="164" fontId="0" fillId="0" borderId="0" xfId="8" applyNumberFormat="1" applyFont="1"/>
    <xf numFmtId="0" fontId="1" fillId="0" borderId="5" xfId="7" applyBorder="1"/>
    <xf numFmtId="0" fontId="1" fillId="0" borderId="5" xfId="7" applyFill="1" applyBorder="1"/>
    <xf numFmtId="164" fontId="0" fillId="0" borderId="5" xfId="8" quotePrefix="1" applyNumberFormat="1" applyFont="1" applyBorder="1"/>
    <xf numFmtId="164" fontId="0" fillId="0" borderId="5" xfId="8" applyNumberFormat="1" applyFont="1" applyBorder="1" applyAlignment="1">
      <alignment wrapText="1"/>
    </xf>
    <xf numFmtId="0" fontId="1" fillId="0" borderId="0" xfId="7" applyAlignment="1">
      <alignment horizontal="center"/>
    </xf>
    <xf numFmtId="168" fontId="1" fillId="0" borderId="0" xfId="7" applyNumberFormat="1"/>
    <xf numFmtId="168" fontId="0" fillId="0" borderId="0" xfId="9" applyNumberFormat="1" applyFont="1"/>
    <xf numFmtId="168" fontId="0" fillId="0" borderId="0" xfId="9" applyNumberFormat="1" applyFont="1" applyFill="1"/>
    <xf numFmtId="169" fontId="0" fillId="0" borderId="0" xfId="9" applyNumberFormat="1" applyFont="1"/>
    <xf numFmtId="43" fontId="0" fillId="0" borderId="0" xfId="8" applyFont="1"/>
    <xf numFmtId="43" fontId="1" fillId="0" borderId="0" xfId="7" applyNumberFormat="1"/>
    <xf numFmtId="0" fontId="1" fillId="0" borderId="0" xfId="7" applyFill="1" applyAlignment="1">
      <alignment horizontal="center"/>
    </xf>
    <xf numFmtId="168" fontId="1" fillId="0" borderId="0" xfId="7" applyNumberFormat="1" applyFill="1"/>
    <xf numFmtId="170" fontId="18" fillId="0" borderId="0" xfId="10" applyFill="1"/>
    <xf numFmtId="164" fontId="0" fillId="0" borderId="0" xfId="8" applyNumberFormat="1" applyFont="1" applyFill="1"/>
    <xf numFmtId="43" fontId="0" fillId="0" borderId="0" xfId="8" applyFont="1" applyFill="1"/>
    <xf numFmtId="9" fontId="0" fillId="0" borderId="0" xfId="9" applyFont="1" applyFill="1"/>
    <xf numFmtId="10" fontId="0" fillId="0" borderId="0" xfId="9" applyNumberFormat="1" applyFont="1" applyFill="1"/>
    <xf numFmtId="169" fontId="1" fillId="0" borderId="0" xfId="7" applyNumberFormat="1" applyFill="1"/>
    <xf numFmtId="0" fontId="1" fillId="10" borderId="0" xfId="7" applyFill="1" applyAlignment="1">
      <alignment horizontal="center"/>
    </xf>
    <xf numFmtId="0" fontId="1" fillId="10" borderId="0" xfId="7" applyFill="1"/>
    <xf numFmtId="168" fontId="1" fillId="10" borderId="0" xfId="7" applyNumberFormat="1" applyFill="1"/>
    <xf numFmtId="168" fontId="0" fillId="10" borderId="0" xfId="9" applyNumberFormat="1" applyFont="1" applyFill="1"/>
    <xf numFmtId="164" fontId="0" fillId="0" borderId="5" xfId="8" applyNumberFormat="1" applyFont="1" applyBorder="1"/>
    <xf numFmtId="171" fontId="0" fillId="0" borderId="0" xfId="6" applyNumberFormat="1" applyFont="1"/>
    <xf numFmtId="41" fontId="21" fillId="9" borderId="4" xfId="0" applyNumberFormat="1" applyFont="1" applyFill="1" applyBorder="1"/>
    <xf numFmtId="0" fontId="21" fillId="9" borderId="3" xfId="0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41" fontId="0" fillId="11" borderId="0" xfId="0" applyNumberFormat="1" applyFill="1"/>
    <xf numFmtId="0" fontId="0" fillId="11" borderId="0" xfId="0" applyFill="1"/>
    <xf numFmtId="171" fontId="0" fillId="11" borderId="0" xfId="6" applyNumberFormat="1" applyFont="1" applyFill="1"/>
    <xf numFmtId="164" fontId="0" fillId="11" borderId="0" xfId="5" applyNumberFormat="1" applyFont="1" applyFill="1"/>
    <xf numFmtId="37" fontId="0" fillId="0" borderId="0" xfId="0" applyNumberFormat="1"/>
    <xf numFmtId="10" fontId="22" fillId="0" borderId="0" xfId="7" applyNumberFormat="1" applyFont="1" applyAlignment="1">
      <alignment horizontal="center"/>
    </xf>
    <xf numFmtId="0" fontId="0" fillId="0" borderId="5" xfId="0" applyBorder="1"/>
    <xf numFmtId="0" fontId="22" fillId="0" borderId="0" xfId="0" applyFont="1"/>
    <xf numFmtId="0" fontId="0" fillId="0" borderId="0" xfId="0" applyBorder="1"/>
    <xf numFmtId="37" fontId="0" fillId="0" borderId="0" xfId="0" applyNumberFormat="1" applyBorder="1"/>
    <xf numFmtId="37" fontId="0" fillId="0" borderId="5" xfId="0" applyNumberFormat="1" applyBorder="1"/>
    <xf numFmtId="0" fontId="4" fillId="0" borderId="0" xfId="0" applyFont="1"/>
    <xf numFmtId="0" fontId="25" fillId="0" borderId="0" xfId="11" applyFont="1" applyAlignment="1"/>
    <xf numFmtId="0" fontId="4" fillId="0" borderId="0" xfId="7" applyFont="1"/>
    <xf numFmtId="0" fontId="23" fillId="0" borderId="0" xfId="0" applyFont="1"/>
    <xf numFmtId="0" fontId="4" fillId="0" borderId="0" xfId="7" applyFont="1" applyAlignment="1"/>
    <xf numFmtId="0" fontId="4" fillId="0" borderId="0" xfId="12" applyFont="1" applyAlignment="1">
      <alignment horizontal="left" wrapText="1"/>
    </xf>
    <xf numFmtId="0" fontId="27" fillId="0" borderId="0" xfId="7" applyFont="1" applyAlignment="1">
      <alignment horizontal="center"/>
    </xf>
    <xf numFmtId="10" fontId="4" fillId="0" borderId="0" xfId="7" applyNumberFormat="1" applyFont="1"/>
    <xf numFmtId="0" fontId="22" fillId="0" borderId="5" xfId="13" applyFont="1">
      <alignment horizontal="center" wrapText="1"/>
    </xf>
    <xf numFmtId="0" fontId="29" fillId="1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37" fontId="4" fillId="0" borderId="0" xfId="14" applyFont="1" applyAlignment="1">
      <alignment vertical="center"/>
    </xf>
    <xf numFmtId="37" fontId="4" fillId="0" borderId="0" xfId="14" applyFont="1"/>
    <xf numFmtId="37" fontId="4" fillId="0" borderId="0" xfId="14" applyFont="1" applyFill="1"/>
    <xf numFmtId="0" fontId="29" fillId="11" borderId="0" xfId="0" applyFont="1" applyFill="1" applyAlignment="1">
      <alignment vertical="center"/>
    </xf>
    <xf numFmtId="0" fontId="22" fillId="0" borderId="0" xfId="15" applyFont="1"/>
    <xf numFmtId="37" fontId="4" fillId="0" borderId="6" xfId="16" applyFont="1"/>
    <xf numFmtId="172" fontId="28" fillId="13" borderId="0" xfId="13" applyNumberFormat="1" applyFont="1" applyFill="1" applyBorder="1" applyAlignment="1">
      <alignment horizontal="center" vertical="center" wrapText="1"/>
    </xf>
    <xf numFmtId="164" fontId="0" fillId="0" borderId="5" xfId="0" applyNumberFormat="1" applyBorder="1"/>
    <xf numFmtId="0" fontId="22" fillId="0" borderId="0" xfId="0" applyFont="1" applyBorder="1"/>
    <xf numFmtId="164" fontId="0" fillId="0" borderId="0" xfId="0" applyNumberFormat="1" applyBorder="1"/>
    <xf numFmtId="0" fontId="4" fillId="0" borderId="0" xfId="0" applyFont="1" applyBorder="1"/>
    <xf numFmtId="37" fontId="0" fillId="11" borderId="0" xfId="0" applyNumberFormat="1" applyFill="1"/>
    <xf numFmtId="164" fontId="0" fillId="11" borderId="0" xfId="0" applyNumberFormat="1" applyFill="1"/>
    <xf numFmtId="0" fontId="0" fillId="0" borderId="0" xfId="0" applyFill="1" applyAlignment="1">
      <alignment horizontal="left"/>
    </xf>
    <xf numFmtId="41" fontId="0" fillId="0" borderId="0" xfId="0" applyNumberFormat="1" applyFill="1"/>
    <xf numFmtId="0" fontId="0" fillId="0" borderId="0" xfId="0" applyFill="1"/>
    <xf numFmtId="171" fontId="0" fillId="0" borderId="0" xfId="6" applyNumberFormat="1" applyFont="1" applyFill="1"/>
    <xf numFmtId="164" fontId="0" fillId="0" borderId="0" xfId="5" applyNumberFormat="1" applyFont="1" applyFill="1"/>
    <xf numFmtId="164" fontId="0" fillId="0" borderId="0" xfId="0" applyNumberFormat="1" applyFill="1"/>
    <xf numFmtId="0" fontId="22" fillId="0" borderId="0" xfId="11" applyFont="1" applyAlignment="1">
      <alignment horizontal="left" wrapText="1"/>
    </xf>
    <xf numFmtId="0" fontId="4" fillId="0" borderId="0" xfId="7" applyFont="1"/>
    <xf numFmtId="0" fontId="4" fillId="0" borderId="0" xfId="12" applyFont="1" applyAlignment="1">
      <alignment horizontal="left" wrapText="1"/>
    </xf>
    <xf numFmtId="0" fontId="26" fillId="0" borderId="0" xfId="12" applyAlignment="1">
      <alignment horizontal="left" vertical="center" wrapText="1"/>
    </xf>
    <xf numFmtId="0" fontId="0" fillId="0" borderId="0" xfId="0" applyAlignment="1">
      <alignment vertical="center"/>
    </xf>
    <xf numFmtId="0" fontId="27" fillId="12" borderId="0" xfId="7" applyFont="1" applyFill="1" applyAlignment="1">
      <alignment horizontal="center"/>
    </xf>
    <xf numFmtId="0" fontId="17" fillId="0" borderId="0" xfId="7" applyFont="1" applyAlignment="1">
      <alignment horizontal="center"/>
    </xf>
    <xf numFmtId="0" fontId="1" fillId="0" borderId="0" xfId="7" applyAlignment="1">
      <alignment horizontal="center"/>
    </xf>
  </cellXfs>
  <cellStyles count="17">
    <cellStyle name="ColumnHeader" xfId="13"/>
    <cellStyle name="Comma" xfId="5" builtinId="3"/>
    <cellStyle name="Comma 2" xfId="2"/>
    <cellStyle name="Comma 3" xfId="8"/>
    <cellStyle name="FRxAmtStyle 4" xfId="10"/>
    <cellStyle name="Header" xfId="11"/>
    <cellStyle name="Hyperlink" xfId="3" builtinId="8"/>
    <cellStyle name="Normal" xfId="0" builtinId="0"/>
    <cellStyle name="Normal 2" xfId="7"/>
    <cellStyle name="Normal 3" xfId="1"/>
    <cellStyle name="Percent" xfId="6" builtinId="5"/>
    <cellStyle name="Percent 2" xfId="4"/>
    <cellStyle name="Percent 3" xfId="9"/>
    <cellStyle name="SubHeader" xfId="12"/>
    <cellStyle name="TextNumber" xfId="14"/>
    <cellStyle name="TotalNumber" xfId="16"/>
    <cellStyle name="TotalText" xfId="15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7C80"/>
      <color rgb="FF3399FF"/>
      <color rgb="FFFF66CC"/>
      <color rgb="FF66FF66"/>
      <color rgb="FF66FFCC"/>
      <color rgb="FFFFFF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36</xdr:row>
      <xdr:rowOff>23813</xdr:rowOff>
    </xdr:from>
    <xdr:to>
      <xdr:col>1</xdr:col>
      <xdr:colOff>211931</xdr:colOff>
      <xdr:row>37</xdr:row>
      <xdr:rowOff>9526</xdr:rowOff>
    </xdr:to>
    <xdr:pic>
      <xdr:nvPicPr>
        <xdr:cNvPr id="2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5981" y="6719888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392906</xdr:colOff>
      <xdr:row>43</xdr:row>
      <xdr:rowOff>23813</xdr:rowOff>
    </xdr:from>
    <xdr:to>
      <xdr:col>0</xdr:col>
      <xdr:colOff>545306</xdr:colOff>
      <xdr:row>44</xdr:row>
      <xdr:rowOff>9526</xdr:rowOff>
    </xdr:to>
    <xdr:pic>
      <xdr:nvPicPr>
        <xdr:cNvPr id="3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906" y="8024813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6</xdr:col>
      <xdr:colOff>130969</xdr:colOff>
      <xdr:row>36</xdr:row>
      <xdr:rowOff>11906</xdr:rowOff>
    </xdr:from>
    <xdr:to>
      <xdr:col>6</xdr:col>
      <xdr:colOff>283369</xdr:colOff>
      <xdr:row>37</xdr:row>
      <xdr:rowOff>2381</xdr:rowOff>
    </xdr:to>
    <xdr:pic>
      <xdr:nvPicPr>
        <xdr:cNvPr id="4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9144" y="6707981"/>
          <a:ext cx="152400" cy="152400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6\2016%20Tax%20Returns\Apportionment\SK\2016%20Skipjack%20Apportion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Accounting\Tax\2007\2007_2\ES\IT%20accrual_YE_E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Corporate%20Accounting\MonthEnd\CU\2007\11-November\November07%20Ta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Global$\Accounting\Plant%20-%20Capital\2001%20Project%20Accounting\November\2001%20Project%20Accounting%20-%20Nov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wsh3gtsfp04\TLS_WSH3_Grp\TLS\NES\Clients\Stat%20Sampling\Tax%20Sampling\Sullivan%20Cromwell\M&amp;E%202010\New%20SC\Deliverables\Sullivan%20Cromwell%20-%20Estimation%20Results%201.28.1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8\2018%20Regulatory\FPU%20Requests\FN\8.21%20FN%20-%20Support%20before-After%20Fed%20Rate%20Chang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Users\mnolt002\Documentum\Viewed\Chesapeake%20Return%20Calculation%20DRAFT_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%20-%20Tax%20Refor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pportionment Data"/>
      <sheetName val="GAIN LOSS APPORTIONMENT RULES"/>
      <sheetName val="2016 Provision"/>
      <sheetName val="SK BS"/>
      <sheetName val="SK IS"/>
      <sheetName val="allocate by state 2016"/>
      <sheetName val="allocate by state 2015"/>
      <sheetName val="2016 FA Listing Active only"/>
      <sheetName val="DE 2016"/>
      <sheetName val="FL 2016"/>
      <sheetName val="MD 2016"/>
      <sheetName val="DE 2015"/>
      <sheetName val="FL 2015"/>
      <sheetName val="MD 2015"/>
      <sheetName val="Property By State"/>
      <sheetName val="Data"/>
      <sheetName val="MD"/>
      <sheetName val="DE"/>
      <sheetName val="FL"/>
      <sheetName val="TX_IS 2014"/>
      <sheetName val="TX_BS 2014"/>
      <sheetName val="Asset Listing FromFAS"/>
      <sheetName val="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JE"/>
      <sheetName val="5-IMPORT"/>
      <sheetName val="6-MD Tax Chg JE"/>
      <sheetName val="ADIT Rec"/>
      <sheetName val="Md Tax Change"/>
      <sheetName val="Apport w Md tax change"/>
      <sheetName val="ADIT Rec post MD Tax Chang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STIMATION SUMMARY"/>
      <sheetName val="EST SUMMARY (less OT)"/>
      <sheetName val="CREDIT ADJUSTMENT"/>
      <sheetName val="CREDIT ADJ (less OT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N ADIT B-A with 2018 Adj As If"/>
      <sheetName val="FN ADIT Before-After"/>
      <sheetName val="FN FED -  STATE "/>
      <sheetName val="FN-OTP Deferreds"/>
      <sheetName val="Tax Reform Entries TX-SPCL"/>
      <sheetName val="FN ADIT "/>
      <sheetName val="DATA"/>
      <sheetName val="Reg Liab"/>
      <sheetName val="DATA-Reg Liab"/>
      <sheetName val="Q1 Activity FN"/>
      <sheetName val="FN TB"/>
      <sheetName val="ADIT 03 2018"/>
      <sheetName val="ADIT"/>
      <sheetName val="ExpRecl&amp;GrossUp_FRUs"/>
    </sheetNames>
    <sheetDataSet>
      <sheetData sheetId="0" refreshError="1"/>
      <sheetData sheetId="1">
        <row r="34">
          <cell r="F34">
            <v>-654523</v>
          </cell>
          <cell r="L34">
            <v>-528716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 to Return Flux"/>
      <sheetName val="1.0 Summary by Entity"/>
      <sheetName val="YE Summary"/>
      <sheetName val="1.1 ESTIMATION RESULTS SUMMARY"/>
      <sheetName val="2.0 481(a) Adj Summary"/>
      <sheetName val="2.1 481(a) Adj Detail"/>
      <sheetName val="3.0 Electric Extrapol Summary"/>
      <sheetName val="3.1 Electric Extrapol Detail"/>
      <sheetName val="Electric Test Period Summary"/>
      <sheetName val="4.0 2014 Repairs Deduction"/>
      <sheetName val="5.0 Depr. Reversal Summary"/>
      <sheetName val="5.1 Depreciation Detail"/>
      <sheetName val="6.0 Disposal Summary"/>
      <sheetName val="6.1 Disposal 481 (a) Summary"/>
      <sheetName val="6.2 Disposal 481(a) Detail"/>
      <sheetName val="6.3 Disposal CY Depr Summary"/>
      <sheetName val="6.4 Disposal CY Depreciation"/>
      <sheetName val="6.5 Disposal Reversal - 2014"/>
      <sheetName val="7.0 Repairs Pivot for TDS"/>
      <sheetName val="7.1 Disposal Pivot for TDS"/>
      <sheetName val="7.2Disposal Pivot for TDS exc14"/>
      <sheetName val="FAS Listing"/>
      <sheetName val="Sample&amp;NonSample"/>
      <sheetName val="DETAILED NON-SAMPLE ALLOCATION"/>
      <sheetName val="SAMPLE RESULTS"/>
      <sheetName val="Leg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5">
          <cell r="A5" t="str">
            <v>Entity</v>
          </cell>
          <cell r="D5" t="str">
            <v>Repairs Cost</v>
          </cell>
          <cell r="E5" t="str">
            <v>Accumulated Depreciation</v>
          </cell>
          <cell r="F5" t="str">
            <v>Net Tax Value - 481(a)</v>
          </cell>
        </row>
        <row r="6">
          <cell r="A6" t="str">
            <v>In Service Date</v>
          </cell>
        </row>
        <row r="8">
          <cell r="A8" t="str">
            <v>Entity</v>
          </cell>
          <cell r="D8" t="str">
            <v>Sum of Tax Cost</v>
          </cell>
          <cell r="E8" t="str">
            <v>Sum of Old Accumulated 
Depreciation</v>
          </cell>
          <cell r="F8" t="str">
            <v>Sum of 481 (a) Adjustment</v>
          </cell>
        </row>
        <row r="9">
          <cell r="A9" t="str">
            <v>CFG</v>
          </cell>
          <cell r="D9">
            <v>91175.63</v>
          </cell>
          <cell r="E9">
            <v>62765.303699999997</v>
          </cell>
          <cell r="F9">
            <v>28410.326300000001</v>
          </cell>
        </row>
        <row r="10">
          <cell r="A10" t="str">
            <v>CFG</v>
          </cell>
          <cell r="D10">
            <v>168027.09</v>
          </cell>
          <cell r="E10">
            <v>109847.7101</v>
          </cell>
          <cell r="F10">
            <v>58179.3799</v>
          </cell>
        </row>
        <row r="11">
          <cell r="A11" t="str">
            <v>CFG</v>
          </cell>
          <cell r="D11">
            <v>1925.19</v>
          </cell>
          <cell r="E11">
            <v>1102.1713</v>
          </cell>
          <cell r="F11">
            <v>823.01869999999997</v>
          </cell>
        </row>
        <row r="12">
          <cell r="A12" t="str">
            <v>CFG</v>
          </cell>
          <cell r="D12">
            <v>609.28</v>
          </cell>
          <cell r="E12">
            <v>66.837999999999994</v>
          </cell>
          <cell r="F12">
            <v>542.44200000000001</v>
          </cell>
        </row>
        <row r="13">
          <cell r="A13" t="str">
            <v>CFG</v>
          </cell>
          <cell r="D13">
            <v>242528.64000000001</v>
          </cell>
          <cell r="E13">
            <v>134567.0159</v>
          </cell>
          <cell r="F13">
            <v>107961.6241</v>
          </cell>
        </row>
        <row r="14">
          <cell r="A14" t="str">
            <v>CFG</v>
          </cell>
          <cell r="D14">
            <v>143088.97</v>
          </cell>
          <cell r="E14">
            <v>74227.403200000001</v>
          </cell>
          <cell r="F14">
            <v>68861.566800000001</v>
          </cell>
        </row>
        <row r="15">
          <cell r="A15" t="str">
            <v>CFG</v>
          </cell>
          <cell r="D15">
            <v>3659.55</v>
          </cell>
          <cell r="E15">
            <v>55.4422</v>
          </cell>
          <cell r="F15">
            <v>3604.1078000000002</v>
          </cell>
        </row>
        <row r="16">
          <cell r="A16" t="str">
            <v>CFG</v>
          </cell>
          <cell r="D16">
            <v>5827.87</v>
          </cell>
          <cell r="E16">
            <v>72.848399999999998</v>
          </cell>
          <cell r="F16">
            <v>5755.0216</v>
          </cell>
        </row>
        <row r="17">
          <cell r="A17" t="str">
            <v>Corporate</v>
          </cell>
          <cell r="D17">
            <v>1848.25</v>
          </cell>
          <cell r="E17">
            <v>1559.5534</v>
          </cell>
          <cell r="F17">
            <v>288.69659999999999</v>
          </cell>
        </row>
        <row r="18">
          <cell r="A18" t="str">
            <v>Corporate</v>
          </cell>
          <cell r="D18">
            <v>3482.06</v>
          </cell>
          <cell r="E18">
            <v>2416.2013999999999</v>
          </cell>
          <cell r="F18">
            <v>1065.8586</v>
          </cell>
        </row>
        <row r="19">
          <cell r="A19" t="str">
            <v>Corporate</v>
          </cell>
          <cell r="D19">
            <v>6087.86</v>
          </cell>
          <cell r="E19">
            <v>3348.3229999999999</v>
          </cell>
          <cell r="F19">
            <v>2739.5369999999998</v>
          </cell>
        </row>
        <row r="20">
          <cell r="A20" t="str">
            <v>Corporate</v>
          </cell>
          <cell r="D20">
            <v>15160.03</v>
          </cell>
          <cell r="E20">
            <v>8663.1990999999998</v>
          </cell>
          <cell r="F20">
            <v>6496.8308999999999</v>
          </cell>
        </row>
        <row r="21">
          <cell r="A21" t="str">
            <v>Delaware</v>
          </cell>
          <cell r="D21">
            <v>225762.29</v>
          </cell>
          <cell r="E21">
            <v>155414.7604</v>
          </cell>
          <cell r="F21">
            <v>70347.529599999994</v>
          </cell>
        </row>
        <row r="22">
          <cell r="A22" t="str">
            <v>Delaware</v>
          </cell>
          <cell r="D22">
            <v>135982.85999999999</v>
          </cell>
          <cell r="E22">
            <v>88898.794699999999</v>
          </cell>
          <cell r="F22">
            <v>47084.065300000002</v>
          </cell>
        </row>
        <row r="23">
          <cell r="A23" t="str">
            <v>Delaware</v>
          </cell>
          <cell r="D23">
            <v>245127.95</v>
          </cell>
          <cell r="E23">
            <v>136009.24309999999</v>
          </cell>
          <cell r="F23">
            <v>109118.7069</v>
          </cell>
        </row>
        <row r="24">
          <cell r="A24" t="str">
            <v>Delaware</v>
          </cell>
          <cell r="D24">
            <v>292400.75</v>
          </cell>
          <cell r="E24">
            <v>151682.8891</v>
          </cell>
          <cell r="F24">
            <v>140717.8609</v>
          </cell>
        </row>
        <row r="25">
          <cell r="A25" t="str">
            <v>Delaware</v>
          </cell>
          <cell r="D25">
            <v>13453.57</v>
          </cell>
          <cell r="E25">
            <v>11952.8243</v>
          </cell>
          <cell r="F25">
            <v>1500.7456999999999</v>
          </cell>
        </row>
        <row r="26">
          <cell r="A26" t="str">
            <v>Delaware</v>
          </cell>
          <cell r="D26">
            <v>347.57</v>
          </cell>
          <cell r="E26">
            <v>293.27960000000002</v>
          </cell>
          <cell r="F26">
            <v>54.290399999999998</v>
          </cell>
        </row>
        <row r="27">
          <cell r="A27" t="str">
            <v>Delaware</v>
          </cell>
          <cell r="D27">
            <v>5538.32</v>
          </cell>
          <cell r="E27">
            <v>3843.0401999999999</v>
          </cell>
          <cell r="F27">
            <v>1695.2798</v>
          </cell>
        </row>
        <row r="28">
          <cell r="A28" t="str">
            <v>Delaware</v>
          </cell>
          <cell r="D28">
            <v>10371.31</v>
          </cell>
          <cell r="E28">
            <v>5926.6850999999997</v>
          </cell>
          <cell r="F28">
            <v>4444.6248999999998</v>
          </cell>
        </row>
        <row r="29">
          <cell r="A29" t="str">
            <v>Eastern Shore</v>
          </cell>
          <cell r="D29">
            <v>2458.9299999999998</v>
          </cell>
          <cell r="E29">
            <v>1079.7162000000001</v>
          </cell>
          <cell r="F29">
            <v>1379.2138</v>
          </cell>
        </row>
        <row r="30">
          <cell r="A30" t="str">
            <v>Eastern Shore</v>
          </cell>
          <cell r="D30">
            <v>1052.99</v>
          </cell>
          <cell r="E30">
            <v>757.67899999999997</v>
          </cell>
          <cell r="F30">
            <v>295.31099999999998</v>
          </cell>
        </row>
        <row r="31">
          <cell r="A31" t="str">
            <v>Eastern Shore</v>
          </cell>
          <cell r="D31">
            <v>123407.03999999999</v>
          </cell>
          <cell r="E31">
            <v>84953.406300000002</v>
          </cell>
          <cell r="F31">
            <v>38453.633699999998</v>
          </cell>
        </row>
        <row r="32">
          <cell r="A32" t="str">
            <v>Eastern Shore</v>
          </cell>
          <cell r="D32">
            <v>64771.79</v>
          </cell>
          <cell r="E32">
            <v>42344.557699999998</v>
          </cell>
          <cell r="F32">
            <v>22427.2323</v>
          </cell>
        </row>
        <row r="33">
          <cell r="A33" t="str">
            <v>Eastern Shore</v>
          </cell>
          <cell r="D33">
            <v>44585.2</v>
          </cell>
          <cell r="E33">
            <v>25525.026999999998</v>
          </cell>
          <cell r="F33">
            <v>19060.172999999999</v>
          </cell>
        </row>
        <row r="34">
          <cell r="A34" t="str">
            <v>Eastern Shore</v>
          </cell>
          <cell r="D34">
            <v>172633.36</v>
          </cell>
          <cell r="E34">
            <v>90632.513999999996</v>
          </cell>
          <cell r="F34">
            <v>82000.846000000005</v>
          </cell>
        </row>
        <row r="35">
          <cell r="A35" t="str">
            <v>FF46 FLO GAS FPU</v>
          </cell>
          <cell r="D35">
            <v>4730.6000000000004</v>
          </cell>
          <cell r="E35">
            <v>2838.36</v>
          </cell>
          <cell r="F35">
            <v>1892.24</v>
          </cell>
        </row>
        <row r="36">
          <cell r="A36" t="str">
            <v>FLO GAS FF41 FPU</v>
          </cell>
          <cell r="D36">
            <v>10078.549999999999</v>
          </cell>
          <cell r="E36">
            <v>9207.7633000000005</v>
          </cell>
          <cell r="F36">
            <v>870.7867</v>
          </cell>
        </row>
        <row r="37">
          <cell r="A37" t="str">
            <v>FLO GAS FF41 FPU</v>
          </cell>
          <cell r="D37">
            <v>7.24</v>
          </cell>
          <cell r="E37">
            <v>0.45629999999999998</v>
          </cell>
          <cell r="F37">
            <v>6.7836999999999996</v>
          </cell>
        </row>
        <row r="38">
          <cell r="A38" t="str">
            <v>FLO GAS FF41 FPU</v>
          </cell>
          <cell r="D38">
            <v>6782.06</v>
          </cell>
          <cell r="E38">
            <v>983.39869999999996</v>
          </cell>
          <cell r="F38">
            <v>5798.6612999999998</v>
          </cell>
        </row>
        <row r="39">
          <cell r="A39" t="str">
            <v>FLO GAS FF41 FPU</v>
          </cell>
          <cell r="D39">
            <v>18988.37</v>
          </cell>
          <cell r="E39">
            <v>14431.1612</v>
          </cell>
          <cell r="F39">
            <v>4557.2088000000003</v>
          </cell>
        </row>
        <row r="40">
          <cell r="A40" t="str">
            <v>FLO GAS FF41 FPU</v>
          </cell>
          <cell r="D40">
            <v>4135.96</v>
          </cell>
          <cell r="E40">
            <v>2274.7779999999998</v>
          </cell>
          <cell r="F40">
            <v>1861.182</v>
          </cell>
        </row>
        <row r="41">
          <cell r="A41" t="str">
            <v>FLO GAS FF41 FPU</v>
          </cell>
          <cell r="D41">
            <v>15295.52</v>
          </cell>
          <cell r="E41">
            <v>8030.1480000000001</v>
          </cell>
          <cell r="F41">
            <v>7265.3720000000003</v>
          </cell>
        </row>
        <row r="42">
          <cell r="A42" t="str">
            <v>FLO GAS FF41 FPU</v>
          </cell>
          <cell r="D42">
            <v>22029.43</v>
          </cell>
          <cell r="E42">
            <v>13217.657999999999</v>
          </cell>
          <cell r="F42">
            <v>8811.7720000000008</v>
          </cell>
        </row>
        <row r="43">
          <cell r="A43" t="str">
            <v>FLO GAS FF43 FPU</v>
          </cell>
          <cell r="D43">
            <v>11530.5</v>
          </cell>
          <cell r="E43">
            <v>6918.3</v>
          </cell>
          <cell r="F43">
            <v>4612.2</v>
          </cell>
        </row>
        <row r="44">
          <cell r="A44" t="str">
            <v>FLO GAS FF45 FPU</v>
          </cell>
          <cell r="D44">
            <v>5711.23</v>
          </cell>
          <cell r="E44">
            <v>506.41480000000001</v>
          </cell>
          <cell r="F44">
            <v>5204.8152</v>
          </cell>
        </row>
        <row r="45">
          <cell r="A45" t="str">
            <v>FLO GAS FF45 FPU</v>
          </cell>
          <cell r="D45">
            <v>2170.85</v>
          </cell>
          <cell r="E45">
            <v>1983.2886000000001</v>
          </cell>
          <cell r="F45">
            <v>187.56139999999999</v>
          </cell>
        </row>
        <row r="46">
          <cell r="A46" t="str">
            <v>FLO GAS FF45 FPU</v>
          </cell>
          <cell r="D46">
            <v>1257.93</v>
          </cell>
          <cell r="E46">
            <v>1061.4413</v>
          </cell>
          <cell r="F46">
            <v>196.48869999999999</v>
          </cell>
        </row>
        <row r="47">
          <cell r="A47" t="str">
            <v>FLO GAS FF45 FPU</v>
          </cell>
          <cell r="D47">
            <v>1571.02</v>
          </cell>
          <cell r="E47">
            <v>99.0214</v>
          </cell>
          <cell r="F47">
            <v>1471.9985999999999</v>
          </cell>
        </row>
        <row r="48">
          <cell r="A48" t="str">
            <v>FLO GAS FF45 FPU</v>
          </cell>
          <cell r="D48">
            <v>3628.86</v>
          </cell>
          <cell r="E48">
            <v>2757.9335999999998</v>
          </cell>
          <cell r="F48">
            <v>870.92639999999994</v>
          </cell>
        </row>
        <row r="49">
          <cell r="A49" t="str">
            <v>FLO GAS FF45 FPU</v>
          </cell>
          <cell r="D49">
            <v>65899.759999999995</v>
          </cell>
          <cell r="E49">
            <v>774.32219999999995</v>
          </cell>
          <cell r="F49">
            <v>65125.4378</v>
          </cell>
        </row>
        <row r="50">
          <cell r="A50" t="str">
            <v>FLO GAS FF45 FPU</v>
          </cell>
          <cell r="D50">
            <v>1422.38</v>
          </cell>
          <cell r="E50">
            <v>284.476</v>
          </cell>
          <cell r="F50">
            <v>1137.904</v>
          </cell>
        </row>
        <row r="51">
          <cell r="A51" t="str">
            <v>FLO GAS FF45 FPU</v>
          </cell>
          <cell r="D51">
            <v>4323.67</v>
          </cell>
          <cell r="E51">
            <v>2594.2020000000002</v>
          </cell>
          <cell r="F51">
            <v>1729.4680000000001</v>
          </cell>
        </row>
        <row r="52">
          <cell r="A52" t="str">
            <v>FPU- FC 2013</v>
          </cell>
          <cell r="D52">
            <v>15701.1</v>
          </cell>
          <cell r="E52">
            <v>11932.835999999999</v>
          </cell>
          <cell r="F52">
            <v>3768.2640000000001</v>
          </cell>
        </row>
        <row r="53">
          <cell r="A53" t="str">
            <v>FPU FE44 2013</v>
          </cell>
          <cell r="D53">
            <v>19021.48</v>
          </cell>
          <cell r="E53">
            <v>12435.292600000001</v>
          </cell>
          <cell r="F53">
            <v>6586.1873999999998</v>
          </cell>
        </row>
        <row r="54">
          <cell r="A54" t="str">
            <v>FPU FE44 2013</v>
          </cell>
          <cell r="D54">
            <v>95154.37</v>
          </cell>
          <cell r="E54">
            <v>58914.828200000004</v>
          </cell>
          <cell r="F54">
            <v>36239.541799999999</v>
          </cell>
        </row>
        <row r="55">
          <cell r="A55" t="str">
            <v>FPU FE44 2013</v>
          </cell>
          <cell r="D55">
            <v>344355.97</v>
          </cell>
          <cell r="E55">
            <v>191065.91</v>
          </cell>
          <cell r="F55">
            <v>153290.06</v>
          </cell>
        </row>
        <row r="56">
          <cell r="A56" t="str">
            <v>FPU FE44 2013</v>
          </cell>
          <cell r="D56">
            <v>278735.89</v>
          </cell>
          <cell r="E56">
            <v>144594.24290000001</v>
          </cell>
          <cell r="F56">
            <v>134141.6471</v>
          </cell>
        </row>
        <row r="57">
          <cell r="A57" t="str">
            <v>FPU FE44 2013</v>
          </cell>
          <cell r="D57">
            <v>614.35</v>
          </cell>
          <cell r="E57">
            <v>401.63130000000001</v>
          </cell>
          <cell r="F57">
            <v>212.71870000000001</v>
          </cell>
        </row>
        <row r="58">
          <cell r="A58" t="str">
            <v>FPU FE44 2013</v>
          </cell>
          <cell r="D58">
            <v>36505.980000000003</v>
          </cell>
          <cell r="E58">
            <v>22602.677500000002</v>
          </cell>
          <cell r="F58">
            <v>13903.3025</v>
          </cell>
        </row>
        <row r="59">
          <cell r="A59" t="str">
            <v>FPU FE44 2013</v>
          </cell>
          <cell r="D59">
            <v>73247.19</v>
          </cell>
          <cell r="E59">
            <v>40641.203399999999</v>
          </cell>
          <cell r="F59">
            <v>32605.9866</v>
          </cell>
        </row>
        <row r="60">
          <cell r="A60" t="str">
            <v>FPU FE44 2013</v>
          </cell>
          <cell r="D60">
            <v>59869.31</v>
          </cell>
          <cell r="E60">
            <v>31057.204600000001</v>
          </cell>
          <cell r="F60">
            <v>28812.1054</v>
          </cell>
        </row>
        <row r="61">
          <cell r="A61" t="str">
            <v>FPU FE45 2013</v>
          </cell>
          <cell r="D61">
            <v>351486.3</v>
          </cell>
          <cell r="E61">
            <v>229784.1686</v>
          </cell>
          <cell r="F61">
            <v>121702.1314</v>
          </cell>
        </row>
        <row r="62">
          <cell r="A62" t="str">
            <v>FPU FE45 2013</v>
          </cell>
          <cell r="D62">
            <v>430072.99</v>
          </cell>
          <cell r="E62">
            <v>266279.69179999997</v>
          </cell>
          <cell r="F62">
            <v>163793.29819999999</v>
          </cell>
        </row>
        <row r="63">
          <cell r="A63" t="str">
            <v>FPU FE45 2013</v>
          </cell>
          <cell r="D63">
            <v>1408548.04</v>
          </cell>
          <cell r="E63">
            <v>781532.88</v>
          </cell>
          <cell r="F63">
            <v>627015.16</v>
          </cell>
        </row>
        <row r="64">
          <cell r="A64" t="str">
            <v>FPU FE45 2013</v>
          </cell>
          <cell r="D64">
            <v>1108660.3700000001</v>
          </cell>
          <cell r="E64">
            <v>575117.56689999998</v>
          </cell>
          <cell r="F64">
            <v>533542.80310000002</v>
          </cell>
        </row>
        <row r="65">
          <cell r="A65" t="str">
            <v>FPU FE45 2013</v>
          </cell>
          <cell r="D65">
            <v>32413.61</v>
          </cell>
          <cell r="E65">
            <v>20068.886600000002</v>
          </cell>
          <cell r="F65">
            <v>12344.723400000001</v>
          </cell>
        </row>
        <row r="66">
          <cell r="A66" t="str">
            <v>FPU FE45 2013</v>
          </cell>
          <cell r="D66">
            <v>845.61</v>
          </cell>
          <cell r="E66">
            <v>772.54930000000002</v>
          </cell>
          <cell r="F66">
            <v>73.060699999999997</v>
          </cell>
        </row>
        <row r="67">
          <cell r="A67" t="str">
            <v>FPU FE45 2013</v>
          </cell>
          <cell r="D67">
            <v>105846.37</v>
          </cell>
          <cell r="E67">
            <v>58728.858399999997</v>
          </cell>
          <cell r="F67">
            <v>47117.511599999998</v>
          </cell>
        </row>
        <row r="68">
          <cell r="A68" t="str">
            <v>FPU FE45 2013</v>
          </cell>
          <cell r="D68">
            <v>770.6</v>
          </cell>
          <cell r="E68">
            <v>28.8127</v>
          </cell>
          <cell r="F68">
            <v>741.78729999999996</v>
          </cell>
        </row>
        <row r="69">
          <cell r="A69" t="str">
            <v>FPU FE45 2013</v>
          </cell>
          <cell r="D69">
            <v>1799.03</v>
          </cell>
          <cell r="E69">
            <v>1799.03</v>
          </cell>
          <cell r="F69">
            <v>0</v>
          </cell>
        </row>
        <row r="70">
          <cell r="A70" t="str">
            <v>FPU FE45 2013</v>
          </cell>
          <cell r="D70">
            <v>1799.03</v>
          </cell>
          <cell r="E70">
            <v>67.265699999999995</v>
          </cell>
          <cell r="F70">
            <v>1731.7643</v>
          </cell>
        </row>
        <row r="71">
          <cell r="A71" t="str">
            <v>FPU FE45 2013</v>
          </cell>
          <cell r="D71">
            <v>76704.460000000006</v>
          </cell>
          <cell r="E71">
            <v>39790.438600000001</v>
          </cell>
          <cell r="F71">
            <v>36914.021399999998</v>
          </cell>
        </row>
        <row r="72">
          <cell r="A72" t="str">
            <v>FPU- FN41 2013</v>
          </cell>
          <cell r="D72">
            <v>116671.98</v>
          </cell>
          <cell r="E72">
            <v>76274.306899999996</v>
          </cell>
          <cell r="F72">
            <v>40397.6731</v>
          </cell>
        </row>
        <row r="73">
          <cell r="A73" t="str">
            <v>FPU- FN41 2013</v>
          </cell>
          <cell r="D73">
            <v>401877.62</v>
          </cell>
          <cell r="E73">
            <v>222981.79749999999</v>
          </cell>
          <cell r="F73">
            <v>178895.82250000001</v>
          </cell>
        </row>
        <row r="74">
          <cell r="A74" t="str">
            <v>FPU- FN41 2013</v>
          </cell>
          <cell r="D74">
            <v>107.7</v>
          </cell>
          <cell r="E74">
            <v>74.733000000000004</v>
          </cell>
          <cell r="F74">
            <v>32.966999999999999</v>
          </cell>
        </row>
        <row r="75">
          <cell r="A75" t="str">
            <v>FPU- FN41 2013</v>
          </cell>
          <cell r="D75">
            <v>285099.17</v>
          </cell>
          <cell r="E75">
            <v>147895.19440000001</v>
          </cell>
          <cell r="F75">
            <v>137203.97560000001</v>
          </cell>
        </row>
        <row r="76">
          <cell r="A76" t="str">
            <v>FPU- FN41 2013</v>
          </cell>
          <cell r="D76">
            <v>1.19</v>
          </cell>
          <cell r="E76">
            <v>0.77800000000000002</v>
          </cell>
          <cell r="F76">
            <v>0.41199999999999998</v>
          </cell>
        </row>
        <row r="77">
          <cell r="A77" t="str">
            <v>FPU- FN41 2013</v>
          </cell>
          <cell r="D77">
            <v>188.34</v>
          </cell>
          <cell r="E77">
            <v>188.34</v>
          </cell>
          <cell r="F77">
            <v>0</v>
          </cell>
        </row>
        <row r="78">
          <cell r="A78" t="str">
            <v>FPU- FN41 2013</v>
          </cell>
          <cell r="D78">
            <v>188.34</v>
          </cell>
          <cell r="E78">
            <v>16.700099999999999</v>
          </cell>
          <cell r="F78">
            <v>171.63990000000001</v>
          </cell>
        </row>
        <row r="79">
          <cell r="A79" t="str">
            <v>FPU- FN41 2013</v>
          </cell>
          <cell r="D79">
            <v>712.67</v>
          </cell>
          <cell r="E79">
            <v>407.25529999999998</v>
          </cell>
          <cell r="F79">
            <v>305.41469999999998</v>
          </cell>
        </row>
        <row r="80">
          <cell r="A80" t="str">
            <v>FPU- FN43 2013</v>
          </cell>
          <cell r="D80">
            <v>47201.53</v>
          </cell>
          <cell r="E80">
            <v>30858.000199999999</v>
          </cell>
          <cell r="F80">
            <v>16343.5298</v>
          </cell>
        </row>
        <row r="81">
          <cell r="A81" t="str">
            <v>FPU- FN43 2013</v>
          </cell>
          <cell r="D81">
            <v>132720.1</v>
          </cell>
          <cell r="E81">
            <v>73639.747499999998</v>
          </cell>
          <cell r="F81">
            <v>59080.352500000001</v>
          </cell>
        </row>
        <row r="82">
          <cell r="A82" t="str">
            <v>FPU- FN43 2013</v>
          </cell>
          <cell r="D82">
            <v>110271.54</v>
          </cell>
          <cell r="E82">
            <v>57203.361400000002</v>
          </cell>
          <cell r="F82">
            <v>53068.178599999999</v>
          </cell>
        </row>
        <row r="83">
          <cell r="A83" t="str">
            <v>FPU- FN43 2013</v>
          </cell>
          <cell r="D83">
            <v>3426.4</v>
          </cell>
          <cell r="E83">
            <v>1901.1379999999999</v>
          </cell>
          <cell r="F83">
            <v>1525.2619999999999</v>
          </cell>
        </row>
        <row r="84">
          <cell r="A84" t="str">
            <v>FPU- FN43 2013</v>
          </cell>
          <cell r="D84">
            <v>471.04</v>
          </cell>
          <cell r="E84">
            <v>471.04</v>
          </cell>
          <cell r="F84">
            <v>0</v>
          </cell>
        </row>
        <row r="85">
          <cell r="A85" t="str">
            <v>FPU- FN43 2013</v>
          </cell>
          <cell r="D85">
            <v>471.04</v>
          </cell>
          <cell r="E85">
            <v>41.767099999999999</v>
          </cell>
          <cell r="F85">
            <v>429.27289999999999</v>
          </cell>
        </row>
        <row r="86">
          <cell r="A86" t="str">
            <v>FPU- FN43 2013</v>
          </cell>
          <cell r="D86">
            <v>5746.75</v>
          </cell>
          <cell r="E86">
            <v>3987.6698000000001</v>
          </cell>
          <cell r="F86">
            <v>1759.0802000000001</v>
          </cell>
        </row>
        <row r="87">
          <cell r="A87" t="str">
            <v>FPU- FN43 2013</v>
          </cell>
          <cell r="D87">
            <v>20454.669999999998</v>
          </cell>
          <cell r="E87">
            <v>10610.8601</v>
          </cell>
          <cell r="F87">
            <v>9843.8099000000002</v>
          </cell>
        </row>
        <row r="88">
          <cell r="A88" t="str">
            <v>FPU- FN45 2013</v>
          </cell>
          <cell r="D88">
            <v>11824.98</v>
          </cell>
          <cell r="E88">
            <v>6561.0901999999996</v>
          </cell>
          <cell r="F88">
            <v>5263.8897999999999</v>
          </cell>
        </row>
        <row r="89">
          <cell r="A89" t="str">
            <v>FPU- FN45 2013</v>
          </cell>
          <cell r="D89">
            <v>89886.14</v>
          </cell>
          <cell r="E89">
            <v>46628.435100000002</v>
          </cell>
          <cell r="F89">
            <v>43257.704899999997</v>
          </cell>
        </row>
        <row r="90">
          <cell r="A90" t="str">
            <v>FPU- FN45 2013</v>
          </cell>
          <cell r="D90">
            <v>2797.94</v>
          </cell>
          <cell r="E90">
            <v>32.875799999999998</v>
          </cell>
          <cell r="F90">
            <v>2765.0641999999998</v>
          </cell>
        </row>
        <row r="91">
          <cell r="A91" t="str">
            <v>FPU Indiantown</v>
          </cell>
          <cell r="D91">
            <v>25539.85</v>
          </cell>
          <cell r="E91">
            <v>14170.7858</v>
          </cell>
          <cell r="F91">
            <v>11369.064200000001</v>
          </cell>
        </row>
        <row r="92">
          <cell r="A92" t="str">
            <v>FPU Indiantown</v>
          </cell>
          <cell r="D92">
            <v>169.27</v>
          </cell>
          <cell r="E92">
            <v>3.3854000000000002</v>
          </cell>
          <cell r="F92">
            <v>165.88460000000001</v>
          </cell>
        </row>
        <row r="93">
          <cell r="A93" t="str">
            <v>Maryland</v>
          </cell>
          <cell r="D93">
            <v>236067.84</v>
          </cell>
          <cell r="E93">
            <v>162509.1011</v>
          </cell>
          <cell r="F93">
            <v>73558.738899999997</v>
          </cell>
        </row>
        <row r="94">
          <cell r="A94" t="str">
            <v>Maryland</v>
          </cell>
          <cell r="D94">
            <v>58341.9</v>
          </cell>
          <cell r="E94">
            <v>38141.017099999997</v>
          </cell>
          <cell r="F94">
            <v>20200.882900000001</v>
          </cell>
        </row>
        <row r="95">
          <cell r="A95" t="str">
            <v>Maryland</v>
          </cell>
          <cell r="D95">
            <v>230324.54</v>
          </cell>
          <cell r="E95">
            <v>127795.571</v>
          </cell>
          <cell r="F95">
            <v>102528.969</v>
          </cell>
        </row>
        <row r="96">
          <cell r="A96" t="str">
            <v>Maryland</v>
          </cell>
          <cell r="D96">
            <v>223794.02</v>
          </cell>
          <cell r="E96">
            <v>116093.1479</v>
          </cell>
          <cell r="F96">
            <v>107700.87209999999</v>
          </cell>
        </row>
        <row r="97">
          <cell r="A97" t="str">
            <v>Maryland</v>
          </cell>
          <cell r="D97">
            <v>3011.39</v>
          </cell>
          <cell r="E97">
            <v>2317.5657000000001</v>
          </cell>
          <cell r="F97">
            <v>693.82429999999999</v>
          </cell>
        </row>
        <row r="98">
          <cell r="A98" t="str">
            <v>Maryland</v>
          </cell>
          <cell r="D98">
            <v>2830.2</v>
          </cell>
          <cell r="E98">
            <v>2388.1228000000001</v>
          </cell>
          <cell r="F98">
            <v>442.0772</v>
          </cell>
        </row>
        <row r="99">
          <cell r="A99" t="str">
            <v>Maryland</v>
          </cell>
          <cell r="D99">
            <v>1989.55</v>
          </cell>
          <cell r="E99">
            <v>1380.5487000000001</v>
          </cell>
          <cell r="F99">
            <v>609.00130000000001</v>
          </cell>
        </row>
        <row r="100">
          <cell r="A100" t="str">
            <v>Maryland</v>
          </cell>
          <cell r="D100">
            <v>8974.16</v>
          </cell>
          <cell r="E100">
            <v>5128.2837</v>
          </cell>
          <cell r="F100">
            <v>3845.8762999999999</v>
          </cell>
        </row>
        <row r="101">
          <cell r="A101" t="str">
            <v>MPS</v>
          </cell>
          <cell r="D101">
            <v>185.27</v>
          </cell>
          <cell r="E101">
            <v>102.7971</v>
          </cell>
          <cell r="F101">
            <v>82.472899999999996</v>
          </cell>
        </row>
        <row r="102">
          <cell r="A102" t="str">
            <v>Sharp - Allentown</v>
          </cell>
          <cell r="D102">
            <v>2329.59</v>
          </cell>
          <cell r="E102">
            <v>1770.4884</v>
          </cell>
          <cell r="F102">
            <v>559.10159999999996</v>
          </cell>
        </row>
        <row r="103">
          <cell r="A103" t="str">
            <v>Sharp - Allentown</v>
          </cell>
          <cell r="D103">
            <v>11922.88</v>
          </cell>
          <cell r="E103">
            <v>7153.7280000000001</v>
          </cell>
          <cell r="F103">
            <v>4769.152</v>
          </cell>
        </row>
        <row r="104">
          <cell r="A104" t="str">
            <v>Sharp - Belle Haven District</v>
          </cell>
          <cell r="D104">
            <v>3354.43</v>
          </cell>
          <cell r="E104">
            <v>2012.6579999999999</v>
          </cell>
          <cell r="F104">
            <v>1341.7719999999999</v>
          </cell>
        </row>
        <row r="105">
          <cell r="A105" t="str">
            <v>Sharp - Belle Haven District</v>
          </cell>
          <cell r="D105">
            <v>441.29</v>
          </cell>
          <cell r="E105">
            <v>63.060299999999998</v>
          </cell>
          <cell r="F105">
            <v>378.22969999999998</v>
          </cell>
        </row>
        <row r="106">
          <cell r="A106" t="str">
            <v>Sharp - CGS DE</v>
          </cell>
          <cell r="D106">
            <v>25543.65</v>
          </cell>
          <cell r="E106">
            <v>14172.894200000001</v>
          </cell>
          <cell r="F106">
            <v>11370.755800000001</v>
          </cell>
        </row>
        <row r="107">
          <cell r="A107" t="str">
            <v>Sharp - CGS DE</v>
          </cell>
          <cell r="D107">
            <v>1041.9000000000001</v>
          </cell>
          <cell r="E107">
            <v>722.97439999999995</v>
          </cell>
          <cell r="F107">
            <v>318.92559999999997</v>
          </cell>
        </row>
        <row r="108">
          <cell r="A108" t="str">
            <v>Sharp - CGS DE</v>
          </cell>
          <cell r="D108">
            <v>49736.92</v>
          </cell>
          <cell r="E108">
            <v>25801.027300000002</v>
          </cell>
          <cell r="F108">
            <v>23935.8927</v>
          </cell>
        </row>
        <row r="109">
          <cell r="A109" t="str">
            <v>Sharp - CGS MD</v>
          </cell>
          <cell r="D109">
            <v>7217.78</v>
          </cell>
          <cell r="E109">
            <v>4004.7851999999998</v>
          </cell>
          <cell r="F109">
            <v>3212.9947999999999</v>
          </cell>
        </row>
        <row r="110">
          <cell r="A110" t="str">
            <v>Sharp - CGS MD</v>
          </cell>
          <cell r="D110">
            <v>10663.62</v>
          </cell>
          <cell r="E110">
            <v>5531.7529000000004</v>
          </cell>
          <cell r="F110">
            <v>5131.8671000000004</v>
          </cell>
        </row>
        <row r="111">
          <cell r="A111" t="str">
            <v>Sharp - Corporate</v>
          </cell>
          <cell r="D111">
            <v>42541.74</v>
          </cell>
          <cell r="E111">
            <v>32331.722399999999</v>
          </cell>
          <cell r="F111">
            <v>10210.017599999999</v>
          </cell>
        </row>
        <row r="112">
          <cell r="A112" t="str">
            <v>Sharp - Corporate</v>
          </cell>
          <cell r="D112">
            <v>18469.419999999998</v>
          </cell>
          <cell r="E112">
            <v>11081.652</v>
          </cell>
          <cell r="F112">
            <v>7387.768</v>
          </cell>
        </row>
        <row r="113">
          <cell r="A113" t="str">
            <v>Sharp - Dover District</v>
          </cell>
          <cell r="D113">
            <v>1367.7</v>
          </cell>
          <cell r="E113">
            <v>1039.452</v>
          </cell>
          <cell r="F113">
            <v>328.24799999999999</v>
          </cell>
        </row>
        <row r="114">
          <cell r="A114" t="str">
            <v>Sharp - Dover District</v>
          </cell>
          <cell r="D114">
            <v>3203.6</v>
          </cell>
          <cell r="E114">
            <v>1922.16</v>
          </cell>
          <cell r="F114">
            <v>1281.44</v>
          </cell>
        </row>
        <row r="115">
          <cell r="A115" t="str">
            <v>Sharp - Easton District</v>
          </cell>
          <cell r="D115">
            <v>21969.32</v>
          </cell>
          <cell r="E115">
            <v>821.43290000000002</v>
          </cell>
          <cell r="F115">
            <v>21147.8871</v>
          </cell>
        </row>
        <row r="116">
          <cell r="A116" t="str">
            <v>Sharp - Easton District</v>
          </cell>
          <cell r="D116">
            <v>3974.59</v>
          </cell>
          <cell r="E116">
            <v>3020.6884</v>
          </cell>
          <cell r="F116">
            <v>953.90160000000003</v>
          </cell>
        </row>
        <row r="117">
          <cell r="A117" t="str">
            <v>Sharp - Easton District</v>
          </cell>
          <cell r="D117">
            <v>319.45</v>
          </cell>
          <cell r="E117">
            <v>3.7534999999999998</v>
          </cell>
          <cell r="F117">
            <v>315.69650000000001</v>
          </cell>
        </row>
        <row r="118">
          <cell r="A118" t="str">
            <v>Sharp - Easton District</v>
          </cell>
          <cell r="D118">
            <v>8003.55</v>
          </cell>
          <cell r="E118">
            <v>4802.13</v>
          </cell>
          <cell r="F118">
            <v>3201.42</v>
          </cell>
        </row>
        <row r="119">
          <cell r="A119" t="str">
            <v>Sharp - Georgetown District</v>
          </cell>
          <cell r="D119">
            <v>6581.65</v>
          </cell>
          <cell r="E119">
            <v>5002.0540000000001</v>
          </cell>
          <cell r="F119">
            <v>1579.596</v>
          </cell>
        </row>
        <row r="120">
          <cell r="A120" t="str">
            <v>Sharp - Georgetown District</v>
          </cell>
          <cell r="D120">
            <v>8180.75</v>
          </cell>
          <cell r="E120">
            <v>4908.45</v>
          </cell>
          <cell r="F120">
            <v>3272.3</v>
          </cell>
        </row>
        <row r="121">
          <cell r="A121" t="str">
            <v>Sharp - Georgetown District</v>
          </cell>
          <cell r="D121">
            <v>3175.64</v>
          </cell>
          <cell r="E121">
            <v>1814.7194999999999</v>
          </cell>
          <cell r="F121">
            <v>1360.9204999999999</v>
          </cell>
        </row>
        <row r="122">
          <cell r="A122" t="str">
            <v>Sharp - Honeybrook District</v>
          </cell>
          <cell r="D122">
            <v>3686.24</v>
          </cell>
          <cell r="E122">
            <v>2801.5423999999998</v>
          </cell>
          <cell r="F122">
            <v>884.69759999999997</v>
          </cell>
        </row>
        <row r="123">
          <cell r="A123" t="str">
            <v>Sharp - Honeybrook District</v>
          </cell>
          <cell r="D123">
            <v>2778.51</v>
          </cell>
          <cell r="E123">
            <v>1667.106</v>
          </cell>
          <cell r="F123">
            <v>1111.404</v>
          </cell>
        </row>
        <row r="124">
          <cell r="A124" t="str">
            <v>Sharp - Pocomoke District</v>
          </cell>
          <cell r="D124">
            <v>1520.44</v>
          </cell>
          <cell r="E124">
            <v>1155.5344</v>
          </cell>
          <cell r="F124">
            <v>364.90559999999999</v>
          </cell>
        </row>
        <row r="125">
          <cell r="A125" t="str">
            <v>Sharp - Pocomoke District</v>
          </cell>
          <cell r="D125">
            <v>4915.74</v>
          </cell>
          <cell r="E125">
            <v>2949.444</v>
          </cell>
          <cell r="F125">
            <v>1966.296</v>
          </cell>
        </row>
        <row r="126">
          <cell r="A126" t="str">
            <v>Sharp - Salisbury District</v>
          </cell>
          <cell r="D126">
            <v>1409.76</v>
          </cell>
          <cell r="E126">
            <v>1071.4176</v>
          </cell>
          <cell r="F126">
            <v>338.3424</v>
          </cell>
        </row>
        <row r="127">
          <cell r="A127" t="str">
            <v>Sharp - Salisbury District</v>
          </cell>
          <cell r="D127">
            <v>4661.76</v>
          </cell>
          <cell r="E127">
            <v>2797.056</v>
          </cell>
          <cell r="F127">
            <v>1864.704</v>
          </cell>
        </row>
        <row r="128">
          <cell r="A128" t="str">
            <v>Skipjack</v>
          </cell>
          <cell r="D128">
            <v>11425.43</v>
          </cell>
          <cell r="E128">
            <v>7312.2752</v>
          </cell>
          <cell r="F128">
            <v>4113.1548000000003</v>
          </cell>
        </row>
        <row r="129">
          <cell r="A129" t="str">
            <v>Skipjack</v>
          </cell>
          <cell r="D129">
            <v>35600</v>
          </cell>
          <cell r="E129">
            <v>19580</v>
          </cell>
          <cell r="F129">
            <v>16020</v>
          </cell>
        </row>
        <row r="130">
          <cell r="A130" t="str">
            <v>Grand Total</v>
          </cell>
          <cell r="D130">
            <v>8960414.8100000005</v>
          </cell>
          <cell r="E130">
            <v>5070706.9005999975</v>
          </cell>
          <cell r="F130">
            <v>3889707.9094000012</v>
          </cell>
        </row>
        <row r="131">
          <cell r="D131">
            <v>2.1</v>
          </cell>
          <cell r="E131">
            <v>2.1</v>
          </cell>
          <cell r="F131">
            <v>2.1</v>
          </cell>
        </row>
      </sheetData>
      <sheetData sheetId="5" refreshError="1"/>
      <sheetData sheetId="6" refreshError="1">
        <row r="8">
          <cell r="A8" t="str">
            <v>FPU FE44 2013</v>
          </cell>
          <cell r="B8">
            <v>-1798144.0396649397</v>
          </cell>
          <cell r="C8">
            <v>184900.48335447413</v>
          </cell>
          <cell r="D8">
            <v>-1613243.5563104656</v>
          </cell>
        </row>
        <row r="9">
          <cell r="A9" t="str">
            <v>FPU FE45 2013</v>
          </cell>
          <cell r="B9">
            <v>-1810749.1195740695</v>
          </cell>
          <cell r="C9">
            <v>195714.33479417034</v>
          </cell>
          <cell r="D9">
            <v>-1615034.7847798993</v>
          </cell>
        </row>
      </sheetData>
      <sheetData sheetId="7" refreshError="1"/>
      <sheetData sheetId="8" refreshError="1"/>
      <sheetData sheetId="9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6">
          <cell r="A6" t="str">
            <v>Entity</v>
          </cell>
          <cell r="E6" t="str">
            <v>Repairs Deduction</v>
          </cell>
        </row>
        <row r="7">
          <cell r="A7" t="str">
            <v>Expense Amount</v>
          </cell>
        </row>
        <row r="8">
          <cell r="A8" t="str">
            <v>PIS_Year</v>
          </cell>
        </row>
        <row r="10">
          <cell r="A10" t="str">
            <v>PwC_Entity_ID</v>
          </cell>
          <cell r="E10" t="str">
            <v>Sum of Expense Amount</v>
          </cell>
        </row>
        <row r="11">
          <cell r="A11" t="str">
            <v>CFG</v>
          </cell>
          <cell r="E11">
            <v>379485.35751818883</v>
          </cell>
        </row>
        <row r="12">
          <cell r="A12" t="str">
            <v>CFG</v>
          </cell>
          <cell r="E12">
            <v>117.19877847388599</v>
          </cell>
        </row>
        <row r="13">
          <cell r="A13" t="str">
            <v>CFG</v>
          </cell>
          <cell r="E13">
            <v>998.81617755190405</v>
          </cell>
        </row>
        <row r="14">
          <cell r="A14" t="str">
            <v>CFG</v>
          </cell>
          <cell r="E14">
            <v>352.62182621522652</v>
          </cell>
        </row>
        <row r="15">
          <cell r="A15" t="str">
            <v>Corporate</v>
          </cell>
          <cell r="E15">
            <v>16440.581858198231</v>
          </cell>
        </row>
        <row r="16">
          <cell r="A16" t="str">
            <v>Corporate</v>
          </cell>
          <cell r="E16">
            <v>8932.7954120095892</v>
          </cell>
        </row>
        <row r="17">
          <cell r="A17" t="str">
            <v>Delaware</v>
          </cell>
          <cell r="E17">
            <v>408955.585045696</v>
          </cell>
        </row>
        <row r="18">
          <cell r="A18" t="str">
            <v>Delaware</v>
          </cell>
          <cell r="E18">
            <v>8230.3757122615552</v>
          </cell>
        </row>
        <row r="19">
          <cell r="A19" t="str">
            <v>Eastern Shore</v>
          </cell>
          <cell r="E19">
            <v>2879812.0296679502</v>
          </cell>
        </row>
        <row r="20">
          <cell r="A20" t="str">
            <v>FF46 FLO GAS FPU</v>
          </cell>
          <cell r="E20">
            <v>12604.754266868393</v>
          </cell>
        </row>
        <row r="21">
          <cell r="A21" t="str">
            <v>FLO GAS FF41 FPU</v>
          </cell>
          <cell r="E21">
            <v>47747.621948619329</v>
          </cell>
        </row>
        <row r="22">
          <cell r="A22" t="str">
            <v>FLO GAS FF41 FPU</v>
          </cell>
          <cell r="E22">
            <v>3616.3405270604399</v>
          </cell>
        </row>
        <row r="23">
          <cell r="A23" t="str">
            <v>FLO GAS FF43 FPU</v>
          </cell>
          <cell r="E23">
            <v>14621.561546410503</v>
          </cell>
        </row>
        <row r="24">
          <cell r="A24" t="str">
            <v>FLO GAS FF43 FPU</v>
          </cell>
          <cell r="E24">
            <v>332.35386019572798</v>
          </cell>
        </row>
        <row r="25">
          <cell r="A25" t="str">
            <v>FLO GAS FF45 FPU</v>
          </cell>
          <cell r="E25">
            <v>13410.070433657171</v>
          </cell>
        </row>
        <row r="26">
          <cell r="A26" t="str">
            <v>FLO GAS FF45 FPU</v>
          </cell>
          <cell r="E26">
            <v>781.26275146544708</v>
          </cell>
        </row>
        <row r="27">
          <cell r="A27" t="str">
            <v>FLO GAS FF45 FPU</v>
          </cell>
          <cell r="E27">
            <v>3987.3204167882982</v>
          </cell>
        </row>
        <row r="28">
          <cell r="A28" t="str">
            <v>FPU FE44 2013</v>
          </cell>
          <cell r="E28">
            <v>1746976.9944299285</v>
          </cell>
        </row>
        <row r="29">
          <cell r="A29" t="str">
            <v>FPU FE44 2013</v>
          </cell>
          <cell r="E29">
            <v>32027.322255573486</v>
          </cell>
        </row>
        <row r="30">
          <cell r="A30" t="str">
            <v>FPU FE45 2013</v>
          </cell>
          <cell r="E30">
            <v>1627808.235121171</v>
          </cell>
        </row>
        <row r="31">
          <cell r="A31" t="str">
            <v>FPU FE45 2013</v>
          </cell>
          <cell r="E31">
            <v>1676.7172025050511</v>
          </cell>
        </row>
        <row r="32">
          <cell r="A32" t="str">
            <v>FPU FE45 2013</v>
          </cell>
          <cell r="E32">
            <v>17658.12870155686</v>
          </cell>
        </row>
        <row r="33">
          <cell r="A33" t="str">
            <v>FPU- FN41 2013</v>
          </cell>
          <cell r="E33">
            <v>619191.51639522624</v>
          </cell>
        </row>
        <row r="34">
          <cell r="A34" t="str">
            <v>FPU- FN41 2013</v>
          </cell>
          <cell r="E34">
            <v>3729.6744500579889</v>
          </cell>
        </row>
        <row r="35">
          <cell r="A35" t="str">
            <v>FPU- FN43 2013</v>
          </cell>
          <cell r="E35">
            <v>130147.18530382698</v>
          </cell>
        </row>
        <row r="36">
          <cell r="A36" t="str">
            <v>FPU- FN45 2013</v>
          </cell>
          <cell r="E36">
            <v>59372.098552285941</v>
          </cell>
        </row>
        <row r="37">
          <cell r="A37" t="str">
            <v>FPU- FN45 2013</v>
          </cell>
          <cell r="E37">
            <v>5099.430209029093</v>
          </cell>
        </row>
        <row r="38">
          <cell r="A38" t="str">
            <v>FPU Indiantown</v>
          </cell>
          <cell r="E38">
            <v>27.125120643783479</v>
          </cell>
        </row>
        <row r="39">
          <cell r="A39" t="str">
            <v>Maryland</v>
          </cell>
          <cell r="E39">
            <v>204399.34824259736</v>
          </cell>
        </row>
        <row r="40">
          <cell r="A40" t="str">
            <v>Maryland</v>
          </cell>
          <cell r="E40">
            <v>592.76924483792504</v>
          </cell>
        </row>
        <row r="41">
          <cell r="A41" t="str">
            <v>Sharp - Allentown</v>
          </cell>
          <cell r="E41">
            <v>10760.343302153575</v>
          </cell>
        </row>
        <row r="42">
          <cell r="A42" t="str">
            <v>Sharp - Belle Haven District</v>
          </cell>
          <cell r="E42">
            <v>3835.0214002505782</v>
          </cell>
        </row>
        <row r="43">
          <cell r="A43" t="str">
            <v>Sharp - CGS DE</v>
          </cell>
          <cell r="E43">
            <v>47735.812799723673</v>
          </cell>
        </row>
        <row r="44">
          <cell r="A44" t="str">
            <v>Sharp - CGS MD</v>
          </cell>
          <cell r="E44">
            <v>6695.6250050667832</v>
          </cell>
        </row>
        <row r="45">
          <cell r="A45" t="str">
            <v>Sharp - Corporate</v>
          </cell>
          <cell r="E45">
            <v>27017.946778778271</v>
          </cell>
        </row>
        <row r="46">
          <cell r="A46" t="str">
            <v>Sharp - Dover District</v>
          </cell>
          <cell r="E46">
            <v>3592.0417301760431</v>
          </cell>
        </row>
        <row r="47">
          <cell r="A47" t="str">
            <v>Sharp - Easton District</v>
          </cell>
          <cell r="E47">
            <v>7007.0232869190013</v>
          </cell>
        </row>
        <row r="48">
          <cell r="A48" t="str">
            <v>Sharp - Georgetown District</v>
          </cell>
          <cell r="E48">
            <v>9937.8534497096407</v>
          </cell>
        </row>
        <row r="49">
          <cell r="A49" t="str">
            <v>Sharp - Honeybrook District</v>
          </cell>
          <cell r="E49">
            <v>3682.9571203338155</v>
          </cell>
        </row>
        <row r="50">
          <cell r="A50" t="str">
            <v>Sharp - Pocomoke District</v>
          </cell>
          <cell r="E50">
            <v>5095.6353003236427</v>
          </cell>
        </row>
        <row r="51">
          <cell r="A51" t="str">
            <v>Sharp - Salisbury District</v>
          </cell>
          <cell r="E51">
            <v>6350.5704710311484</v>
          </cell>
        </row>
        <row r="52">
          <cell r="A52" t="str">
            <v>Grand Total</v>
          </cell>
          <cell r="E52">
            <v>8380844.0236213151</v>
          </cell>
        </row>
      </sheetData>
      <sheetData sheetId="10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7">
          <cell r="A7" t="str">
            <v>Entity</v>
          </cell>
          <cell r="D7" t="str">
            <v>Current Year Depreciation Reversal</v>
          </cell>
        </row>
        <row r="8">
          <cell r="A8" t="str">
            <v>Entity</v>
          </cell>
          <cell r="D8" t="str">
            <v>Sum of Current Year Depreciation Total</v>
          </cell>
        </row>
        <row r="9">
          <cell r="A9" t="str">
            <v>CFG</v>
          </cell>
          <cell r="D9">
            <v>2840.1208999999999</v>
          </cell>
        </row>
        <row r="10">
          <cell r="A10" t="str">
            <v>CFG</v>
          </cell>
          <cell r="D10">
            <v>5822.1387000000004</v>
          </cell>
        </row>
        <row r="11">
          <cell r="A11" t="str">
            <v>CFG</v>
          </cell>
          <cell r="D11">
            <v>82.301900000000003</v>
          </cell>
        </row>
        <row r="12">
          <cell r="A12" t="str">
            <v>CFG</v>
          </cell>
          <cell r="D12">
            <v>40.6999</v>
          </cell>
        </row>
        <row r="13">
          <cell r="A13" t="str">
            <v>CFG</v>
          </cell>
          <cell r="D13">
            <v>8100.4566000000004</v>
          </cell>
        </row>
        <row r="14">
          <cell r="A14" t="str">
            <v>CFG</v>
          </cell>
          <cell r="D14">
            <v>5165.5118000000002</v>
          </cell>
        </row>
        <row r="15">
          <cell r="A15" t="str">
            <v>CFG</v>
          </cell>
          <cell r="D15">
            <v>196858.03049999999</v>
          </cell>
        </row>
        <row r="16">
          <cell r="A16" t="str">
            <v>CFG</v>
          </cell>
          <cell r="D16">
            <v>110.8844</v>
          </cell>
        </row>
        <row r="17">
          <cell r="A17" t="str">
            <v>CFG</v>
          </cell>
          <cell r="D17">
            <v>145.6968</v>
          </cell>
        </row>
        <row r="18">
          <cell r="A18" t="str">
            <v>CFG</v>
          </cell>
          <cell r="D18">
            <v>60.797499999999999</v>
          </cell>
        </row>
        <row r="19">
          <cell r="A19" t="str">
            <v>CFG</v>
          </cell>
          <cell r="D19">
            <v>15.132099999999999</v>
          </cell>
        </row>
        <row r="20">
          <cell r="A20" t="str">
            <v>CFG</v>
          </cell>
          <cell r="D20">
            <v>4.4077999999999999</v>
          </cell>
        </row>
        <row r="21">
          <cell r="A21" t="str">
            <v>Corporate</v>
          </cell>
          <cell r="D21">
            <v>82.5244</v>
          </cell>
        </row>
        <row r="22">
          <cell r="A22" t="str">
            <v>Corporate</v>
          </cell>
          <cell r="D22">
            <v>304.5061</v>
          </cell>
        </row>
        <row r="23">
          <cell r="A23" t="str">
            <v>Corporate</v>
          </cell>
          <cell r="D23">
            <v>547.90740000000005</v>
          </cell>
        </row>
        <row r="24">
          <cell r="A24" t="str">
            <v>Corporate</v>
          </cell>
          <cell r="D24">
            <v>1856.3457000000001</v>
          </cell>
        </row>
        <row r="25">
          <cell r="A25" t="str">
            <v>Corporate</v>
          </cell>
          <cell r="D25">
            <v>4913.04</v>
          </cell>
        </row>
        <row r="26">
          <cell r="A26" t="str">
            <v>Corporate</v>
          </cell>
          <cell r="D26">
            <v>9394.9694</v>
          </cell>
        </row>
        <row r="27">
          <cell r="A27" t="str">
            <v>Delaware</v>
          </cell>
          <cell r="D27">
            <v>7032.4952999999996</v>
          </cell>
        </row>
        <row r="28">
          <cell r="A28" t="str">
            <v>Delaware</v>
          </cell>
          <cell r="D28">
            <v>4711.8060999999998</v>
          </cell>
        </row>
        <row r="29">
          <cell r="A29" t="str">
            <v>Delaware</v>
          </cell>
          <cell r="D29">
            <v>8187.2735000000002</v>
          </cell>
        </row>
        <row r="30">
          <cell r="A30" t="str">
            <v>Delaware</v>
          </cell>
          <cell r="D30">
            <v>10555.667100000001</v>
          </cell>
        </row>
        <row r="31">
          <cell r="A31" t="str">
            <v>Delaware</v>
          </cell>
          <cell r="D31">
            <v>212145.71230000001</v>
          </cell>
        </row>
        <row r="32">
          <cell r="A32" t="str">
            <v>Delaware</v>
          </cell>
          <cell r="D32">
            <v>600.02919999999995</v>
          </cell>
        </row>
        <row r="33">
          <cell r="A33" t="str">
            <v>Delaware</v>
          </cell>
          <cell r="D33">
            <v>15.519</v>
          </cell>
        </row>
        <row r="34">
          <cell r="A34" t="str">
            <v>Delaware</v>
          </cell>
          <cell r="D34">
            <v>484.3261</v>
          </cell>
        </row>
        <row r="35">
          <cell r="A35" t="str">
            <v>Delaware</v>
          </cell>
          <cell r="D35">
            <v>1269.9668999999999</v>
          </cell>
        </row>
        <row r="36">
          <cell r="A36" t="str">
            <v>Delaware</v>
          </cell>
          <cell r="D36">
            <v>4703.2506999999996</v>
          </cell>
        </row>
        <row r="37">
          <cell r="A37" t="str">
            <v>Eastern Shore</v>
          </cell>
          <cell r="D37">
            <v>145.07689999999999</v>
          </cell>
        </row>
        <row r="38">
          <cell r="A38" t="str">
            <v>Eastern Shore</v>
          </cell>
          <cell r="D38">
            <v>31.063199999999998</v>
          </cell>
        </row>
        <row r="39">
          <cell r="A39" t="str">
            <v>Eastern Shore</v>
          </cell>
          <cell r="D39">
            <v>3844.1293000000001</v>
          </cell>
        </row>
        <row r="40">
          <cell r="A40" t="str">
            <v>Eastern Shore</v>
          </cell>
          <cell r="D40">
            <v>2244.3425000000002</v>
          </cell>
        </row>
        <row r="41">
          <cell r="A41" t="str">
            <v>Eastern Shore</v>
          </cell>
          <cell r="D41">
            <v>1906.0173</v>
          </cell>
        </row>
        <row r="42">
          <cell r="A42" t="str">
            <v>Eastern Shore</v>
          </cell>
          <cell r="D42">
            <v>8200.0846000000001</v>
          </cell>
        </row>
        <row r="43">
          <cell r="A43" t="str">
            <v>Eastern Shore</v>
          </cell>
          <cell r="D43">
            <v>1511901.3158</v>
          </cell>
        </row>
        <row r="44">
          <cell r="A44" t="str">
            <v>FF46 FLO GAS FPU</v>
          </cell>
          <cell r="D44">
            <v>756.89599999999996</v>
          </cell>
        </row>
        <row r="45">
          <cell r="A45" t="str">
            <v>FF46 FLO GAS FPU</v>
          </cell>
          <cell r="D45">
            <v>7562.85</v>
          </cell>
        </row>
        <row r="46">
          <cell r="A46" t="str">
            <v>FLO GAS FF41 FPU</v>
          </cell>
          <cell r="D46">
            <v>580.52449999999999</v>
          </cell>
        </row>
        <row r="47">
          <cell r="A47" t="str">
            <v>FLO GAS FF41 FPU</v>
          </cell>
          <cell r="D47">
            <v>0.18559999999999999</v>
          </cell>
        </row>
        <row r="48">
          <cell r="A48" t="str">
            <v>FLO GAS FF41 FPU</v>
          </cell>
          <cell r="D48">
            <v>579.86609999999996</v>
          </cell>
        </row>
        <row r="49">
          <cell r="A49" t="str">
            <v>FLO GAS FF41 FPU</v>
          </cell>
          <cell r="D49">
            <v>1822.8834999999999</v>
          </cell>
        </row>
        <row r="50">
          <cell r="A50" t="str">
            <v>FLO GAS FF41 FPU</v>
          </cell>
          <cell r="D50">
            <v>372.2364</v>
          </cell>
        </row>
        <row r="51">
          <cell r="A51" t="str">
            <v>FLO GAS FF41 FPU</v>
          </cell>
          <cell r="D51">
            <v>726.53719999999998</v>
          </cell>
        </row>
        <row r="52">
          <cell r="A52" t="str">
            <v>FLO GAS FF41 FPU</v>
          </cell>
          <cell r="D52">
            <v>3524.7087999999999</v>
          </cell>
        </row>
        <row r="53">
          <cell r="A53" t="str">
            <v>FLO GAS FF41 FPU</v>
          </cell>
          <cell r="D53">
            <v>1898.5785000000001</v>
          </cell>
        </row>
        <row r="54">
          <cell r="A54" t="str">
            <v>FLO GAS FF41 FPU</v>
          </cell>
          <cell r="D54">
            <v>28648.572</v>
          </cell>
        </row>
        <row r="55">
          <cell r="A55" t="str">
            <v>FLO GAS FF43 FPU</v>
          </cell>
          <cell r="D55">
            <v>1844.88</v>
          </cell>
        </row>
        <row r="56">
          <cell r="A56" t="str">
            <v>FLO GAS FF43 FPU</v>
          </cell>
          <cell r="D56">
            <v>174.4838</v>
          </cell>
        </row>
        <row r="57">
          <cell r="A57" t="str">
            <v>FLO GAS FF43 FPU</v>
          </cell>
          <cell r="D57">
            <v>8772.9359999999997</v>
          </cell>
        </row>
        <row r="58">
          <cell r="A58" t="str">
            <v>FLO GAS FF45 FPU</v>
          </cell>
          <cell r="D58">
            <v>146.4359</v>
          </cell>
        </row>
        <row r="59">
          <cell r="A59" t="str">
            <v>FLO GAS FF45 FPU</v>
          </cell>
          <cell r="D59">
            <v>125.041</v>
          </cell>
        </row>
        <row r="60">
          <cell r="A60" t="str">
            <v>FLO GAS FF45 FPU</v>
          </cell>
          <cell r="D60">
            <v>56.166600000000003</v>
          </cell>
        </row>
        <row r="61">
          <cell r="A61" t="str">
            <v>FLO GAS FF45 FPU</v>
          </cell>
          <cell r="D61">
            <v>40.280999999999999</v>
          </cell>
        </row>
        <row r="62">
          <cell r="A62" t="str">
            <v>FLO GAS FF45 FPU</v>
          </cell>
          <cell r="D62">
            <v>348.37060000000002</v>
          </cell>
        </row>
        <row r="63">
          <cell r="A63" t="str">
            <v>FLO GAS FF45 FPU</v>
          </cell>
          <cell r="D63">
            <v>1689.6697999999999</v>
          </cell>
        </row>
        <row r="64">
          <cell r="A64" t="str">
            <v>FLO GAS FF45 FPU</v>
          </cell>
          <cell r="D64">
            <v>455.16160000000002</v>
          </cell>
        </row>
        <row r="65">
          <cell r="A65" t="str">
            <v>FLO GAS FF45 FPU</v>
          </cell>
          <cell r="D65">
            <v>691.78719999999998</v>
          </cell>
        </row>
        <row r="66">
          <cell r="A66" t="str">
            <v>FLO GAS FF45 FPU</v>
          </cell>
          <cell r="D66">
            <v>410.16149999999999</v>
          </cell>
        </row>
        <row r="67">
          <cell r="A67" t="str">
            <v>FLO GAS FF45 FPU</v>
          </cell>
          <cell r="D67">
            <v>46.850999999999999</v>
          </cell>
        </row>
        <row r="68">
          <cell r="A68" t="str">
            <v>FLO GAS FF45 FPU</v>
          </cell>
          <cell r="D68">
            <v>8046.0420000000004</v>
          </cell>
        </row>
        <row r="69">
          <cell r="A69" t="str">
            <v>FPU- FC 2013</v>
          </cell>
          <cell r="D69">
            <v>1507.3055999999999</v>
          </cell>
        </row>
        <row r="70">
          <cell r="A70" t="str">
            <v>FPU FE44 2013</v>
          </cell>
          <cell r="D70">
            <v>659.09429999999998</v>
          </cell>
        </row>
        <row r="71">
          <cell r="A71" t="str">
            <v>FPU FE44 2013</v>
          </cell>
          <cell r="D71">
            <v>2716.6572999999999</v>
          </cell>
        </row>
        <row r="72">
          <cell r="A72" t="str">
            <v>FPU FE44 2013</v>
          </cell>
          <cell r="D72">
            <v>11501.4894</v>
          </cell>
        </row>
        <row r="73">
          <cell r="A73" t="str">
            <v>FPU FE44 2013</v>
          </cell>
          <cell r="D73">
            <v>10062.365599999999</v>
          </cell>
        </row>
        <row r="74">
          <cell r="A74" t="str">
            <v>FPU FE44 2013</v>
          </cell>
          <cell r="D74">
            <v>906244.31359999999</v>
          </cell>
        </row>
        <row r="75">
          <cell r="A75" t="str">
            <v>FPU FE44 2013</v>
          </cell>
          <cell r="D75">
            <v>21.287199999999999</v>
          </cell>
        </row>
        <row r="76">
          <cell r="A76" t="str">
            <v>FPU FE44 2013</v>
          </cell>
          <cell r="D76">
            <v>1042.2456999999999</v>
          </cell>
        </row>
        <row r="77">
          <cell r="A77" t="str">
            <v>FPU FE44 2013</v>
          </cell>
          <cell r="D77">
            <v>2446.4560999999999</v>
          </cell>
        </row>
        <row r="78">
          <cell r="A78" t="str">
            <v>FPU FE44 2013</v>
          </cell>
          <cell r="D78">
            <v>2161.2820999999999</v>
          </cell>
        </row>
        <row r="79">
          <cell r="A79" t="str">
            <v>FPU FE44 2013</v>
          </cell>
          <cell r="D79">
            <v>16614.172299999998</v>
          </cell>
        </row>
        <row r="80">
          <cell r="A80" t="str">
            <v>FPU FE45 2013</v>
          </cell>
          <cell r="D80">
            <v>12179.0003</v>
          </cell>
        </row>
        <row r="81">
          <cell r="A81" t="str">
            <v>FPU FE45 2013</v>
          </cell>
          <cell r="D81">
            <v>12278.5839</v>
          </cell>
        </row>
        <row r="82">
          <cell r="A82" t="str">
            <v>FPU FE45 2013</v>
          </cell>
          <cell r="D82">
            <v>47045.504500000003</v>
          </cell>
        </row>
        <row r="83">
          <cell r="A83" t="str">
            <v>FPU FE45 2013</v>
          </cell>
          <cell r="D83">
            <v>40022.6394</v>
          </cell>
        </row>
        <row r="84">
          <cell r="A84" t="str">
            <v>FPU FE45 2013</v>
          </cell>
          <cell r="D84">
            <v>844425.52450000006</v>
          </cell>
        </row>
        <row r="85">
          <cell r="A85" t="str">
            <v>FPU FE45 2013</v>
          </cell>
          <cell r="D85">
            <v>925.40859999999998</v>
          </cell>
        </row>
        <row r="86">
          <cell r="A86" t="str">
            <v>FPU FE45 2013</v>
          </cell>
          <cell r="D86">
            <v>48.707099999999997</v>
          </cell>
        </row>
        <row r="87">
          <cell r="A87" t="str">
            <v>FPU FE45 2013</v>
          </cell>
          <cell r="D87">
            <v>3535.2687999999998</v>
          </cell>
        </row>
        <row r="88">
          <cell r="A88" t="str">
            <v>FPU FE45 2013</v>
          </cell>
          <cell r="D88">
            <v>19.758199999999999</v>
          </cell>
        </row>
        <row r="89">
          <cell r="A89" t="str">
            <v>FPU FE45 2013</v>
          </cell>
          <cell r="D89">
            <v>0</v>
          </cell>
        </row>
        <row r="90">
          <cell r="A90" t="str">
            <v>FPU FE45 2013</v>
          </cell>
          <cell r="D90">
            <v>46.127099999999999</v>
          </cell>
        </row>
        <row r="91">
          <cell r="A91" t="str">
            <v>FPU FE45 2013</v>
          </cell>
          <cell r="D91">
            <v>2769.0309999999999</v>
          </cell>
        </row>
        <row r="92">
          <cell r="A92" t="str">
            <v>FPU FE45 2013</v>
          </cell>
          <cell r="D92">
            <v>869.79849999999999</v>
          </cell>
        </row>
        <row r="93">
          <cell r="A93" t="str">
            <v>FPU FE45 2013</v>
          </cell>
          <cell r="D93">
            <v>207.483</v>
          </cell>
        </row>
        <row r="94">
          <cell r="A94" t="str">
            <v>FPU- FN41 2013</v>
          </cell>
          <cell r="D94">
            <v>4042.6840999999999</v>
          </cell>
        </row>
        <row r="95">
          <cell r="A95" t="str">
            <v>FPU- FN41 2013</v>
          </cell>
          <cell r="D95">
            <v>13422.7125</v>
          </cell>
        </row>
        <row r="96">
          <cell r="A96" t="str">
            <v>FPU- FN41 2013</v>
          </cell>
          <cell r="D96">
            <v>9.4184000000000001</v>
          </cell>
        </row>
        <row r="97">
          <cell r="A97" t="str">
            <v>FPU- FN41 2013</v>
          </cell>
          <cell r="D97">
            <v>10292.08</v>
          </cell>
        </row>
        <row r="98">
          <cell r="A98" t="str">
            <v>FPU- FN41 2013</v>
          </cell>
          <cell r="D98">
            <v>321205.60100000002</v>
          </cell>
        </row>
        <row r="99">
          <cell r="A99" t="str">
            <v>FPU- FN41 2013</v>
          </cell>
          <cell r="D99">
            <v>4.1200000000000001E-2</v>
          </cell>
        </row>
        <row r="100">
          <cell r="A100" t="str">
            <v>FPU- FN41 2013</v>
          </cell>
          <cell r="D100">
            <v>0</v>
          </cell>
        </row>
        <row r="101">
          <cell r="A101" t="str">
            <v>FPU- FN41 2013</v>
          </cell>
          <cell r="D101">
            <v>4.8289999999999997</v>
          </cell>
        </row>
        <row r="102">
          <cell r="A102" t="str">
            <v>FPU- FN41 2013</v>
          </cell>
          <cell r="D102">
            <v>87.266400000000004</v>
          </cell>
        </row>
        <row r="103">
          <cell r="A103" t="str">
            <v>FPU- FN41 2013</v>
          </cell>
          <cell r="D103">
            <v>2131.3199</v>
          </cell>
        </row>
        <row r="104">
          <cell r="A104" t="str">
            <v>FPU- FN43 2013</v>
          </cell>
          <cell r="D104">
            <v>1635.5329999999999</v>
          </cell>
        </row>
        <row r="105">
          <cell r="A105" t="str">
            <v>FPU- FN43 2013</v>
          </cell>
          <cell r="D105">
            <v>4432.8513000000003</v>
          </cell>
        </row>
        <row r="106">
          <cell r="A106" t="str">
            <v>FPU- FN43 2013</v>
          </cell>
          <cell r="D106">
            <v>3980.8026</v>
          </cell>
        </row>
        <row r="107">
          <cell r="A107" t="str">
            <v>FPU- FN43 2013</v>
          </cell>
          <cell r="D107">
            <v>67513.854800000001</v>
          </cell>
        </row>
        <row r="108">
          <cell r="A108" t="str">
            <v>FPU- FN43 2013</v>
          </cell>
          <cell r="D108">
            <v>114.4418</v>
          </cell>
        </row>
        <row r="109">
          <cell r="A109" t="str">
            <v>FPU- FN43 2013</v>
          </cell>
          <cell r="D109">
            <v>0</v>
          </cell>
        </row>
        <row r="110">
          <cell r="A110" t="str">
            <v>FPU- FN43 2013</v>
          </cell>
          <cell r="D110">
            <v>12.077500000000001</v>
          </cell>
        </row>
        <row r="111">
          <cell r="A111" t="str">
            <v>FPU- FN43 2013</v>
          </cell>
          <cell r="D111">
            <v>502.55329999999998</v>
          </cell>
        </row>
        <row r="112">
          <cell r="A112" t="str">
            <v>FPU- FN43 2013</v>
          </cell>
          <cell r="D112">
            <v>738.41359999999997</v>
          </cell>
        </row>
        <row r="113">
          <cell r="A113" t="str">
            <v>FPU- FN45 2013</v>
          </cell>
          <cell r="D113">
            <v>394.95429999999999</v>
          </cell>
        </row>
        <row r="114">
          <cell r="A114" t="str">
            <v>FPU- FN45 2013</v>
          </cell>
          <cell r="D114">
            <v>3244.8897000000002</v>
          </cell>
        </row>
        <row r="115">
          <cell r="A115" t="str">
            <v>FPU- FN45 2013</v>
          </cell>
          <cell r="D115">
            <v>30799.276900000001</v>
          </cell>
        </row>
        <row r="116">
          <cell r="A116" t="str">
            <v>FPU- FN45 2013</v>
          </cell>
          <cell r="D116">
            <v>71.739199999999997</v>
          </cell>
        </row>
        <row r="117">
          <cell r="A117" t="str">
            <v>FPU- FN45 2013</v>
          </cell>
          <cell r="D117">
            <v>59.918300000000002</v>
          </cell>
        </row>
        <row r="118">
          <cell r="A118" t="str">
            <v>FPU Indiantown</v>
          </cell>
          <cell r="D118">
            <v>853.03099999999995</v>
          </cell>
        </row>
        <row r="119">
          <cell r="A119" t="str">
            <v>FPU Indiantown</v>
          </cell>
          <cell r="D119">
            <v>6.7708000000000004</v>
          </cell>
        </row>
        <row r="120">
          <cell r="A120" t="str">
            <v>FPU Indiantown</v>
          </cell>
          <cell r="D120">
            <v>14.2433</v>
          </cell>
        </row>
        <row r="121">
          <cell r="A121" t="str">
            <v>Maryland</v>
          </cell>
          <cell r="D121">
            <v>7353.5132000000003</v>
          </cell>
        </row>
        <row r="122">
          <cell r="A122" t="str">
            <v>Maryland</v>
          </cell>
          <cell r="D122">
            <v>2021.5468000000001</v>
          </cell>
        </row>
        <row r="123">
          <cell r="A123" t="str">
            <v>Maryland</v>
          </cell>
          <cell r="D123">
            <v>7692.8396000000002</v>
          </cell>
        </row>
        <row r="124">
          <cell r="A124" t="str">
            <v>Maryland</v>
          </cell>
          <cell r="D124">
            <v>8078.9641000000001</v>
          </cell>
        </row>
        <row r="125">
          <cell r="A125" t="str">
            <v>Maryland</v>
          </cell>
          <cell r="D125">
            <v>106032.16280000001</v>
          </cell>
        </row>
        <row r="126">
          <cell r="A126" t="str">
            <v>Maryland</v>
          </cell>
          <cell r="D126">
            <v>138.82509999999999</v>
          </cell>
        </row>
        <row r="127">
          <cell r="A127" t="str">
            <v>Maryland</v>
          </cell>
          <cell r="D127">
            <v>126.36839999999999</v>
          </cell>
        </row>
        <row r="128">
          <cell r="A128" t="str">
            <v>Maryland</v>
          </cell>
          <cell r="D128">
            <v>173.98609999999999</v>
          </cell>
        </row>
        <row r="129">
          <cell r="A129" t="str">
            <v>Maryland</v>
          </cell>
          <cell r="D129">
            <v>1098.8859</v>
          </cell>
        </row>
        <row r="130">
          <cell r="A130" t="str">
            <v>Maryland</v>
          </cell>
          <cell r="D130">
            <v>338.73840000000001</v>
          </cell>
        </row>
        <row r="131">
          <cell r="A131" t="str">
            <v>MPS</v>
          </cell>
          <cell r="D131">
            <v>6.1879999999999997</v>
          </cell>
        </row>
        <row r="132">
          <cell r="A132" t="str">
            <v>Sharp - Allentown</v>
          </cell>
          <cell r="D132">
            <v>223.64060000000001</v>
          </cell>
        </row>
        <row r="133">
          <cell r="A133" t="str">
            <v>Sharp - Allentown</v>
          </cell>
          <cell r="D133">
            <v>1907.6608000000001</v>
          </cell>
        </row>
        <row r="134">
          <cell r="A134" t="str">
            <v>Sharp - Allentown</v>
          </cell>
          <cell r="D134">
            <v>6456.2039999999997</v>
          </cell>
        </row>
        <row r="135">
          <cell r="A135" t="str">
            <v>Sharp - Belle Haven District</v>
          </cell>
          <cell r="D135">
            <v>536.7088</v>
          </cell>
        </row>
        <row r="136">
          <cell r="A136" t="str">
            <v>Sharp - Belle Haven District</v>
          </cell>
          <cell r="D136">
            <v>108.0719</v>
          </cell>
        </row>
        <row r="137">
          <cell r="A137" t="str">
            <v>Sharp - Belle Haven District</v>
          </cell>
          <cell r="D137">
            <v>2301.0120000000002</v>
          </cell>
        </row>
        <row r="138">
          <cell r="A138" t="str">
            <v>Sharp - CGS DE</v>
          </cell>
          <cell r="D138">
            <v>853.15790000000004</v>
          </cell>
        </row>
        <row r="139">
          <cell r="A139" t="str">
            <v>Sharp - CGS DE</v>
          </cell>
          <cell r="D139">
            <v>91.114199999999997</v>
          </cell>
        </row>
        <row r="140">
          <cell r="A140" t="str">
            <v>Sharp - CGS DE</v>
          </cell>
          <cell r="D140">
            <v>1795.5028</v>
          </cell>
        </row>
        <row r="141">
          <cell r="A141" t="str">
            <v>Sharp - CGS DE</v>
          </cell>
          <cell r="D141">
            <v>24762.951400000002</v>
          </cell>
        </row>
        <row r="142">
          <cell r="A142" t="str">
            <v>Sharp - CGS MD</v>
          </cell>
          <cell r="D142">
            <v>241.07390000000001</v>
          </cell>
        </row>
        <row r="143">
          <cell r="A143" t="str">
            <v>Sharp - CGS MD</v>
          </cell>
          <cell r="D143">
            <v>384.95670000000001</v>
          </cell>
        </row>
        <row r="144">
          <cell r="A144" t="str">
            <v>Sharp - CGS MD</v>
          </cell>
          <cell r="D144">
            <v>3473.3580999999999</v>
          </cell>
        </row>
        <row r="145">
          <cell r="A145" t="str">
            <v>Sharp - Corporate</v>
          </cell>
          <cell r="D145">
            <v>4084.0070000000001</v>
          </cell>
        </row>
        <row r="146">
          <cell r="A146" t="str">
            <v>Sharp - Corporate</v>
          </cell>
          <cell r="D146">
            <v>2955.1071999999999</v>
          </cell>
        </row>
        <row r="147">
          <cell r="A147" t="str">
            <v>Sharp - Corporate</v>
          </cell>
          <cell r="D147">
            <v>16210.77</v>
          </cell>
        </row>
        <row r="148">
          <cell r="A148" t="str">
            <v>Sharp - Dover District</v>
          </cell>
          <cell r="D148">
            <v>131.29920000000001</v>
          </cell>
        </row>
        <row r="149">
          <cell r="A149" t="str">
            <v>Sharp - Dover District</v>
          </cell>
          <cell r="D149">
            <v>512.57600000000002</v>
          </cell>
        </row>
        <row r="150">
          <cell r="A150" t="str">
            <v>Sharp - Dover District</v>
          </cell>
          <cell r="D150">
            <v>2155.2240000000002</v>
          </cell>
        </row>
        <row r="151">
          <cell r="A151" t="str">
            <v>Sharp - Easton District</v>
          </cell>
          <cell r="D151">
            <v>563.29340000000002</v>
          </cell>
        </row>
        <row r="152">
          <cell r="A152" t="str">
            <v>Sharp - Easton District</v>
          </cell>
          <cell r="D152">
            <v>381.56060000000002</v>
          </cell>
        </row>
        <row r="153">
          <cell r="A153" t="str">
            <v>Sharp - Easton District</v>
          </cell>
          <cell r="D153">
            <v>8.1906999999999996</v>
          </cell>
        </row>
        <row r="154">
          <cell r="A154" t="str">
            <v>Sharp - Easton District</v>
          </cell>
          <cell r="D154">
            <v>1280.568</v>
          </cell>
        </row>
        <row r="155">
          <cell r="A155" t="str">
            <v>Sharp - Easton District</v>
          </cell>
          <cell r="D155">
            <v>4204.2120000000004</v>
          </cell>
        </row>
        <row r="156">
          <cell r="A156" t="str">
            <v>Sharp - Georgetown District</v>
          </cell>
          <cell r="D156">
            <v>631.83839999999998</v>
          </cell>
        </row>
        <row r="157">
          <cell r="A157" t="str">
            <v>Sharp - Georgetown District</v>
          </cell>
          <cell r="D157">
            <v>1308.92</v>
          </cell>
        </row>
        <row r="158">
          <cell r="A158" t="str">
            <v>Sharp - Georgetown District</v>
          </cell>
          <cell r="D158">
            <v>388.8571</v>
          </cell>
        </row>
        <row r="159">
          <cell r="A159" t="str">
            <v>Sharp - Georgetown District</v>
          </cell>
          <cell r="D159">
            <v>5962.71</v>
          </cell>
        </row>
        <row r="160">
          <cell r="A160" t="str">
            <v>Sharp - Honeybrook District</v>
          </cell>
          <cell r="D160">
            <v>353.87900000000002</v>
          </cell>
        </row>
        <row r="161">
          <cell r="A161" t="str">
            <v>Sharp - Honeybrook District</v>
          </cell>
          <cell r="D161">
            <v>444.5616</v>
          </cell>
        </row>
        <row r="162">
          <cell r="A162" t="str">
            <v>Sharp - Honeybrook District</v>
          </cell>
          <cell r="D162">
            <v>2209.7759999999998</v>
          </cell>
        </row>
        <row r="163">
          <cell r="A163" t="str">
            <v>Sharp - Pocomoke District</v>
          </cell>
          <cell r="D163">
            <v>145.9622</v>
          </cell>
        </row>
        <row r="164">
          <cell r="A164" t="str">
            <v>Sharp - Pocomoke District</v>
          </cell>
          <cell r="D164">
            <v>786.51840000000004</v>
          </cell>
        </row>
        <row r="165">
          <cell r="A165" t="str">
            <v>Sharp - Pocomoke District</v>
          </cell>
          <cell r="D165">
            <v>3057.384</v>
          </cell>
        </row>
        <row r="166">
          <cell r="A166" t="str">
            <v>Sharp - Salisbury District</v>
          </cell>
          <cell r="D166">
            <v>135.33699999999999</v>
          </cell>
        </row>
        <row r="167">
          <cell r="A167" t="str">
            <v>Sharp - Salisbury District</v>
          </cell>
          <cell r="D167">
            <v>745.88160000000005</v>
          </cell>
        </row>
        <row r="168">
          <cell r="A168" t="str">
            <v>Sharp - Salisbury District</v>
          </cell>
          <cell r="D168">
            <v>3810.3420000000001</v>
          </cell>
        </row>
        <row r="169">
          <cell r="A169" t="str">
            <v>Skipjack</v>
          </cell>
          <cell r="D169">
            <v>822.63099999999997</v>
          </cell>
        </row>
        <row r="170">
          <cell r="A170" t="str">
            <v>Skipjack</v>
          </cell>
          <cell r="D170">
            <v>3204</v>
          </cell>
        </row>
        <row r="171">
          <cell r="A171" t="str">
            <v>Grand Total</v>
          </cell>
          <cell r="D171">
            <v>4701259.3002000004</v>
          </cell>
        </row>
      </sheetData>
      <sheetData sheetId="11" refreshError="1"/>
      <sheetData sheetId="12" refreshError="1">
        <row r="7">
          <cell r="A7" t="str">
            <v>CFG</v>
          </cell>
          <cell r="B7">
            <v>57.57</v>
          </cell>
          <cell r="C7">
            <v>7650.0755526947405</v>
          </cell>
          <cell r="D7">
            <v>-411.65430000000003</v>
          </cell>
        </row>
        <row r="8">
          <cell r="A8" t="str">
            <v>Corporate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B9">
            <v>196.15450000000001</v>
          </cell>
          <cell r="C9">
            <v>60409.993703155</v>
          </cell>
          <cell r="D9">
            <v>-35.635399999999997</v>
          </cell>
        </row>
        <row r="10">
          <cell r="A10" t="str">
            <v>Eastern Shore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FF46 FLO GAS FPU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FLO GAS FF41 FPU</v>
          </cell>
          <cell r="B12">
            <v>1.1232</v>
          </cell>
          <cell r="C12">
            <v>0</v>
          </cell>
          <cell r="D12">
            <v>-0.74880000000000002</v>
          </cell>
        </row>
        <row r="13">
          <cell r="A13" t="str">
            <v>FLO GAS FF43 FPU</v>
          </cell>
          <cell r="B13">
            <v>0</v>
          </cell>
          <cell r="C13">
            <v>899.16692534068989</v>
          </cell>
          <cell r="D13">
            <v>0</v>
          </cell>
        </row>
        <row r="14">
          <cell r="A14" t="str">
            <v>FLO GAS FF45 FPU</v>
          </cell>
          <cell r="B14">
            <v>156.006</v>
          </cell>
          <cell r="C14">
            <v>523.843222586661</v>
          </cell>
          <cell r="D14">
            <v>-69.278400000000005</v>
          </cell>
        </row>
        <row r="15">
          <cell r="A15" t="str">
            <v>FPU- FC 2013</v>
          </cell>
          <cell r="B15">
            <v>171770.27830000001</v>
          </cell>
          <cell r="C15">
            <v>0</v>
          </cell>
          <cell r="D15">
            <v>-6624.6159999999991</v>
          </cell>
        </row>
        <row r="16">
          <cell r="A16" t="str">
            <v>FPU FE44 2013</v>
          </cell>
          <cell r="B16">
            <v>16116.908399999998</v>
          </cell>
          <cell r="C16">
            <v>133975.45624010681</v>
          </cell>
          <cell r="D16">
            <v>-3001.2458999999985</v>
          </cell>
        </row>
        <row r="17">
          <cell r="A17" t="str">
            <v>FPU FE45 2013</v>
          </cell>
          <cell r="B17">
            <v>8966.7525000000005</v>
          </cell>
          <cell r="C17">
            <v>23513.253328657192</v>
          </cell>
          <cell r="D17">
            <v>-2272.0673000000002</v>
          </cell>
        </row>
        <row r="18">
          <cell r="A18" t="str">
            <v>FPU- FN41 2013</v>
          </cell>
          <cell r="B18">
            <v>6370.9926999999998</v>
          </cell>
          <cell r="C18">
            <v>15115.84825909356</v>
          </cell>
          <cell r="D18">
            <v>-1170.3395999999998</v>
          </cell>
        </row>
        <row r="19">
          <cell r="A19" t="str">
            <v>FPU- FN43 2013</v>
          </cell>
          <cell r="B19">
            <v>3847.6849999999995</v>
          </cell>
          <cell r="C19">
            <v>4001.9272366955515</v>
          </cell>
          <cell r="D19">
            <v>-578.14729999999997</v>
          </cell>
        </row>
        <row r="20">
          <cell r="A20" t="str">
            <v>FPU- FN45 2013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FPU Indiantown</v>
          </cell>
          <cell r="B21">
            <v>17.485600000000002</v>
          </cell>
          <cell r="C21">
            <v>1382.8572840747047</v>
          </cell>
          <cell r="D21">
            <v>-97.581999999999994</v>
          </cell>
        </row>
        <row r="22">
          <cell r="A22" t="str">
            <v>Maryland</v>
          </cell>
          <cell r="B22">
            <v>718.16110000000003</v>
          </cell>
          <cell r="C22">
            <v>0</v>
          </cell>
          <cell r="D22">
            <v>-24.308800000000002</v>
          </cell>
        </row>
        <row r="23">
          <cell r="A23" t="str">
            <v>MPS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Sharp - Allentown</v>
          </cell>
          <cell r="B24">
            <v>0</v>
          </cell>
          <cell r="C24">
            <v>1372.157659951195</v>
          </cell>
          <cell r="D24">
            <v>-95.164600000000007</v>
          </cell>
        </row>
        <row r="25">
          <cell r="A25" t="str">
            <v>Sharp - Belle Haven District</v>
          </cell>
          <cell r="B25">
            <v>1528.1478999999999</v>
          </cell>
          <cell r="C25">
            <v>512.36839554508845</v>
          </cell>
          <cell r="D25">
            <v>-181.09339999999997</v>
          </cell>
        </row>
        <row r="26">
          <cell r="A26" t="str">
            <v>Sharp - CGS DE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Sharp - CGS MD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Sharp - Corporate</v>
          </cell>
          <cell r="B28">
            <v>2416.4004999999997</v>
          </cell>
          <cell r="C28">
            <v>3698.4260265471075</v>
          </cell>
          <cell r="D28">
            <v>-94.335700000000003</v>
          </cell>
        </row>
        <row r="29">
          <cell r="A29" t="str">
            <v>Sharp - Dover District</v>
          </cell>
          <cell r="B29">
            <v>220.67159999999998</v>
          </cell>
          <cell r="C29">
            <v>478.44895381697268</v>
          </cell>
          <cell r="D29">
            <v>-164.8888</v>
          </cell>
        </row>
        <row r="30">
          <cell r="A30" t="str">
            <v>Sharp - Easton District</v>
          </cell>
          <cell r="B30">
            <v>3635.0318000000002</v>
          </cell>
          <cell r="C30">
            <v>917.0436602265122</v>
          </cell>
          <cell r="D30">
            <v>-232.96170000000001</v>
          </cell>
        </row>
        <row r="31">
          <cell r="A31" t="str">
            <v>Sharp - Georgetown District</v>
          </cell>
          <cell r="B31">
            <v>172.9845</v>
          </cell>
          <cell r="C31">
            <v>1300.6756167161898</v>
          </cell>
          <cell r="D31">
            <v>-181.5324</v>
          </cell>
        </row>
        <row r="32">
          <cell r="A32" t="str">
            <v>Sharp - Honeybrook District</v>
          </cell>
          <cell r="B32">
            <v>0</v>
          </cell>
          <cell r="C32">
            <v>447.86917401427377</v>
          </cell>
          <cell r="D32">
            <v>-31.0609</v>
          </cell>
        </row>
        <row r="33">
          <cell r="A33" t="str">
            <v>Sharp - Pocomoke District</v>
          </cell>
          <cell r="B33">
            <v>204.26780000000002</v>
          </cell>
          <cell r="C33">
            <v>612.7823200821432</v>
          </cell>
          <cell r="D33">
            <v>-177.8999</v>
          </cell>
        </row>
        <row r="34">
          <cell r="A34" t="str">
            <v>Sharp - Salisbury District</v>
          </cell>
          <cell r="B34">
            <v>216.96209999999999</v>
          </cell>
          <cell r="C34">
            <v>764.70433538014481</v>
          </cell>
          <cell r="D34">
            <v>-171.14689999999999</v>
          </cell>
        </row>
        <row r="35">
          <cell r="A35" t="str">
            <v>Skipjack</v>
          </cell>
          <cell r="B35">
            <v>0</v>
          </cell>
          <cell r="C35">
            <v>0</v>
          </cell>
          <cell r="D35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/>
      <sheetData sheetId="1"/>
      <sheetData sheetId="2">
        <row r="17">
          <cell r="L17">
            <v>8.2500000000000004E-2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6">
          <cell r="L46">
            <v>0.27396199999999998</v>
          </cell>
        </row>
        <row r="65">
          <cell r="L65">
            <v>7.9080999999999999E-2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4">
          <cell r="L14">
            <v>0.10116956058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5">
          <cell r="L15">
            <v>5.2214003269999996E-2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L17">
            <v>8.3948999999999982E-2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4">
          <cell r="L14">
            <v>9.0372157319999993E-2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22">
          <cell r="L22">
            <v>4.0749999999999996E-3</v>
          </cell>
        </row>
      </sheetData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>
        <row r="11">
          <cell r="E11">
            <v>0.40262699999999996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Staudt" refreshedDate="43320.431884490739" createdVersion="5" refreshedVersion="5" minRefreshableVersion="3" recordCount="29">
  <cacheSource type="worksheet">
    <worksheetSource ref="A7:M36" sheet="25RE-Repairs"/>
  </cacheSource>
  <cacheFields count="13">
    <cacheField name="BU" numFmtId="164">
      <sharedItems count="13">
        <s v="CF00"/>
        <s v="CU00"/>
        <s v="DE00"/>
        <s v="ES00"/>
        <s v="FF00"/>
        <s v="FC00"/>
        <s v="FE00"/>
        <s v="FN00"/>
        <s v="FI00"/>
        <s v="MD00"/>
        <s v="SG00"/>
        <s v="SC00"/>
        <s v="SK00"/>
      </sharedItems>
    </cacheField>
    <cacheField name="PwC Entity ID" numFmtId="164">
      <sharedItems/>
    </cacheField>
    <cacheField name="Repairs Cost as of 12/31/2013" numFmtId="164">
      <sharedItems containsSemiMixedTypes="0" containsString="0" containsNumber="1" minValue="-3518946.4099999997" maxValue="-185.27"/>
    </cacheField>
    <cacheField name="Accumulated Depreciation as of 12/31/2013" numFmtId="164">
      <sharedItems containsSemiMixedTypes="0" containsString="0" containsNumber="1" minValue="102.7971" maxValue="1973970.1486000002"/>
    </cacheField>
    <cacheField name="Net Tax Value - 481(a) as of 12/31/2013" numFmtId="164">
      <sharedItems containsSemiMixedTypes="0" containsString="0" containsNumber="1" minValue="-1544976.2614000002" maxValue="-82.472899999999996"/>
    </cacheField>
    <cacheField name="2013 Electric Extrapolation 481(a)" numFmtId="164">
      <sharedItems containsString="0" containsBlank="1" containsNumber="1" minValue="-1810749.1195740695" maxValue="-1798144.0396649397"/>
    </cacheField>
    <cacheField name="2014 Electric Depreciation Reversal" numFmtId="164">
      <sharedItems containsString="0" containsBlank="1" containsNumber="1" minValue="184900.48335447413" maxValue="195714.33479417034"/>
    </cacheField>
    <cacheField name="2014 Repairs Adjustment" numFmtId="164">
      <sharedItems containsSemiMixedTypes="0" containsString="0" containsNumber="1" minValue="-2879812.0296679502" maxValue="0"/>
    </cacheField>
    <cacheField name="2014 Depreciation Reversal*" numFmtId="164">
      <sharedItems containsSemiMixedTypes="0" containsString="0" containsNumber="1" minValue="6.1879999999999997" maxValue="1528272.0296"/>
    </cacheField>
    <cacheField name="Dispositions Reversal - 481 (a) as of 12/31/2013" numFmtId="164">
      <sharedItems containsSemiMixedTypes="0" containsString="0" containsNumber="1" minValue="0" maxValue="171770.27830000001"/>
    </cacheField>
    <cacheField name="2014 Dispositions Reversal" numFmtId="164">
      <sharedItems containsSemiMixedTypes="0" containsString="0" containsNumber="1" minValue="0" maxValue="133975.45624010681"/>
    </cacheField>
    <cacheField name="Dispositions Reversal - CY Depreciation**" numFmtId="164">
      <sharedItems containsSemiMixedTypes="0" containsString="0" containsNumber="1" minValue="-6624.6159999999991" maxValue="0"/>
    </cacheField>
    <cacheField name="Total" numFmtId="164">
      <sharedItems containsSemiMixedTypes="0" containsString="0" containsNumber="1" minValue="-3812573.3537764754" maxValue="162884.7038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CFG"/>
    <n v="-656842.22000000009"/>
    <n v="382704.7328"/>
    <n v="-274137.48719999997"/>
    <m/>
    <m/>
    <n v="-380953.99430042988"/>
    <n v="219246.17889999997"/>
    <n v="57.57"/>
    <n v="7650.0755526947405"/>
    <n v="-411.65430000000003"/>
    <n v="-428549.31134773511"/>
  </r>
  <r>
    <x v="1"/>
    <s v="Corporate"/>
    <n v="-26578.199999999997"/>
    <n v="15987.276899999999"/>
    <n v="-10590.9231"/>
    <m/>
    <m/>
    <n v="-25373.37727020782"/>
    <n v="17099.292999999998"/>
    <n v="0"/>
    <n v="0"/>
    <n v="0"/>
    <n v="-18865.007370207823"/>
  </r>
  <r>
    <x v="2"/>
    <s v="Delaware"/>
    <n v="-928984.62"/>
    <n v="554021.51650000003"/>
    <n v="-374963.10350000003"/>
    <m/>
    <m/>
    <n v="-417185.96075795754"/>
    <n v="249706.04620000001"/>
    <n v="196.15450000000001"/>
    <n v="60409.993703155"/>
    <n v="-35.635399999999997"/>
    <n v="-481872.50525480259"/>
  </r>
  <r>
    <x v="3"/>
    <s v="Eastern Shore"/>
    <n v="-408909.31"/>
    <n v="245292.9002"/>
    <n v="-163616.40979999999"/>
    <m/>
    <m/>
    <n v="-2879812.0296679502"/>
    <n v="1528272.0296"/>
    <n v="0"/>
    <n v="0"/>
    <n v="0"/>
    <n v="-1515156.4098679502"/>
  </r>
  <r>
    <x v="4"/>
    <s v="FF46 FLO GAS FPU"/>
    <n v="-4730.6000000000004"/>
    <n v="2838.36"/>
    <n v="-1892.24"/>
    <m/>
    <m/>
    <n v="-12604.754266868393"/>
    <n v="8319.746000000001"/>
    <n v="0"/>
    <n v="0"/>
    <n v="0"/>
    <n v="-6177.2482668683915"/>
  </r>
  <r>
    <x v="4"/>
    <s v="FLO GAS FF41 FPU"/>
    <n v="-77317.13"/>
    <n v="48145.363499999992"/>
    <n v="-29171.766500000002"/>
    <m/>
    <m/>
    <n v="-51363.962475679771"/>
    <n v="38154.092600000004"/>
    <n v="1.1232"/>
    <n v="0"/>
    <n v="-0.74880000000000002"/>
    <n v="-42381.261975679765"/>
  </r>
  <r>
    <x v="4"/>
    <s v="FLO GAS FF43 FPU"/>
    <n v="-11530.5"/>
    <n v="6918.3"/>
    <n v="-4612.2"/>
    <m/>
    <m/>
    <n v="-14953.915406606231"/>
    <n v="10792.299800000001"/>
    <n v="0"/>
    <n v="899.16692534068989"/>
    <n v="0"/>
    <n v="-7874.6486812655394"/>
  </r>
  <r>
    <x v="4"/>
    <s v="FLO GAS FF45 FPU"/>
    <n v="-85985.7"/>
    <n v="10061.099900000001"/>
    <n v="-75924.600099999981"/>
    <m/>
    <m/>
    <n v="-18178.653601910915"/>
    <n v="12055.968200000001"/>
    <n v="156.006"/>
    <n v="523.843222586661"/>
    <n v="-69.278400000000005"/>
    <n v="-81436.714679324243"/>
  </r>
  <r>
    <x v="5"/>
    <s v="FPU- FC 2013"/>
    <n v="-15701.1"/>
    <n v="11932.835999999999"/>
    <n v="-3768.2640000000001"/>
    <m/>
    <m/>
    <n v="0"/>
    <n v="1507.3055999999999"/>
    <n v="171770.27830000001"/>
    <n v="0"/>
    <n v="-6624.6159999999991"/>
    <n v="162884.70389999999"/>
  </r>
  <r>
    <x v="6"/>
    <s v="FPU FE44 2013"/>
    <n v="-907504.54"/>
    <n v="501712.99050000001"/>
    <n v="-405791.54950000002"/>
    <n v="-1798144.0396649397"/>
    <n v="184900.48335447413"/>
    <n v="-1779004.316685502"/>
    <n v="953469.36359999992"/>
    <n v="16116.908399999998"/>
    <n v="133975.45624010681"/>
    <n v="-3001.2458999999985"/>
    <n v="-2697478.940155861"/>
  </r>
  <r>
    <x v="6"/>
    <s v="FPU FE45 2013"/>
    <n v="-3518946.4099999997"/>
    <n v="1973970.1486000002"/>
    <n v="-1544976.2614000002"/>
    <n v="-1810749.1195740695"/>
    <n v="195714.33479417034"/>
    <n v="-1647143.081025233"/>
    <n v="964372.83490000002"/>
    <n v="8966.7525000000005"/>
    <n v="23513.253328657192"/>
    <n v="-2272.0673000000002"/>
    <n v="-3812573.3537764754"/>
  </r>
  <r>
    <x v="7"/>
    <s v="FPU- FN41 2013"/>
    <n v="-804847.00999999989"/>
    <n v="447839.10520000005"/>
    <n v="-357007.90480000008"/>
    <m/>
    <m/>
    <n v="-622921.19084528426"/>
    <n v="351195.95250000007"/>
    <n v="6370.9926999999998"/>
    <n v="15115.84825909356"/>
    <n v="-1170.3395999999998"/>
    <n v="-608416.64178619056"/>
  </r>
  <r>
    <x v="7"/>
    <s v="FPU- FN43 2013"/>
    <n v="-320763.06999999995"/>
    <n v="178713.58410000001"/>
    <n v="-142049.4859"/>
    <m/>
    <m/>
    <n v="-130147.18530382698"/>
    <n v="78930.527900000001"/>
    <n v="3847.6849999999995"/>
    <n v="4001.9272366955515"/>
    <n v="-578.14729999999997"/>
    <n v="-185994.67836713145"/>
  </r>
  <r>
    <x v="7"/>
    <s v="FPU- FN45 2013"/>
    <n v="-104509.06"/>
    <n v="53222.401100000003"/>
    <n v="-51286.658899999995"/>
    <m/>
    <m/>
    <n v="-64471.528761315036"/>
    <n v="34570.778400000003"/>
    <n v="0"/>
    <n v="0"/>
    <n v="0"/>
    <n v="-81187.409261315013"/>
  </r>
  <r>
    <x v="8"/>
    <s v="FPU Indiantown"/>
    <n v="-25709.119999999999"/>
    <n v="14174.171199999999"/>
    <n v="-11534.9488"/>
    <m/>
    <m/>
    <n v="-27.125120643783479"/>
    <n v="874.04509999999993"/>
    <n v="17.485600000000002"/>
    <n v="1382.8572840747047"/>
    <n v="-97.581999999999994"/>
    <n v="-9385.2679365690801"/>
  </r>
  <r>
    <x v="9"/>
    <s v="Maryland"/>
    <n v="-765333.60000000009"/>
    <n v="455753.35800000001"/>
    <n v="-309580.24199999997"/>
    <m/>
    <m/>
    <n v="-204992.11748743529"/>
    <n v="133055.83040000001"/>
    <n v="718.16110000000003"/>
    <n v="0"/>
    <n v="-24.308800000000002"/>
    <n v="-380822.67678743519"/>
  </r>
  <r>
    <x v="9"/>
    <s v="MPS"/>
    <n v="-185.27"/>
    <n v="102.7971"/>
    <n v="-82.472899999999996"/>
    <m/>
    <m/>
    <n v="0"/>
    <n v="6.1879999999999997"/>
    <n v="0"/>
    <n v="0"/>
    <n v="0"/>
    <n v="-76.284899999999993"/>
  </r>
  <r>
    <x v="10"/>
    <s v="Sharp - Allentown"/>
    <n v="-14252.47"/>
    <n v="8924.2163999999993"/>
    <n v="-5328.2536"/>
    <m/>
    <m/>
    <n v="-10760.343302153575"/>
    <n v="8587.5054"/>
    <n v="0"/>
    <n v="1372.157659951195"/>
    <n v="-95.164600000000007"/>
    <n v="-6224.0984422023794"/>
  </r>
  <r>
    <x v="10"/>
    <s v="Sharp - Belle Haven District"/>
    <n v="-3795.72"/>
    <n v="2075.7183"/>
    <n v="-1720.0016999999998"/>
    <m/>
    <m/>
    <n v="-3835.0214002505782"/>
    <n v="2945.7927"/>
    <n v="1528.1478999999999"/>
    <n v="512.36839554508845"/>
    <n v="-181.09339999999997"/>
    <n v="-749.80750470548958"/>
  </r>
  <r>
    <x v="11"/>
    <s v="Sharp - CGS DE"/>
    <n v="-76322.47"/>
    <n v="40696.895900000003"/>
    <n v="-35625.574099999998"/>
    <m/>
    <m/>
    <n v="-47735.812799723673"/>
    <n v="27502.726300000002"/>
    <n v="0"/>
    <n v="0"/>
    <n v="0"/>
    <n v="-55858.660599723669"/>
  </r>
  <r>
    <x v="11"/>
    <s v="Sharp - CGS MD"/>
    <n v="-17881.400000000001"/>
    <n v="9536.5380999999998"/>
    <n v="-8344.8618999999999"/>
    <m/>
    <m/>
    <n v="-6695.6250050667832"/>
    <n v="4099.3886999999995"/>
    <n v="0"/>
    <n v="0"/>
    <n v="0"/>
    <n v="-10941.098205066784"/>
  </r>
  <r>
    <x v="10"/>
    <s v="Sharp - Corporate"/>
    <n v="-61011.159999999996"/>
    <n v="43413.374400000001"/>
    <n v="-17597.785599999999"/>
    <m/>
    <m/>
    <n v="-27017.946778778271"/>
    <n v="23249.8842"/>
    <n v="2416.4004999999997"/>
    <n v="3698.4260265471075"/>
    <n v="-94.335700000000003"/>
    <n v="-15345.357352231158"/>
  </r>
  <r>
    <x v="10"/>
    <s v="Sharp - Dover District"/>
    <n v="-4571.3"/>
    <n v="2961.6120000000001"/>
    <n v="-1609.6880000000001"/>
    <m/>
    <m/>
    <n v="-3592.0417301760431"/>
    <n v="2799.0992000000001"/>
    <n v="220.67159999999998"/>
    <n v="478.44895381697268"/>
    <n v="-164.8888"/>
    <n v="-1868.3987763590696"/>
  </r>
  <r>
    <x v="10"/>
    <s v="Sharp - Easton District"/>
    <n v="-34266.910000000003"/>
    <n v="8648.0047999999988"/>
    <n v="-25618.905200000001"/>
    <m/>
    <m/>
    <n v="-7007.0232869190013"/>
    <n v="6437.824700000001"/>
    <n v="3635.0318000000002"/>
    <n v="917.0436602265122"/>
    <n v="-232.96170000000001"/>
    <n v="-21868.990026692489"/>
  </r>
  <r>
    <x v="10"/>
    <s v="Sharp - Georgetown District"/>
    <n v="-17938.04"/>
    <n v="11725.2235"/>
    <n v="-6212.8165000000008"/>
    <m/>
    <m/>
    <n v="-9937.8534497096407"/>
    <n v="8292.3255000000008"/>
    <n v="172.9845"/>
    <n v="1300.6756167161898"/>
    <n v="-181.5324"/>
    <n v="-6566.2167329934509"/>
  </r>
  <r>
    <x v="10"/>
    <s v="Sharp - Honeybrook District"/>
    <n v="-6464.75"/>
    <n v="4468.6484"/>
    <n v="-1996.1016"/>
    <m/>
    <m/>
    <n v="-3682.9571203338155"/>
    <n v="3008.2165999999997"/>
    <n v="0"/>
    <n v="447.86917401427377"/>
    <n v="-31.0609"/>
    <n v="-2254.0338463195417"/>
  </r>
  <r>
    <x v="10"/>
    <s v="Sharp - Pocomoke District"/>
    <n v="-6436.18"/>
    <n v="4104.9784"/>
    <n v="-2331.2015999999999"/>
    <m/>
    <m/>
    <n v="-5095.6353003236427"/>
    <n v="3989.8645999999999"/>
    <n v="204.26780000000002"/>
    <n v="612.7823200821432"/>
    <n v="-177.8999"/>
    <n v="-2797.822080241499"/>
  </r>
  <r>
    <x v="10"/>
    <s v="Sharp - Salisbury District"/>
    <n v="-6071.52"/>
    <n v="3868.4736000000003"/>
    <n v="-2203.0464000000002"/>
    <m/>
    <m/>
    <n v="-6350.5704710311484"/>
    <n v="4691.5605999999998"/>
    <n v="216.96209999999999"/>
    <n v="764.70433538014481"/>
    <n v="-171.14689999999999"/>
    <n v="-3051.5367356510037"/>
  </r>
  <r>
    <x v="12"/>
    <s v="Skipjack"/>
    <n v="-47025.43"/>
    <n v="26892.2752"/>
    <n v="-20133.1548"/>
    <m/>
    <m/>
    <n v="0"/>
    <n v="4026.6309999999999"/>
    <n v="0"/>
    <n v="0"/>
    <n v="0"/>
    <n v="-16106.5238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7:B61" firstHeaderRow="1" firstDataRow="1" firstDataCol="1"/>
  <pivotFields count="13">
    <pivotField axis="axisRow" showAll="0">
      <items count="14">
        <item x="0"/>
        <item x="1"/>
        <item x="2"/>
        <item x="3"/>
        <item x="5"/>
        <item x="6"/>
        <item x="4"/>
        <item x="8"/>
        <item x="7"/>
        <item x="9"/>
        <item x="11"/>
        <item x="10"/>
        <item x="12"/>
        <item t="default"/>
      </items>
    </pivotField>
    <pivotField showAll="0"/>
    <pivotField numFmtId="164" showAll="0"/>
    <pivotField numFmtId="164" showAll="0"/>
    <pivotField numFmtId="164"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" fld="12" baseField="0" baseItem="2" numFmtId="41"/>
  </dataFields>
  <formats count="3">
    <format dxfId="2">
      <pivotArea dataOnly="0" fieldPosition="0">
        <references count="1">
          <reference field="0" count="1">
            <x v="8"/>
          </reference>
        </references>
      </pivotArea>
    </format>
    <format dxfId="1">
      <pivotArea collapsedLevelsAreSubtotals="1" fieldPosition="0">
        <references count="1">
          <reference field="0" count="1">
            <x v="5"/>
          </reference>
        </references>
      </pivotArea>
    </format>
    <format dxfId="0">
      <pivotArea dataOnly="0" labelOnly="1" fieldPosition="0">
        <references count="1">
          <reference field="0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94"/>
  <sheetViews>
    <sheetView topLeftCell="A50" zoomScale="80" zoomScaleNormal="80" workbookViewId="0">
      <selection activeCell="I66" sqref="I66"/>
    </sheetView>
  </sheetViews>
  <sheetFormatPr defaultRowHeight="12.75" x14ac:dyDescent="0.2"/>
  <cols>
    <col min="1" max="1" width="16.5703125" customWidth="1"/>
    <col min="2" max="2" width="64" bestFit="1" customWidth="1"/>
    <col min="3" max="3" width="16.28515625" bestFit="1" customWidth="1"/>
    <col min="4" max="4" width="15.28515625" customWidth="1"/>
    <col min="5" max="5" width="17" bestFit="1" customWidth="1"/>
    <col min="6" max="6" width="16.42578125" bestFit="1" customWidth="1"/>
    <col min="7" max="7" width="18.28515625" customWidth="1"/>
    <col min="8" max="8" width="16.42578125" bestFit="1" customWidth="1"/>
    <col min="9" max="9" width="15" customWidth="1"/>
    <col min="10" max="10" width="16.7109375" customWidth="1"/>
    <col min="11" max="11" width="13.5703125" bestFit="1" customWidth="1"/>
    <col min="12" max="12" width="19.28515625" customWidth="1"/>
    <col min="13" max="13" width="15.5703125" bestFit="1" customWidth="1"/>
  </cols>
  <sheetData>
    <row r="1" spans="1:13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B2" s="2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">
      <c r="B3" s="2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B4" s="4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B5" s="5"/>
      <c r="C5" s="6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C6" s="6">
        <v>2</v>
      </c>
      <c r="D6" s="6">
        <v>2</v>
      </c>
      <c r="E6" s="6">
        <v>2</v>
      </c>
      <c r="F6" s="6">
        <v>3</v>
      </c>
      <c r="G6" s="6">
        <v>3</v>
      </c>
      <c r="H6" s="6">
        <v>4</v>
      </c>
      <c r="I6" s="6">
        <v>5</v>
      </c>
      <c r="J6" s="6">
        <v>6</v>
      </c>
      <c r="K6" s="6">
        <v>6</v>
      </c>
      <c r="L6" s="6">
        <v>6</v>
      </c>
      <c r="M6" s="3"/>
    </row>
    <row r="7" spans="1:13" ht="76.5" x14ac:dyDescent="0.2">
      <c r="A7" s="7" t="s">
        <v>71</v>
      </c>
      <c r="B7" s="7" t="s">
        <v>14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15</v>
      </c>
      <c r="J7" s="7" t="s">
        <v>7</v>
      </c>
      <c r="K7" s="7" t="s">
        <v>8</v>
      </c>
      <c r="L7" s="7" t="s">
        <v>9</v>
      </c>
      <c r="M7" s="7" t="s">
        <v>10</v>
      </c>
    </row>
    <row r="8" spans="1:13" ht="15" x14ac:dyDescent="0.25">
      <c r="A8" s="39" t="s">
        <v>58</v>
      </c>
      <c r="B8" s="29" t="s">
        <v>16</v>
      </c>
      <c r="C8" s="29">
        <v>-656842.22000000009</v>
      </c>
      <c r="D8" s="29">
        <v>382704.7328</v>
      </c>
      <c r="E8" s="29">
        <v>-274137.48719999997</v>
      </c>
      <c r="F8" s="29"/>
      <c r="G8" s="29"/>
      <c r="H8" s="29">
        <v>-380953.99430042988</v>
      </c>
      <c r="I8" s="29">
        <v>219246.17889999997</v>
      </c>
      <c r="J8" s="29">
        <v>57.57</v>
      </c>
      <c r="K8" s="29">
        <v>7650.0755526947405</v>
      </c>
      <c r="L8" s="29">
        <v>-411.65430000000003</v>
      </c>
      <c r="M8" s="29">
        <v>-428549.31134773511</v>
      </c>
    </row>
    <row r="9" spans="1:13" ht="15" x14ac:dyDescent="0.25">
      <c r="A9" s="39" t="s">
        <v>59</v>
      </c>
      <c r="B9" s="29" t="s">
        <v>17</v>
      </c>
      <c r="C9" s="29">
        <v>-26578.199999999997</v>
      </c>
      <c r="D9" s="29">
        <v>15987.276899999999</v>
      </c>
      <c r="E9" s="29">
        <v>-10590.9231</v>
      </c>
      <c r="F9" s="29"/>
      <c r="G9" s="29"/>
      <c r="H9" s="29">
        <v>-25373.37727020782</v>
      </c>
      <c r="I9" s="29">
        <v>17099.292999999998</v>
      </c>
      <c r="J9" s="29">
        <v>0</v>
      </c>
      <c r="K9" s="29">
        <v>0</v>
      </c>
      <c r="L9" s="29">
        <v>0</v>
      </c>
      <c r="M9" s="29">
        <v>-18865.007370207823</v>
      </c>
    </row>
    <row r="10" spans="1:13" ht="15" x14ac:dyDescent="0.25">
      <c r="A10" s="39" t="s">
        <v>60</v>
      </c>
      <c r="B10" s="29" t="s">
        <v>18</v>
      </c>
      <c r="C10" s="29">
        <v>-928984.62</v>
      </c>
      <c r="D10" s="29">
        <v>554021.51650000003</v>
      </c>
      <c r="E10" s="29">
        <v>-374963.10350000003</v>
      </c>
      <c r="F10" s="29"/>
      <c r="G10" s="29"/>
      <c r="H10" s="29">
        <v>-417185.96075795754</v>
      </c>
      <c r="I10" s="29">
        <v>249706.04620000001</v>
      </c>
      <c r="J10" s="29">
        <v>196.15450000000001</v>
      </c>
      <c r="K10" s="29">
        <v>60409.993703155</v>
      </c>
      <c r="L10" s="29">
        <v>-35.635399999999997</v>
      </c>
      <c r="M10" s="29">
        <v>-481872.50525480259</v>
      </c>
    </row>
    <row r="11" spans="1:13" ht="15" x14ac:dyDescent="0.25">
      <c r="A11" s="40" t="s">
        <v>61</v>
      </c>
      <c r="B11" s="31" t="s">
        <v>19</v>
      </c>
      <c r="C11" s="31">
        <v>-408909.31</v>
      </c>
      <c r="D11" s="31">
        <v>245292.9002</v>
      </c>
      <c r="E11" s="31">
        <v>-163616.40979999999</v>
      </c>
      <c r="F11" s="31"/>
      <c r="G11" s="31"/>
      <c r="H11" s="31">
        <v>-2879812.0296679502</v>
      </c>
      <c r="I11" s="31">
        <v>1528272.0296</v>
      </c>
      <c r="J11" s="31">
        <v>0</v>
      </c>
      <c r="K11" s="31">
        <v>0</v>
      </c>
      <c r="L11" s="31">
        <v>0</v>
      </c>
      <c r="M11" s="31">
        <v>-1515156.4098679502</v>
      </c>
    </row>
    <row r="12" spans="1:13" ht="15" x14ac:dyDescent="0.25">
      <c r="A12" s="41" t="s">
        <v>62</v>
      </c>
      <c r="B12" s="17" t="s">
        <v>20</v>
      </c>
      <c r="C12" s="17">
        <v>-4730.6000000000004</v>
      </c>
      <c r="D12" s="17">
        <v>2838.36</v>
      </c>
      <c r="E12" s="17">
        <v>-1892.24</v>
      </c>
      <c r="F12" s="17"/>
      <c r="G12" s="17"/>
      <c r="H12" s="17">
        <v>-12604.754266868393</v>
      </c>
      <c r="I12" s="17">
        <v>8319.746000000001</v>
      </c>
      <c r="J12" s="17">
        <v>0</v>
      </c>
      <c r="K12" s="17">
        <v>0</v>
      </c>
      <c r="L12" s="17">
        <v>0</v>
      </c>
      <c r="M12" s="17">
        <v>-6177.2482668683915</v>
      </c>
    </row>
    <row r="13" spans="1:13" ht="15" x14ac:dyDescent="0.25">
      <c r="A13" s="41" t="s">
        <v>62</v>
      </c>
      <c r="B13" s="17" t="s">
        <v>21</v>
      </c>
      <c r="C13" s="17">
        <v>-77317.13</v>
      </c>
      <c r="D13" s="17">
        <v>48145.363499999992</v>
      </c>
      <c r="E13" s="17">
        <v>-29171.766500000002</v>
      </c>
      <c r="F13" s="17"/>
      <c r="G13" s="17"/>
      <c r="H13" s="17">
        <v>-51363.962475679771</v>
      </c>
      <c r="I13" s="17">
        <v>38154.092600000004</v>
      </c>
      <c r="J13" s="17">
        <v>1.1232</v>
      </c>
      <c r="K13" s="17">
        <v>0</v>
      </c>
      <c r="L13" s="17">
        <v>-0.74880000000000002</v>
      </c>
      <c r="M13" s="17">
        <v>-42381.261975679765</v>
      </c>
    </row>
    <row r="14" spans="1:13" ht="15" x14ac:dyDescent="0.25">
      <c r="A14" s="41" t="s">
        <v>62</v>
      </c>
      <c r="B14" s="17" t="s">
        <v>22</v>
      </c>
      <c r="C14" s="17">
        <v>-11530.5</v>
      </c>
      <c r="D14" s="17">
        <v>6918.3</v>
      </c>
      <c r="E14" s="17">
        <v>-4612.2</v>
      </c>
      <c r="F14" s="17"/>
      <c r="G14" s="17"/>
      <c r="H14" s="17">
        <v>-14953.915406606231</v>
      </c>
      <c r="I14" s="17">
        <v>10792.299800000001</v>
      </c>
      <c r="J14" s="17">
        <v>0</v>
      </c>
      <c r="K14" s="17">
        <v>899.16692534068989</v>
      </c>
      <c r="L14" s="17">
        <v>0</v>
      </c>
      <c r="M14" s="17">
        <v>-7874.6486812655394</v>
      </c>
    </row>
    <row r="15" spans="1:13" ht="15" x14ac:dyDescent="0.25">
      <c r="A15" s="41" t="s">
        <v>62</v>
      </c>
      <c r="B15" s="17" t="s">
        <v>23</v>
      </c>
      <c r="C15" s="17">
        <v>-85985.7</v>
      </c>
      <c r="D15" s="17">
        <v>10061.099900000001</v>
      </c>
      <c r="E15" s="17">
        <v>-75924.600099999981</v>
      </c>
      <c r="F15" s="17"/>
      <c r="G15" s="17"/>
      <c r="H15" s="17">
        <v>-18178.653601910915</v>
      </c>
      <c r="I15" s="17">
        <v>12055.968200000001</v>
      </c>
      <c r="J15" s="17">
        <v>156.006</v>
      </c>
      <c r="K15" s="17">
        <v>523.843222586661</v>
      </c>
      <c r="L15" s="17">
        <v>-69.278400000000005</v>
      </c>
      <c r="M15" s="17">
        <v>-81436.714679324243</v>
      </c>
    </row>
    <row r="16" spans="1:13" ht="15" x14ac:dyDescent="0.25">
      <c r="A16" s="42" t="s">
        <v>64</v>
      </c>
      <c r="B16" s="20" t="s">
        <v>24</v>
      </c>
      <c r="C16" s="20">
        <v>-15701.1</v>
      </c>
      <c r="D16" s="20">
        <v>11932.835999999999</v>
      </c>
      <c r="E16" s="20">
        <v>-3768.2640000000001</v>
      </c>
      <c r="F16" s="20"/>
      <c r="G16" s="20"/>
      <c r="H16" s="20">
        <v>0</v>
      </c>
      <c r="I16" s="20">
        <v>1507.3055999999999</v>
      </c>
      <c r="J16" s="20">
        <v>171770.27830000001</v>
      </c>
      <c r="K16" s="20">
        <v>0</v>
      </c>
      <c r="L16" s="20">
        <v>-6624.6159999999991</v>
      </c>
      <c r="M16" s="20">
        <v>162884.70389999999</v>
      </c>
    </row>
    <row r="17" spans="1:13" ht="15" x14ac:dyDescent="0.25">
      <c r="A17" s="42" t="s">
        <v>65</v>
      </c>
      <c r="B17" s="20" t="s">
        <v>25</v>
      </c>
      <c r="C17" s="20">
        <v>-907504.54</v>
      </c>
      <c r="D17" s="20">
        <v>501712.99050000001</v>
      </c>
      <c r="E17" s="20">
        <v>-405791.54950000002</v>
      </c>
      <c r="F17" s="20">
        <v>-1798144.0396649397</v>
      </c>
      <c r="G17" s="20">
        <v>184900.48335447413</v>
      </c>
      <c r="H17" s="20">
        <v>-1779004.316685502</v>
      </c>
      <c r="I17" s="20">
        <v>953469.36359999992</v>
      </c>
      <c r="J17" s="20">
        <v>16116.908399999998</v>
      </c>
      <c r="K17" s="20">
        <v>133975.45624010681</v>
      </c>
      <c r="L17" s="20">
        <v>-3001.2458999999985</v>
      </c>
      <c r="M17" s="20">
        <v>-2697478.940155861</v>
      </c>
    </row>
    <row r="18" spans="1:13" ht="15" x14ac:dyDescent="0.25">
      <c r="A18" s="42" t="s">
        <v>65</v>
      </c>
      <c r="B18" s="20" t="s">
        <v>26</v>
      </c>
      <c r="C18" s="20">
        <v>-3518946.4099999997</v>
      </c>
      <c r="D18" s="20">
        <v>1973970.1486000002</v>
      </c>
      <c r="E18" s="20">
        <v>-1544976.2614000002</v>
      </c>
      <c r="F18" s="20">
        <v>-1810749.1195740695</v>
      </c>
      <c r="G18" s="20">
        <v>195714.33479417034</v>
      </c>
      <c r="H18" s="20">
        <v>-1647143.081025233</v>
      </c>
      <c r="I18" s="20">
        <v>964372.83490000002</v>
      </c>
      <c r="J18" s="20">
        <v>8966.7525000000005</v>
      </c>
      <c r="K18" s="20">
        <v>23513.253328657192</v>
      </c>
      <c r="L18" s="20">
        <v>-2272.0673000000002</v>
      </c>
      <c r="M18" s="20">
        <v>-3812573.3537764754</v>
      </c>
    </row>
    <row r="19" spans="1:13" ht="15" x14ac:dyDescent="0.25">
      <c r="A19" s="42" t="s">
        <v>66</v>
      </c>
      <c r="B19" s="20" t="s">
        <v>27</v>
      </c>
      <c r="C19" s="20">
        <v>-804847.00999999989</v>
      </c>
      <c r="D19" s="20">
        <v>447839.10520000005</v>
      </c>
      <c r="E19" s="20">
        <v>-357007.90480000008</v>
      </c>
      <c r="F19" s="20"/>
      <c r="G19" s="20"/>
      <c r="H19" s="20">
        <v>-622921.19084528426</v>
      </c>
      <c r="I19" s="20">
        <v>351195.95250000007</v>
      </c>
      <c r="J19" s="20">
        <v>6370.9926999999998</v>
      </c>
      <c r="K19" s="20">
        <v>15115.84825909356</v>
      </c>
      <c r="L19" s="20">
        <v>-1170.3395999999998</v>
      </c>
      <c r="M19" s="20">
        <v>-608416.64178619056</v>
      </c>
    </row>
    <row r="20" spans="1:13" ht="15" x14ac:dyDescent="0.25">
      <c r="A20" s="42" t="s">
        <v>66</v>
      </c>
      <c r="B20" s="20" t="s">
        <v>28</v>
      </c>
      <c r="C20" s="20">
        <v>-320763.06999999995</v>
      </c>
      <c r="D20" s="20">
        <v>178713.58410000001</v>
      </c>
      <c r="E20" s="20">
        <v>-142049.4859</v>
      </c>
      <c r="F20" s="20"/>
      <c r="G20" s="20"/>
      <c r="H20" s="20">
        <v>-130147.18530382698</v>
      </c>
      <c r="I20" s="20">
        <v>78930.527900000001</v>
      </c>
      <c r="J20" s="20">
        <v>3847.6849999999995</v>
      </c>
      <c r="K20" s="20">
        <v>4001.9272366955515</v>
      </c>
      <c r="L20" s="20">
        <v>-578.14729999999997</v>
      </c>
      <c r="M20" s="20">
        <v>-185994.67836713145</v>
      </c>
    </row>
    <row r="21" spans="1:13" ht="15" x14ac:dyDescent="0.25">
      <c r="A21" s="42" t="s">
        <v>66</v>
      </c>
      <c r="B21" s="20" t="s">
        <v>29</v>
      </c>
      <c r="C21" s="20">
        <v>-104509.06</v>
      </c>
      <c r="D21" s="20">
        <v>53222.401100000003</v>
      </c>
      <c r="E21" s="20">
        <v>-51286.658899999995</v>
      </c>
      <c r="F21" s="20"/>
      <c r="G21" s="20"/>
      <c r="H21" s="20">
        <v>-64471.528761315036</v>
      </c>
      <c r="I21" s="20">
        <v>34570.778400000003</v>
      </c>
      <c r="J21" s="20">
        <v>0</v>
      </c>
      <c r="K21" s="20">
        <v>0</v>
      </c>
      <c r="L21" s="20">
        <v>0</v>
      </c>
      <c r="M21" s="20">
        <v>-81187.409261315013</v>
      </c>
    </row>
    <row r="22" spans="1:13" ht="15" x14ac:dyDescent="0.25">
      <c r="A22" s="42" t="s">
        <v>67</v>
      </c>
      <c r="B22" s="20" t="s">
        <v>30</v>
      </c>
      <c r="C22" s="20">
        <v>-25709.119999999999</v>
      </c>
      <c r="D22" s="20">
        <v>14174.171199999999</v>
      </c>
      <c r="E22" s="20">
        <v>-11534.9488</v>
      </c>
      <c r="F22" s="20"/>
      <c r="G22" s="20"/>
      <c r="H22" s="20">
        <v>-27.125120643783479</v>
      </c>
      <c r="I22" s="20">
        <v>874.04509999999993</v>
      </c>
      <c r="J22" s="20">
        <v>17.485600000000002</v>
      </c>
      <c r="K22" s="20">
        <v>1382.8572840747047</v>
      </c>
      <c r="L22" s="20">
        <v>-97.581999999999994</v>
      </c>
      <c r="M22" s="20">
        <v>-9385.2679365690801</v>
      </c>
    </row>
    <row r="23" spans="1:13" ht="15" x14ac:dyDescent="0.25">
      <c r="A23" s="39" t="s">
        <v>68</v>
      </c>
      <c r="B23" s="29" t="s">
        <v>31</v>
      </c>
      <c r="C23" s="29">
        <v>-765333.60000000009</v>
      </c>
      <c r="D23" s="29">
        <v>455753.35800000001</v>
      </c>
      <c r="E23" s="29">
        <v>-309580.24199999997</v>
      </c>
      <c r="F23" s="29"/>
      <c r="G23" s="29"/>
      <c r="H23" s="29">
        <v>-204992.11748743529</v>
      </c>
      <c r="I23" s="29">
        <v>133055.83040000001</v>
      </c>
      <c r="J23" s="29">
        <v>718.16110000000003</v>
      </c>
      <c r="K23" s="29">
        <v>0</v>
      </c>
      <c r="L23" s="29">
        <v>-24.308800000000002</v>
      </c>
      <c r="M23" s="29">
        <v>-380822.67678743519</v>
      </c>
    </row>
    <row r="24" spans="1:13" ht="15" x14ac:dyDescent="0.25">
      <c r="A24" s="39" t="s">
        <v>68</v>
      </c>
      <c r="B24" s="29" t="s">
        <v>32</v>
      </c>
      <c r="C24" s="29">
        <v>-185.27</v>
      </c>
      <c r="D24" s="29">
        <v>102.7971</v>
      </c>
      <c r="E24" s="29">
        <v>-82.472899999999996</v>
      </c>
      <c r="F24" s="29"/>
      <c r="G24" s="29"/>
      <c r="H24" s="29">
        <v>0</v>
      </c>
      <c r="I24" s="29">
        <v>6.1879999999999997</v>
      </c>
      <c r="J24" s="29">
        <v>0</v>
      </c>
      <c r="K24" s="29">
        <v>0</v>
      </c>
      <c r="L24" s="29">
        <v>0</v>
      </c>
      <c r="M24" s="29">
        <v>-76.284899999999993</v>
      </c>
    </row>
    <row r="25" spans="1:13" ht="15" x14ac:dyDescent="0.25">
      <c r="A25" s="43" t="s">
        <v>69</v>
      </c>
      <c r="B25" s="23" t="s">
        <v>33</v>
      </c>
      <c r="C25" s="23">
        <v>-14252.47</v>
      </c>
      <c r="D25" s="23">
        <v>8924.2163999999993</v>
      </c>
      <c r="E25" s="23">
        <v>-5328.2536</v>
      </c>
      <c r="F25" s="23"/>
      <c r="G25" s="23"/>
      <c r="H25" s="23">
        <v>-10760.343302153575</v>
      </c>
      <c r="I25" s="23">
        <v>8587.5054</v>
      </c>
      <c r="J25" s="23">
        <v>0</v>
      </c>
      <c r="K25" s="23">
        <v>1372.157659951195</v>
      </c>
      <c r="L25" s="23">
        <v>-95.164600000000007</v>
      </c>
      <c r="M25" s="23">
        <v>-6224.0984422023794</v>
      </c>
    </row>
    <row r="26" spans="1:13" ht="15" x14ac:dyDescent="0.25">
      <c r="A26" s="43" t="s">
        <v>69</v>
      </c>
      <c r="B26" s="23" t="s">
        <v>34</v>
      </c>
      <c r="C26" s="23">
        <v>-3795.72</v>
      </c>
      <c r="D26" s="23">
        <v>2075.7183</v>
      </c>
      <c r="E26" s="23">
        <v>-1720.0016999999998</v>
      </c>
      <c r="F26" s="23"/>
      <c r="G26" s="23"/>
      <c r="H26" s="23">
        <v>-3835.0214002505782</v>
      </c>
      <c r="I26" s="23">
        <v>2945.7927</v>
      </c>
      <c r="J26" s="23">
        <v>1528.1478999999999</v>
      </c>
      <c r="K26" s="23">
        <v>512.36839554508845</v>
      </c>
      <c r="L26" s="23">
        <v>-181.09339999999997</v>
      </c>
      <c r="M26" s="23">
        <v>-749.80750470548958</v>
      </c>
    </row>
    <row r="27" spans="1:13" ht="15" x14ac:dyDescent="0.25">
      <c r="A27" s="43" t="s">
        <v>70</v>
      </c>
      <c r="B27" s="23" t="s">
        <v>35</v>
      </c>
      <c r="C27" s="23">
        <v>-76322.47</v>
      </c>
      <c r="D27" s="23">
        <v>40696.895900000003</v>
      </c>
      <c r="E27" s="23">
        <v>-35625.574099999998</v>
      </c>
      <c r="F27" s="23"/>
      <c r="G27" s="23"/>
      <c r="H27" s="23">
        <v>-47735.812799723673</v>
      </c>
      <c r="I27" s="23">
        <v>27502.726300000002</v>
      </c>
      <c r="J27" s="23">
        <v>0</v>
      </c>
      <c r="K27" s="23">
        <v>0</v>
      </c>
      <c r="L27" s="23">
        <v>0</v>
      </c>
      <c r="M27" s="23">
        <v>-55858.660599723669</v>
      </c>
    </row>
    <row r="28" spans="1:13" ht="15" x14ac:dyDescent="0.25">
      <c r="A28" s="43" t="s">
        <v>70</v>
      </c>
      <c r="B28" s="23" t="s">
        <v>36</v>
      </c>
      <c r="C28" s="23">
        <v>-17881.400000000001</v>
      </c>
      <c r="D28" s="23">
        <v>9536.5380999999998</v>
      </c>
      <c r="E28" s="23">
        <v>-8344.8618999999999</v>
      </c>
      <c r="F28" s="23"/>
      <c r="G28" s="23"/>
      <c r="H28" s="23">
        <v>-6695.6250050667832</v>
      </c>
      <c r="I28" s="23">
        <v>4099.3886999999995</v>
      </c>
      <c r="J28" s="23">
        <v>0</v>
      </c>
      <c r="K28" s="23">
        <v>0</v>
      </c>
      <c r="L28" s="23">
        <v>0</v>
      </c>
      <c r="M28" s="23">
        <v>-10941.098205066784</v>
      </c>
    </row>
    <row r="29" spans="1:13" ht="15" x14ac:dyDescent="0.25">
      <c r="A29" s="43" t="s">
        <v>69</v>
      </c>
      <c r="B29" s="23" t="s">
        <v>37</v>
      </c>
      <c r="C29" s="23">
        <v>-61011.159999999996</v>
      </c>
      <c r="D29" s="23">
        <v>43413.374400000001</v>
      </c>
      <c r="E29" s="23">
        <v>-17597.785599999999</v>
      </c>
      <c r="F29" s="23"/>
      <c r="G29" s="23"/>
      <c r="H29" s="23">
        <v>-27017.946778778271</v>
      </c>
      <c r="I29" s="23">
        <v>23249.8842</v>
      </c>
      <c r="J29" s="23">
        <v>2416.4004999999997</v>
      </c>
      <c r="K29" s="23">
        <v>3698.4260265471075</v>
      </c>
      <c r="L29" s="23">
        <v>-94.335700000000003</v>
      </c>
      <c r="M29" s="23">
        <v>-15345.357352231158</v>
      </c>
    </row>
    <row r="30" spans="1:13" ht="15" x14ac:dyDescent="0.25">
      <c r="A30" s="43" t="s">
        <v>69</v>
      </c>
      <c r="B30" s="23" t="s">
        <v>38</v>
      </c>
      <c r="C30" s="23">
        <v>-4571.3</v>
      </c>
      <c r="D30" s="23">
        <v>2961.6120000000001</v>
      </c>
      <c r="E30" s="23">
        <v>-1609.6880000000001</v>
      </c>
      <c r="F30" s="23"/>
      <c r="G30" s="23"/>
      <c r="H30" s="23">
        <v>-3592.0417301760431</v>
      </c>
      <c r="I30" s="23">
        <v>2799.0992000000001</v>
      </c>
      <c r="J30" s="23">
        <v>220.67159999999998</v>
      </c>
      <c r="K30" s="23">
        <v>478.44895381697268</v>
      </c>
      <c r="L30" s="23">
        <v>-164.8888</v>
      </c>
      <c r="M30" s="23">
        <v>-1868.3987763590696</v>
      </c>
    </row>
    <row r="31" spans="1:13" ht="15" x14ac:dyDescent="0.25">
      <c r="A31" s="43" t="s">
        <v>69</v>
      </c>
      <c r="B31" s="23" t="s">
        <v>39</v>
      </c>
      <c r="C31" s="23">
        <v>-34266.910000000003</v>
      </c>
      <c r="D31" s="23">
        <v>8648.0047999999988</v>
      </c>
      <c r="E31" s="23">
        <v>-25618.905200000001</v>
      </c>
      <c r="F31" s="23"/>
      <c r="G31" s="23"/>
      <c r="H31" s="23">
        <v>-7007.0232869190013</v>
      </c>
      <c r="I31" s="23">
        <v>6437.824700000001</v>
      </c>
      <c r="J31" s="23">
        <v>3635.0318000000002</v>
      </c>
      <c r="K31" s="23">
        <v>917.0436602265122</v>
      </c>
      <c r="L31" s="23">
        <v>-232.96170000000001</v>
      </c>
      <c r="M31" s="23">
        <v>-21868.990026692489</v>
      </c>
    </row>
    <row r="32" spans="1:13" ht="15" x14ac:dyDescent="0.25">
      <c r="A32" s="43" t="s">
        <v>69</v>
      </c>
      <c r="B32" s="23" t="s">
        <v>40</v>
      </c>
      <c r="C32" s="23">
        <v>-17938.04</v>
      </c>
      <c r="D32" s="23">
        <v>11725.2235</v>
      </c>
      <c r="E32" s="23">
        <v>-6212.8165000000008</v>
      </c>
      <c r="F32" s="23"/>
      <c r="G32" s="23"/>
      <c r="H32" s="23">
        <v>-9937.8534497096407</v>
      </c>
      <c r="I32" s="23">
        <v>8292.3255000000008</v>
      </c>
      <c r="J32" s="23">
        <v>172.9845</v>
      </c>
      <c r="K32" s="23">
        <v>1300.6756167161898</v>
      </c>
      <c r="L32" s="23">
        <v>-181.5324</v>
      </c>
      <c r="M32" s="23">
        <v>-6566.2167329934509</v>
      </c>
    </row>
    <row r="33" spans="1:13" ht="15" x14ac:dyDescent="0.25">
      <c r="A33" s="43" t="s">
        <v>69</v>
      </c>
      <c r="B33" s="23" t="s">
        <v>41</v>
      </c>
      <c r="C33" s="23">
        <v>-6464.75</v>
      </c>
      <c r="D33" s="23">
        <v>4468.6484</v>
      </c>
      <c r="E33" s="23">
        <v>-1996.1016</v>
      </c>
      <c r="F33" s="23"/>
      <c r="G33" s="23"/>
      <c r="H33" s="23">
        <v>-3682.9571203338155</v>
      </c>
      <c r="I33" s="23">
        <v>3008.2165999999997</v>
      </c>
      <c r="J33" s="23">
        <v>0</v>
      </c>
      <c r="K33" s="23">
        <v>447.86917401427377</v>
      </c>
      <c r="L33" s="23">
        <v>-31.0609</v>
      </c>
      <c r="M33" s="23">
        <v>-2254.0338463195417</v>
      </c>
    </row>
    <row r="34" spans="1:13" ht="15" x14ac:dyDescent="0.25">
      <c r="A34" s="43" t="s">
        <v>69</v>
      </c>
      <c r="B34" s="23" t="s">
        <v>42</v>
      </c>
      <c r="C34" s="23">
        <v>-6436.18</v>
      </c>
      <c r="D34" s="23">
        <v>4104.9784</v>
      </c>
      <c r="E34" s="23">
        <v>-2331.2015999999999</v>
      </c>
      <c r="F34" s="23"/>
      <c r="G34" s="23"/>
      <c r="H34" s="23">
        <v>-5095.6353003236427</v>
      </c>
      <c r="I34" s="23">
        <v>3989.8645999999999</v>
      </c>
      <c r="J34" s="23">
        <v>204.26780000000002</v>
      </c>
      <c r="K34" s="23">
        <v>612.7823200821432</v>
      </c>
      <c r="L34" s="23">
        <v>-177.8999</v>
      </c>
      <c r="M34" s="23">
        <v>-2797.822080241499</v>
      </c>
    </row>
    <row r="35" spans="1:13" ht="15" x14ac:dyDescent="0.25">
      <c r="A35" s="43" t="s">
        <v>69</v>
      </c>
      <c r="B35" s="23" t="s">
        <v>43</v>
      </c>
      <c r="C35" s="23">
        <v>-6071.52</v>
      </c>
      <c r="D35" s="23">
        <v>3868.4736000000003</v>
      </c>
      <c r="E35" s="23">
        <v>-2203.0464000000002</v>
      </c>
      <c r="F35" s="23"/>
      <c r="G35" s="23"/>
      <c r="H35" s="23">
        <v>-6350.5704710311484</v>
      </c>
      <c r="I35" s="23">
        <v>4691.5605999999998</v>
      </c>
      <c r="J35" s="23">
        <v>216.96209999999999</v>
      </c>
      <c r="K35" s="23">
        <v>764.70433538014481</v>
      </c>
      <c r="L35" s="23">
        <v>-171.14689999999999</v>
      </c>
      <c r="M35" s="23">
        <v>-3051.5367356510037</v>
      </c>
    </row>
    <row r="36" spans="1:13" ht="15" x14ac:dyDescent="0.25">
      <c r="A36" s="44" t="s">
        <v>63</v>
      </c>
      <c r="B36" s="26" t="s">
        <v>44</v>
      </c>
      <c r="C36" s="26">
        <v>-47025.43</v>
      </c>
      <c r="D36" s="26">
        <v>26892.2752</v>
      </c>
      <c r="E36" s="26">
        <v>-20133.1548</v>
      </c>
      <c r="F36" s="26"/>
      <c r="G36" s="26"/>
      <c r="H36" s="26">
        <v>0</v>
      </c>
      <c r="I36" s="26">
        <v>4026.6309999999999</v>
      </c>
      <c r="J36" s="26">
        <v>0</v>
      </c>
      <c r="K36" s="26">
        <v>0</v>
      </c>
      <c r="L36" s="26">
        <v>0</v>
      </c>
      <c r="M36" s="26">
        <v>-16106.523800000001</v>
      </c>
    </row>
    <row r="37" spans="1:13" ht="15" x14ac:dyDescent="0.25">
      <c r="A37" s="45"/>
      <c r="B37" s="8" t="s">
        <v>10</v>
      </c>
      <c r="C37" s="7">
        <v>-8960414.8100000005</v>
      </c>
      <c r="D37" s="7">
        <v>5070706.9006000012</v>
      </c>
      <c r="E37" s="7">
        <v>-3889707.9094000007</v>
      </c>
      <c r="F37" s="7">
        <v>-3608893.159239009</v>
      </c>
      <c r="G37" s="7">
        <v>380614.81814864447</v>
      </c>
      <c r="H37" s="7">
        <v>-8380844.0236213179</v>
      </c>
      <c r="I37" s="7">
        <v>4701259.3002000013</v>
      </c>
      <c r="J37" s="7">
        <v>216613.58350000001</v>
      </c>
      <c r="K37" s="7">
        <v>257576.89789468446</v>
      </c>
      <c r="L37" s="7">
        <v>-15615.7081</v>
      </c>
      <c r="M37" s="7">
        <v>-10338996.200616997</v>
      </c>
    </row>
    <row r="38" spans="1:13" ht="38.25" x14ac:dyDescent="0.2">
      <c r="B38" s="9"/>
      <c r="C38" s="10"/>
      <c r="D38" s="10"/>
      <c r="E38" s="11" t="s">
        <v>45</v>
      </c>
      <c r="F38" s="11" t="s">
        <v>45</v>
      </c>
      <c r="G38" s="11" t="s">
        <v>46</v>
      </c>
      <c r="H38" s="11" t="s">
        <v>47</v>
      </c>
      <c r="I38" s="11" t="s">
        <v>46</v>
      </c>
      <c r="J38" s="11" t="s">
        <v>45</v>
      </c>
      <c r="K38" s="11" t="s">
        <v>48</v>
      </c>
      <c r="L38" s="11" t="s">
        <v>46</v>
      </c>
      <c r="M38" s="10"/>
    </row>
    <row r="39" spans="1:13" ht="14.25" x14ac:dyDescent="0.2">
      <c r="B39" s="12"/>
      <c r="C39" s="3"/>
      <c r="D39" s="3"/>
      <c r="E39" s="3"/>
      <c r="F39" s="3"/>
      <c r="G39" s="3"/>
      <c r="H39" s="3"/>
      <c r="I39" s="3"/>
      <c r="J39" s="13"/>
      <c r="K39" s="3"/>
      <c r="L39" s="13"/>
      <c r="M39" s="3"/>
    </row>
    <row r="40" spans="1:13" x14ac:dyDescent="0.2">
      <c r="C40" s="14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B42" s="1" t="s">
        <v>49</v>
      </c>
      <c r="C42" s="3"/>
      <c r="D42" s="3"/>
      <c r="E42" s="3"/>
      <c r="F42" s="15"/>
      <c r="G42" s="3"/>
      <c r="H42" s="3"/>
      <c r="I42" s="3"/>
      <c r="J42" s="3"/>
      <c r="K42" s="3"/>
      <c r="L42" s="3"/>
      <c r="M42" s="3"/>
    </row>
    <row r="43" spans="1:13" x14ac:dyDescent="0.2">
      <c r="B43" s="1" t="s">
        <v>50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B44" s="1" t="s">
        <v>57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7" spans="1:13" x14ac:dyDescent="0.2">
      <c r="A47" s="46" t="s">
        <v>72</v>
      </c>
      <c r="B47" t="s">
        <v>74</v>
      </c>
      <c r="D47" s="79" t="s">
        <v>115</v>
      </c>
      <c r="E47" s="79" t="s">
        <v>116</v>
      </c>
      <c r="G47" s="79" t="s">
        <v>115</v>
      </c>
      <c r="H47" s="79" t="s">
        <v>116</v>
      </c>
    </row>
    <row r="48" spans="1:13" x14ac:dyDescent="0.2">
      <c r="A48" s="47" t="s">
        <v>58</v>
      </c>
      <c r="B48" s="48">
        <v>-428549.31134773511</v>
      </c>
      <c r="D48" s="77">
        <f>VLOOKUP(A48,Summary!$A$8:$I$38,5)</f>
        <v>0.38574999999999998</v>
      </c>
      <c r="E48" s="36">
        <f>ROUND(+B48*D48,0)</f>
        <v>-165313</v>
      </c>
      <c r="G48" s="77">
        <f>VLOOKUP(A48,Summary!$A$8:$I$38,9)</f>
        <v>0.25345000000000001</v>
      </c>
      <c r="H48" s="36">
        <f>ROUND(+B48*G48,0)</f>
        <v>-108616</v>
      </c>
    </row>
    <row r="49" spans="1:11" x14ac:dyDescent="0.2">
      <c r="A49" s="47" t="s">
        <v>59</v>
      </c>
      <c r="B49" s="48">
        <v>-18865.007370207823</v>
      </c>
      <c r="D49" s="77">
        <f>VLOOKUP(A49,Summary!$A$8:$I$38,5)</f>
        <v>0.40262699999999996</v>
      </c>
      <c r="E49" s="36">
        <f t="shared" ref="E49:E60" si="0">ROUND(+B49*D49,0)</f>
        <v>-7596</v>
      </c>
      <c r="G49" s="77">
        <f>VLOOKUP(A49,Summary!$A$8:$I$38,9)</f>
        <v>0.27396199999999998</v>
      </c>
      <c r="H49" s="36">
        <f t="shared" ref="H49:H60" si="1">ROUND(+B49*G49,0)</f>
        <v>-5168</v>
      </c>
    </row>
    <row r="50" spans="1:11" x14ac:dyDescent="0.2">
      <c r="A50" s="47" t="s">
        <v>60</v>
      </c>
      <c r="B50" s="48">
        <v>-481872.50525480259</v>
      </c>
      <c r="D50" s="77">
        <f>VLOOKUP(A50,Summary!$A$8:$I$38,5)</f>
        <v>0.40654999999999997</v>
      </c>
      <c r="E50" s="36">
        <f t="shared" si="0"/>
        <v>-195905</v>
      </c>
      <c r="G50" s="77">
        <f>VLOOKUP(A50,Summary!$A$8:$I$38,9)</f>
        <v>0.27872999999999998</v>
      </c>
      <c r="H50" s="36">
        <f t="shared" si="1"/>
        <v>-134312</v>
      </c>
    </row>
    <row r="51" spans="1:11" x14ac:dyDescent="0.2">
      <c r="A51" s="47" t="s">
        <v>61</v>
      </c>
      <c r="B51" s="48">
        <v>-1515156.4098679502</v>
      </c>
      <c r="D51" s="77">
        <f>VLOOKUP(A51,Summary!$A$8:$I$38,5)</f>
        <v>0.41576021437699995</v>
      </c>
      <c r="E51" s="36">
        <f t="shared" si="0"/>
        <v>-629942</v>
      </c>
      <c r="G51" s="77">
        <f>VLOOKUP(A51,Summary!$A$8:$I$38,9)</f>
        <v>0.2899239528582</v>
      </c>
      <c r="H51" s="36">
        <f t="shared" si="1"/>
        <v>-439280</v>
      </c>
    </row>
    <row r="52" spans="1:11" x14ac:dyDescent="0.2">
      <c r="A52" s="47" t="s">
        <v>64</v>
      </c>
      <c r="B52" s="48">
        <v>162884.70389999999</v>
      </c>
      <c r="D52" s="77">
        <f>VLOOKUP(A52,Summary!$A$8:$I$38,5)</f>
        <v>0.38574999999999998</v>
      </c>
      <c r="E52" s="36">
        <f t="shared" si="0"/>
        <v>62833</v>
      </c>
      <c r="G52" s="77">
        <f>VLOOKUP(A52,Summary!$A$8:$I$38,9)</f>
        <v>0.25345000000000001</v>
      </c>
      <c r="H52" s="36">
        <f t="shared" si="1"/>
        <v>41283</v>
      </c>
    </row>
    <row r="53" spans="1:11" s="118" customFormat="1" x14ac:dyDescent="0.2">
      <c r="A53" s="116" t="s">
        <v>65</v>
      </c>
      <c r="B53" s="117">
        <v>-6510052.2939323364</v>
      </c>
      <c r="D53" s="119">
        <f>VLOOKUP(A53,Summary!$A$8:$I$38,5)</f>
        <v>0.38574999999999998</v>
      </c>
      <c r="E53" s="120">
        <f t="shared" si="0"/>
        <v>-2511253</v>
      </c>
      <c r="G53" s="119">
        <f>VLOOKUP(A53,Summary!$A$8:$I$38,9)</f>
        <v>0.25345000000000001</v>
      </c>
      <c r="H53" s="120">
        <f t="shared" si="1"/>
        <v>-1649973</v>
      </c>
      <c r="I53" s="121"/>
      <c r="J53" s="121"/>
      <c r="K53" s="121"/>
    </row>
    <row r="54" spans="1:11" x14ac:dyDescent="0.2">
      <c r="A54" s="47" t="s">
        <v>62</v>
      </c>
      <c r="B54" s="48">
        <v>-137869.87360313794</v>
      </c>
      <c r="D54" s="77">
        <f>VLOOKUP(A54,Summary!$A$8:$I$38,5)</f>
        <v>0.38574999999999998</v>
      </c>
      <c r="E54" s="36">
        <f t="shared" si="0"/>
        <v>-53183</v>
      </c>
      <c r="G54" s="77">
        <f>VLOOKUP(A54,Summary!$A$8:$I$38,9)</f>
        <v>0.25345000000000001</v>
      </c>
      <c r="H54" s="36">
        <f t="shared" si="1"/>
        <v>-34943</v>
      </c>
      <c r="K54" s="85"/>
    </row>
    <row r="55" spans="1:11" x14ac:dyDescent="0.2">
      <c r="A55" s="47" t="s">
        <v>67</v>
      </c>
      <c r="B55" s="48">
        <v>-9385.2679365690801</v>
      </c>
      <c r="D55" s="77">
        <f>VLOOKUP(A55,Summary!$A$8:$I$38,5)</f>
        <v>0.38574999999999998</v>
      </c>
      <c r="E55" s="36">
        <f t="shared" si="0"/>
        <v>-3620</v>
      </c>
      <c r="G55" s="77">
        <f>VLOOKUP(A55,Summary!$A$8:$I$38,9)</f>
        <v>0.25345000000000001</v>
      </c>
      <c r="H55" s="36">
        <f t="shared" si="1"/>
        <v>-2379</v>
      </c>
    </row>
    <row r="56" spans="1:11" x14ac:dyDescent="0.2">
      <c r="A56" s="80" t="s">
        <v>66</v>
      </c>
      <c r="B56" s="81">
        <v>-875598.72941463708</v>
      </c>
      <c r="C56" s="82"/>
      <c r="D56" s="83">
        <f>VLOOKUP(A56,Summary!$A$8:$I$38,5)</f>
        <v>0.38574999999999998</v>
      </c>
      <c r="E56" s="84">
        <f t="shared" si="0"/>
        <v>-337762</v>
      </c>
      <c r="F56" s="82"/>
      <c r="G56" s="83">
        <f>VLOOKUP(A56,Summary!$A$8:$I$38,9)</f>
        <v>0.25345000000000001</v>
      </c>
      <c r="H56" s="84">
        <f t="shared" si="1"/>
        <v>-221920</v>
      </c>
      <c r="I56" s="35">
        <f>+H56-E56</f>
        <v>115842</v>
      </c>
      <c r="J56" s="35">
        <v>125786</v>
      </c>
      <c r="K56" s="35">
        <f>+I56-J56</f>
        <v>-9944</v>
      </c>
    </row>
    <row r="57" spans="1:11" x14ac:dyDescent="0.2">
      <c r="A57" s="47" t="s">
        <v>68</v>
      </c>
      <c r="B57" s="48">
        <v>-380898.96168743522</v>
      </c>
      <c r="D57" s="77">
        <f>VLOOKUP(A57,Summary!$A$8:$I$38,5)</f>
        <v>0.40362500000000001</v>
      </c>
      <c r="E57" s="36">
        <f t="shared" si="0"/>
        <v>-153740</v>
      </c>
      <c r="G57" s="77">
        <f>VLOOKUP(A57,Summary!$A$8:$I$38,9)</f>
        <v>0.275175</v>
      </c>
      <c r="H57" s="36">
        <f t="shared" si="1"/>
        <v>-104814</v>
      </c>
    </row>
    <row r="58" spans="1:11" x14ac:dyDescent="0.2">
      <c r="A58" s="47" t="s">
        <v>70</v>
      </c>
      <c r="B58" s="48">
        <v>-66799.758804790457</v>
      </c>
      <c r="D58" s="77">
        <f>VLOOKUP(A58,Summary!$A$8:$I$38,5)</f>
        <v>0.40456684999999998</v>
      </c>
      <c r="E58" s="36">
        <f t="shared" si="0"/>
        <v>-27025</v>
      </c>
      <c r="G58" s="77">
        <f>VLOOKUP(A58,Summary!$A$8:$I$38,9)</f>
        <v>0.27631971</v>
      </c>
      <c r="H58" s="36">
        <f t="shared" si="1"/>
        <v>-18458</v>
      </c>
    </row>
    <row r="59" spans="1:11" x14ac:dyDescent="0.2">
      <c r="A59" s="47" t="s">
        <v>69</v>
      </c>
      <c r="B59" s="48">
        <v>-60726.261497396088</v>
      </c>
      <c r="D59" s="77">
        <f>VLOOKUP(A59,Summary!$A$8:$I$38,5)</f>
        <v>0.40456684999999998</v>
      </c>
      <c r="E59" s="36">
        <f t="shared" si="0"/>
        <v>-24568</v>
      </c>
      <c r="G59" s="77">
        <f>VLOOKUP(A59,Summary!$A$8:$I$38,9)</f>
        <v>0.27631971</v>
      </c>
      <c r="H59" s="36">
        <f t="shared" si="1"/>
        <v>-16780</v>
      </c>
    </row>
    <row r="60" spans="1:11" x14ac:dyDescent="0.2">
      <c r="A60" s="47" t="s">
        <v>63</v>
      </c>
      <c r="B60" s="48">
        <v>-16106.523800000001</v>
      </c>
      <c r="D60" s="77">
        <f>VLOOKUP(A60,Summary!$A$8:$I$38,5)</f>
        <v>0.408741902258</v>
      </c>
      <c r="E60" s="36">
        <f t="shared" si="0"/>
        <v>-6583</v>
      </c>
      <c r="G60" s="77">
        <f>VLOOKUP(A60,Summary!$A$8:$I$38,9)</f>
        <v>0.28139400428279998</v>
      </c>
      <c r="H60" s="36">
        <f t="shared" si="1"/>
        <v>-4532</v>
      </c>
    </row>
    <row r="61" spans="1:11" x14ac:dyDescent="0.2">
      <c r="A61" s="47" t="s">
        <v>73</v>
      </c>
      <c r="B61" s="48">
        <v>-10338996.200616997</v>
      </c>
      <c r="E61" s="78">
        <f>SUM(E48:E60)</f>
        <v>-4053657</v>
      </c>
      <c r="H61" s="78">
        <f>SUM(H48:H60)</f>
        <v>-2699892</v>
      </c>
    </row>
    <row r="66" spans="3:8" x14ac:dyDescent="0.2">
      <c r="D66" s="85">
        <f>'[6]FN ADIT Before-After'!$F$34</f>
        <v>-654523</v>
      </c>
      <c r="E66" s="36">
        <f>H56</f>
        <v>-221920</v>
      </c>
      <c r="F66" s="35"/>
      <c r="G66" s="35"/>
      <c r="H66" s="35"/>
    </row>
    <row r="68" spans="3:8" x14ac:dyDescent="0.2">
      <c r="D68" s="86">
        <v>0.38574999999999998</v>
      </c>
      <c r="E68" s="86">
        <v>0.25345000000000001</v>
      </c>
    </row>
    <row r="70" spans="3:8" x14ac:dyDescent="0.2">
      <c r="D70" s="36"/>
    </row>
    <row r="73" spans="3:8" x14ac:dyDescent="0.2">
      <c r="C73" t="s">
        <v>117</v>
      </c>
      <c r="D73" s="35">
        <f>E56</f>
        <v>-337762</v>
      </c>
      <c r="E73" s="85">
        <f>H56</f>
        <v>-221920</v>
      </c>
      <c r="F73" s="35">
        <f>+E73-D73</f>
        <v>115842</v>
      </c>
    </row>
    <row r="74" spans="3:8" x14ac:dyDescent="0.2">
      <c r="C74" t="s">
        <v>118</v>
      </c>
      <c r="D74" s="85">
        <f>+D66</f>
        <v>-654523</v>
      </c>
      <c r="E74" s="85">
        <f>'[6]FN ADIT Before-After'!$L$34</f>
        <v>-528716</v>
      </c>
      <c r="F74" s="35">
        <f>+E74-D74</f>
        <v>125807</v>
      </c>
    </row>
    <row r="75" spans="3:8" x14ac:dyDescent="0.2">
      <c r="D75" s="87"/>
      <c r="E75" s="87"/>
      <c r="F75" s="87"/>
    </row>
    <row r="77" spans="3:8" x14ac:dyDescent="0.2">
      <c r="C77" t="s">
        <v>119</v>
      </c>
      <c r="D77" s="114">
        <f>+D73-D74</f>
        <v>316761</v>
      </c>
      <c r="E77" s="85">
        <f>+E73-E74</f>
        <v>306796</v>
      </c>
      <c r="F77" s="114">
        <f>+F73-F74</f>
        <v>-9965</v>
      </c>
    </row>
    <row r="78" spans="3:8" x14ac:dyDescent="0.2">
      <c r="C78" t="s">
        <v>120</v>
      </c>
      <c r="D78" s="85">
        <f>-D77</f>
        <v>-316761</v>
      </c>
      <c r="E78" s="85">
        <f>-E77</f>
        <v>-306796</v>
      </c>
      <c r="F78" s="85">
        <f>-F77</f>
        <v>9965</v>
      </c>
    </row>
    <row r="80" spans="3:8" x14ac:dyDescent="0.2">
      <c r="C80" s="89"/>
      <c r="D80" s="89"/>
      <c r="E80" s="89"/>
      <c r="F80" s="89"/>
    </row>
    <row r="81" spans="3:8" x14ac:dyDescent="0.2">
      <c r="C81" s="111"/>
      <c r="D81" s="89"/>
      <c r="E81" s="89"/>
      <c r="F81" s="89"/>
    </row>
    <row r="82" spans="3:8" x14ac:dyDescent="0.2">
      <c r="C82" s="89"/>
      <c r="D82" s="89"/>
      <c r="E82" s="89"/>
      <c r="F82" s="89"/>
    </row>
    <row r="83" spans="3:8" x14ac:dyDescent="0.2">
      <c r="C83" s="89"/>
      <c r="D83" s="90"/>
      <c r="E83" s="90"/>
      <c r="F83" s="112"/>
      <c r="G83" s="85"/>
      <c r="H83" s="85"/>
    </row>
    <row r="84" spans="3:8" x14ac:dyDescent="0.2">
      <c r="C84" s="89"/>
      <c r="D84" s="90"/>
      <c r="E84" s="90"/>
      <c r="F84" s="112"/>
      <c r="G84" s="85"/>
      <c r="H84" s="85"/>
    </row>
    <row r="85" spans="3:8" x14ac:dyDescent="0.2">
      <c r="C85" s="89"/>
      <c r="D85" s="90"/>
      <c r="E85" s="90"/>
      <c r="F85" s="89"/>
      <c r="G85" s="85"/>
      <c r="H85" s="85"/>
    </row>
    <row r="86" spans="3:8" x14ac:dyDescent="0.2">
      <c r="C86" s="89"/>
      <c r="D86" s="90"/>
      <c r="E86" s="90"/>
      <c r="F86" s="89"/>
      <c r="G86" s="85"/>
      <c r="H86" s="85"/>
    </row>
    <row r="87" spans="3:8" x14ac:dyDescent="0.2">
      <c r="C87" s="113"/>
      <c r="D87" s="90"/>
      <c r="E87" s="90"/>
      <c r="F87" s="90"/>
      <c r="G87" s="85"/>
      <c r="H87" s="85"/>
    </row>
    <row r="88" spans="3:8" x14ac:dyDescent="0.2">
      <c r="C88" s="113"/>
      <c r="D88" s="90"/>
      <c r="E88" s="90"/>
      <c r="F88" s="90"/>
      <c r="G88" s="85"/>
      <c r="H88" s="85"/>
    </row>
    <row r="89" spans="3:8" x14ac:dyDescent="0.2">
      <c r="C89" s="89"/>
      <c r="D89" s="90"/>
      <c r="E89" s="90"/>
      <c r="F89" s="90"/>
      <c r="G89" s="85"/>
      <c r="H89" s="85"/>
    </row>
    <row r="90" spans="3:8" x14ac:dyDescent="0.2">
      <c r="C90" s="89"/>
      <c r="D90" s="85"/>
      <c r="E90" s="85"/>
      <c r="F90" s="85"/>
      <c r="G90" s="85"/>
      <c r="H90" s="85"/>
    </row>
    <row r="91" spans="3:8" x14ac:dyDescent="0.2">
      <c r="C91" s="89"/>
      <c r="D91" s="89"/>
      <c r="E91" s="89"/>
      <c r="F91" s="89"/>
      <c r="G91" s="89"/>
      <c r="H91" s="89"/>
    </row>
    <row r="92" spans="3:8" x14ac:dyDescent="0.2">
      <c r="D92" s="90"/>
      <c r="E92" s="90"/>
      <c r="F92" s="35"/>
      <c r="G92" s="89"/>
      <c r="H92" s="89"/>
    </row>
    <row r="93" spans="3:8" x14ac:dyDescent="0.2">
      <c r="D93" s="90"/>
      <c r="E93" s="90"/>
      <c r="F93" s="35"/>
      <c r="G93" s="89"/>
      <c r="H93" s="89"/>
    </row>
    <row r="94" spans="3:8" x14ac:dyDescent="0.2">
      <c r="C94" s="89"/>
      <c r="D94" s="89"/>
      <c r="E94" s="89"/>
      <c r="F94" s="89"/>
      <c r="G94" s="89"/>
      <c r="H94" s="89"/>
    </row>
  </sheetData>
  <pageMargins left="0.7" right="0.7" top="0.75" bottom="0.75" header="0.3" footer="0.3"/>
  <pageSetup scale="4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topLeftCell="C1" workbookViewId="0">
      <selection activeCell="C1" sqref="C1"/>
    </sheetView>
  </sheetViews>
  <sheetFormatPr defaultRowHeight="12.75" x14ac:dyDescent="0.2"/>
  <cols>
    <col min="3" max="3" width="24.28515625" bestFit="1" customWidth="1"/>
    <col min="4" max="4" width="40.7109375" bestFit="1" customWidth="1"/>
    <col min="5" max="7" width="12.7109375" customWidth="1"/>
    <col min="8" max="8" width="19.85546875" customWidth="1"/>
    <col min="9" max="10" width="12.7109375" customWidth="1"/>
  </cols>
  <sheetData>
    <row r="1" spans="1:10" ht="30" x14ac:dyDescent="0.4">
      <c r="A1" s="93" t="s">
        <v>146</v>
      </c>
      <c r="B1" s="94"/>
      <c r="C1" s="95"/>
      <c r="D1" s="96"/>
      <c r="E1" s="96"/>
      <c r="F1" s="96"/>
      <c r="G1" s="96"/>
      <c r="H1" s="96"/>
      <c r="I1" s="94"/>
    </row>
    <row r="2" spans="1:10" x14ac:dyDescent="0.2">
      <c r="A2" s="94"/>
      <c r="B2" s="94"/>
      <c r="C2" s="122" t="s">
        <v>0</v>
      </c>
      <c r="D2" s="123"/>
      <c r="E2" s="123"/>
      <c r="F2" s="123"/>
      <c r="G2" s="123"/>
      <c r="H2" s="123"/>
      <c r="I2" s="94"/>
    </row>
    <row r="3" spans="1:10" x14ac:dyDescent="0.2">
      <c r="A3" s="94"/>
      <c r="B3" s="94"/>
      <c r="C3" s="124" t="s">
        <v>125</v>
      </c>
      <c r="D3" s="123"/>
      <c r="E3" s="123"/>
      <c r="F3" s="123"/>
      <c r="G3" s="123"/>
      <c r="H3" s="123"/>
      <c r="I3" s="94"/>
    </row>
    <row r="4" spans="1:10" x14ac:dyDescent="0.2">
      <c r="A4" s="94"/>
      <c r="B4" s="94"/>
      <c r="C4" s="125" t="s">
        <v>147</v>
      </c>
      <c r="D4" s="126"/>
      <c r="E4" s="126"/>
      <c r="F4" s="126"/>
      <c r="G4" s="126"/>
      <c r="H4" s="126"/>
      <c r="I4" s="94"/>
    </row>
    <row r="5" spans="1:10" x14ac:dyDescent="0.2">
      <c r="A5" s="94"/>
      <c r="B5" s="94"/>
      <c r="C5" s="124" t="s">
        <v>124</v>
      </c>
      <c r="D5" s="123"/>
      <c r="E5" s="123"/>
      <c r="F5" s="123"/>
      <c r="G5" s="123"/>
      <c r="H5" s="123"/>
      <c r="I5" s="94"/>
    </row>
    <row r="6" spans="1:10" x14ac:dyDescent="0.2">
      <c r="A6" s="94"/>
      <c r="B6" s="94"/>
      <c r="C6" s="97"/>
      <c r="D6" s="94"/>
      <c r="E6" s="98" t="s">
        <v>126</v>
      </c>
      <c r="F6" s="127"/>
      <c r="G6" s="127"/>
      <c r="H6" s="127"/>
      <c r="I6" s="127"/>
    </row>
    <row r="7" spans="1:10" x14ac:dyDescent="0.2">
      <c r="A7" s="94" t="s">
        <v>127</v>
      </c>
      <c r="B7" s="99">
        <v>5.5E-2</v>
      </c>
      <c r="C7" s="94" t="s">
        <v>124</v>
      </c>
      <c r="D7" s="94" t="s">
        <v>128</v>
      </c>
      <c r="E7" s="86">
        <v>0.35</v>
      </c>
      <c r="F7" s="86">
        <v>0.21</v>
      </c>
      <c r="G7" s="86"/>
      <c r="H7" s="94" t="s">
        <v>124</v>
      </c>
      <c r="I7" s="94"/>
    </row>
    <row r="8" spans="1:10" x14ac:dyDescent="0.2">
      <c r="A8" s="94"/>
      <c r="B8" s="99"/>
      <c r="C8" s="94"/>
      <c r="D8" s="94" t="s">
        <v>129</v>
      </c>
      <c r="E8" s="86">
        <f>(1-E7)*$B$7+E7</f>
        <v>0.38574999999999998</v>
      </c>
      <c r="F8" s="86">
        <f>(1-F7)*$B$7+F7</f>
        <v>0.25345000000000001</v>
      </c>
      <c r="G8" s="86"/>
      <c r="H8" s="94"/>
      <c r="I8" s="109" t="s">
        <v>130</v>
      </c>
    </row>
    <row r="9" spans="1:10" ht="25.5" x14ac:dyDescent="0.2">
      <c r="A9" s="94" t="s">
        <v>131</v>
      </c>
      <c r="B9" s="94"/>
      <c r="C9" s="100" t="s">
        <v>132</v>
      </c>
      <c r="D9" s="100" t="s">
        <v>133</v>
      </c>
      <c r="E9" s="100" t="s">
        <v>134</v>
      </c>
      <c r="F9" s="100" t="s">
        <v>135</v>
      </c>
      <c r="G9" s="100"/>
      <c r="H9" s="100" t="s">
        <v>136</v>
      </c>
      <c r="I9" s="100" t="s">
        <v>136</v>
      </c>
      <c r="J9" s="100" t="s">
        <v>10</v>
      </c>
    </row>
    <row r="10" spans="1:10" ht="14.25" x14ac:dyDescent="0.2">
      <c r="A10" s="94"/>
      <c r="B10" s="101"/>
      <c r="C10" s="102"/>
      <c r="D10" s="102"/>
      <c r="E10" s="103"/>
      <c r="F10" s="103"/>
      <c r="G10" s="103"/>
      <c r="H10" s="104"/>
      <c r="I10" s="104"/>
    </row>
    <row r="11" spans="1:10" ht="14.25" x14ac:dyDescent="0.2">
      <c r="A11" s="94" t="str">
        <f t="shared" ref="A11:A14" si="0">LEFT(C11,4)</f>
        <v>25DP</v>
      </c>
      <c r="B11" s="106" t="s">
        <v>137</v>
      </c>
      <c r="C11" s="102" t="s">
        <v>138</v>
      </c>
      <c r="D11" s="102" t="s">
        <v>139</v>
      </c>
      <c r="E11" s="103">
        <v>-106772</v>
      </c>
      <c r="F11" s="103">
        <v>36619</v>
      </c>
      <c r="G11" s="103"/>
      <c r="H11" s="105">
        <v>36619</v>
      </c>
      <c r="I11" s="104">
        <v>48</v>
      </c>
      <c r="J11" s="85">
        <f>SUM(H11:I11)</f>
        <v>36667</v>
      </c>
    </row>
    <row r="12" spans="1:10" ht="14.25" x14ac:dyDescent="0.2">
      <c r="A12" s="94" t="str">
        <f t="shared" si="0"/>
        <v>25DP</v>
      </c>
      <c r="B12" s="106" t="s">
        <v>137</v>
      </c>
      <c r="C12" s="102" t="s">
        <v>140</v>
      </c>
      <c r="D12" s="102" t="s">
        <v>141</v>
      </c>
      <c r="E12" s="103">
        <v>0</v>
      </c>
      <c r="F12" s="103">
        <v>0</v>
      </c>
      <c r="G12" s="103"/>
      <c r="H12" s="105">
        <v>0</v>
      </c>
      <c r="I12" s="104"/>
      <c r="J12" s="85">
        <f t="shared" ref="J12:J14" si="1">SUM(H12:I12)</f>
        <v>0</v>
      </c>
    </row>
    <row r="13" spans="1:10" ht="14.25" x14ac:dyDescent="0.2">
      <c r="A13" s="94" t="str">
        <f t="shared" si="0"/>
        <v>25DP</v>
      </c>
      <c r="B13" s="106" t="s">
        <v>137</v>
      </c>
      <c r="C13" s="102" t="s">
        <v>142</v>
      </c>
      <c r="D13" s="102" t="s">
        <v>143</v>
      </c>
      <c r="E13" s="103"/>
      <c r="F13" s="103"/>
      <c r="G13" s="103"/>
      <c r="H13" s="105"/>
      <c r="I13" s="104"/>
      <c r="J13" s="85">
        <f t="shared" si="1"/>
        <v>0</v>
      </c>
    </row>
    <row r="14" spans="1:10" ht="14.25" x14ac:dyDescent="0.2">
      <c r="A14" s="94" t="str">
        <f t="shared" si="0"/>
        <v>25DP</v>
      </c>
      <c r="B14" s="106" t="s">
        <v>137</v>
      </c>
      <c r="C14" s="102" t="s">
        <v>144</v>
      </c>
      <c r="D14" s="102" t="s">
        <v>145</v>
      </c>
      <c r="E14" s="103">
        <v>0</v>
      </c>
      <c r="F14" s="103">
        <v>0</v>
      </c>
      <c r="G14" s="103"/>
      <c r="H14" s="105">
        <v>0</v>
      </c>
      <c r="I14" s="104"/>
      <c r="J14" s="85">
        <f t="shared" si="1"/>
        <v>0</v>
      </c>
    </row>
    <row r="15" spans="1:10" x14ac:dyDescent="0.2">
      <c r="A15" s="94"/>
      <c r="B15" s="94"/>
      <c r="C15" s="94" t="s">
        <v>124</v>
      </c>
      <c r="D15" s="94" t="s">
        <v>124</v>
      </c>
      <c r="E15" s="94" t="s">
        <v>124</v>
      </c>
      <c r="F15" s="94" t="s">
        <v>124</v>
      </c>
      <c r="G15" s="94"/>
      <c r="H15" s="94" t="s">
        <v>124</v>
      </c>
      <c r="I15" s="94"/>
    </row>
    <row r="16" spans="1:10" ht="13.5" thickBot="1" x14ac:dyDescent="0.25">
      <c r="A16" s="94"/>
      <c r="B16" s="94"/>
      <c r="C16" s="107" t="s">
        <v>10</v>
      </c>
      <c r="D16" s="107" t="s">
        <v>124</v>
      </c>
      <c r="E16" s="108">
        <f>SUM(E10:E15)</f>
        <v>-106772</v>
      </c>
      <c r="F16" s="108">
        <f>SUM(F10:F15)</f>
        <v>36619</v>
      </c>
      <c r="G16" s="108"/>
      <c r="H16" s="108">
        <f>SUM(H10:H15)</f>
        <v>36619</v>
      </c>
      <c r="I16" s="108">
        <f>SUM(I10:I15)</f>
        <v>48</v>
      </c>
      <c r="J16" s="108">
        <f>SUM(J10:J15)</f>
        <v>36667</v>
      </c>
    </row>
    <row r="17" spans="5:13" ht="13.5" thickTop="1" x14ac:dyDescent="0.2"/>
    <row r="20" spans="5:13" x14ac:dyDescent="0.2">
      <c r="E20" s="88" t="s">
        <v>121</v>
      </c>
      <c r="F20" s="86">
        <v>0.38574999999999998</v>
      </c>
      <c r="G20" s="86">
        <v>0.25345000000000001</v>
      </c>
    </row>
    <row r="22" spans="5:13" x14ac:dyDescent="0.2">
      <c r="E22" t="s">
        <v>117</v>
      </c>
      <c r="F22" s="114">
        <v>-99300.738851098344</v>
      </c>
      <c r="G22" s="114">
        <f>+F22/F20*G20</f>
        <v>-65243.738851097543</v>
      </c>
      <c r="H22" s="115">
        <v>34057</v>
      </c>
      <c r="J22" s="114">
        <f>+G22-F22</f>
        <v>34057.0000000008</v>
      </c>
      <c r="K22" s="118"/>
      <c r="L22" s="118"/>
      <c r="M22" s="118"/>
    </row>
    <row r="23" spans="5:13" x14ac:dyDescent="0.2">
      <c r="F23" s="85"/>
      <c r="G23" s="85"/>
      <c r="H23" s="35"/>
    </row>
    <row r="24" spans="5:13" x14ac:dyDescent="0.2">
      <c r="E24" t="s">
        <v>118</v>
      </c>
      <c r="F24" s="85">
        <f>+E16</f>
        <v>-106772</v>
      </c>
      <c r="G24" s="85">
        <f>+E16+F16</f>
        <v>-70153</v>
      </c>
      <c r="H24" s="35">
        <f>+H16</f>
        <v>36619</v>
      </c>
      <c r="J24" s="85">
        <f>+G24-F24</f>
        <v>36619</v>
      </c>
    </row>
    <row r="25" spans="5:13" x14ac:dyDescent="0.2">
      <c r="F25" s="85">
        <v>-139</v>
      </c>
      <c r="G25" s="85">
        <v>-91</v>
      </c>
      <c r="H25" s="35">
        <f>G25-F25</f>
        <v>48</v>
      </c>
      <c r="J25" s="85"/>
    </row>
    <row r="26" spans="5:13" x14ac:dyDescent="0.2">
      <c r="F26" s="91"/>
      <c r="G26" s="91"/>
      <c r="H26" s="110"/>
      <c r="J26" s="85"/>
    </row>
    <row r="27" spans="5:13" x14ac:dyDescent="0.2">
      <c r="F27" s="85">
        <f>SUM(F24:F26)</f>
        <v>-106911</v>
      </c>
      <c r="G27" s="85">
        <f t="shared" ref="G27:H27" si="2">SUM(G24:G26)</f>
        <v>-70244</v>
      </c>
      <c r="H27" s="85">
        <f t="shared" si="2"/>
        <v>36667</v>
      </c>
      <c r="J27" s="85"/>
    </row>
    <row r="28" spans="5:13" x14ac:dyDescent="0.2">
      <c r="F28" s="85"/>
      <c r="G28" s="85"/>
      <c r="H28" s="35"/>
      <c r="J28" s="85"/>
    </row>
    <row r="29" spans="5:13" x14ac:dyDescent="0.2">
      <c r="E29" s="89"/>
      <c r="F29" s="91"/>
      <c r="G29" s="91"/>
      <c r="H29" s="87"/>
    </row>
    <row r="30" spans="5:13" x14ac:dyDescent="0.2">
      <c r="E30" s="89"/>
      <c r="F30" s="85"/>
      <c r="G30" s="85"/>
    </row>
    <row r="31" spans="5:13" x14ac:dyDescent="0.2">
      <c r="E31" s="92" t="s">
        <v>123</v>
      </c>
      <c r="F31" s="114">
        <f>+F22-F27</f>
        <v>7610.2611489016563</v>
      </c>
      <c r="G31" s="85">
        <f t="shared" ref="G31:H31" si="3">+G22-G27</f>
        <v>5000.2611489024566</v>
      </c>
      <c r="H31" s="114">
        <f t="shared" si="3"/>
        <v>-2610</v>
      </c>
    </row>
    <row r="32" spans="5:13" x14ac:dyDescent="0.2">
      <c r="E32" s="92" t="s">
        <v>122</v>
      </c>
      <c r="F32" s="85">
        <f>-F31</f>
        <v>-7610.2611489016563</v>
      </c>
      <c r="G32" s="85">
        <f>-G31</f>
        <v>-5000.2611489024566</v>
      </c>
      <c r="H32" s="85">
        <f>-H31</f>
        <v>2610</v>
      </c>
    </row>
  </sheetData>
  <mergeCells count="5">
    <mergeCell ref="C2:H2"/>
    <mergeCell ref="C3:H3"/>
    <mergeCell ref="C4:H4"/>
    <mergeCell ref="C5:H5"/>
    <mergeCell ref="F6:I6"/>
  </mergeCells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46"/>
  <sheetViews>
    <sheetView zoomScale="70" zoomScaleNormal="70" workbookViewId="0">
      <selection activeCell="T6" sqref="T6"/>
    </sheetView>
  </sheetViews>
  <sheetFormatPr defaultRowHeight="12.75" x14ac:dyDescent="0.2"/>
  <cols>
    <col min="1" max="1" width="31.140625" customWidth="1"/>
    <col min="2" max="2" width="16.28515625" style="3" customWidth="1"/>
    <col min="3" max="3" width="19.28515625" style="3" customWidth="1"/>
    <col min="4" max="4" width="20.140625" style="3" customWidth="1"/>
    <col min="5" max="5" width="17.28515625" style="3" customWidth="1"/>
    <col min="6" max="6" width="19.7109375" style="3" customWidth="1"/>
    <col min="7" max="7" width="18.85546875" style="3" customWidth="1"/>
    <col min="8" max="8" width="18.7109375" style="3" customWidth="1"/>
    <col min="9" max="9" width="20.5703125" style="3" customWidth="1"/>
    <col min="10" max="10" width="18" style="3" customWidth="1"/>
    <col min="11" max="11" width="18.5703125" style="3" customWidth="1"/>
    <col min="12" max="12" width="17" style="3" customWidth="1"/>
    <col min="14" max="14" width="25.42578125" bestFit="1" customWidth="1"/>
    <col min="15" max="15" width="17.85546875" style="36" customWidth="1"/>
    <col min="16" max="18" width="30.28515625" bestFit="1" customWidth="1"/>
  </cols>
  <sheetData>
    <row r="1" spans="1:19" x14ac:dyDescent="0.2">
      <c r="A1" s="2" t="s">
        <v>0</v>
      </c>
    </row>
    <row r="2" spans="1:19" x14ac:dyDescent="0.2">
      <c r="A2" s="2" t="s">
        <v>11</v>
      </c>
    </row>
    <row r="3" spans="1:19" x14ac:dyDescent="0.2">
      <c r="A3" s="2" t="s">
        <v>12</v>
      </c>
    </row>
    <row r="4" spans="1:19" x14ac:dyDescent="0.2">
      <c r="A4" s="4" t="s">
        <v>13</v>
      </c>
    </row>
    <row r="5" spans="1:19" x14ac:dyDescent="0.2">
      <c r="A5" s="5"/>
      <c r="B5" s="6"/>
    </row>
    <row r="6" spans="1:19" x14ac:dyDescent="0.2">
      <c r="B6" s="6">
        <v>2</v>
      </c>
      <c r="C6" s="6">
        <v>2</v>
      </c>
      <c r="D6" s="6">
        <v>2</v>
      </c>
      <c r="E6" s="6">
        <v>3</v>
      </c>
      <c r="F6" s="6">
        <v>3</v>
      </c>
      <c r="G6" s="6">
        <v>4</v>
      </c>
      <c r="H6" s="6">
        <v>5</v>
      </c>
      <c r="I6" s="6">
        <v>6</v>
      </c>
      <c r="J6" s="6">
        <v>6</v>
      </c>
      <c r="K6" s="6">
        <v>6</v>
      </c>
    </row>
    <row r="7" spans="1:19" ht="37.5" customHeight="1" x14ac:dyDescent="0.2">
      <c r="A7" s="7" t="s">
        <v>14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15</v>
      </c>
      <c r="I7" s="7" t="s">
        <v>7</v>
      </c>
      <c r="J7" s="7" t="s">
        <v>8</v>
      </c>
      <c r="K7" s="7" t="s">
        <v>9</v>
      </c>
      <c r="L7" s="7" t="s">
        <v>10</v>
      </c>
      <c r="S7" s="3"/>
    </row>
    <row r="8" spans="1:19" ht="14.25" x14ac:dyDescent="0.2">
      <c r="A8" s="29" t="s">
        <v>16</v>
      </c>
      <c r="B8" s="29" t="e">
        <f>-SUMIF('[7]2.0 481(a) Adj Summary'!A:A,A8,'[7]2.0 481(a) Adj Summary'!D:D)</f>
        <v>#VALUE!</v>
      </c>
      <c r="C8" s="29" t="e">
        <f>SUMIF('[7]2.0 481(a) Adj Summary'!A:A,A8,'[7]2.0 481(a) Adj Summary'!E:E)</f>
        <v>#VALUE!</v>
      </c>
      <c r="D8" s="29" t="e">
        <f>-SUMIF('[7]2.0 481(a) Adj Summary'!A:A,A8,'[7]2.0 481(a) Adj Summary'!F:F)</f>
        <v>#VALUE!</v>
      </c>
      <c r="E8" s="29"/>
      <c r="F8" s="29"/>
      <c r="G8" s="29" t="e">
        <f>-SUMIF('[7]4.0 2014 Repairs Deduction'!A:A,A8,'[7]4.0 2014 Repairs Deduction'!E:E)</f>
        <v>#VALUE!</v>
      </c>
      <c r="H8" s="29" t="e">
        <f>SUMIF('[7]5.0 Depr. Reversal Summary'!A:A,'1.0 Summary by Entity'!A8,'[7]5.0 Depr. Reversal Summary'!D:D)</f>
        <v>#VALUE!</v>
      </c>
      <c r="I8" s="29">
        <f>VLOOKUP(A8,'[7]6.0 Disposal Summary'!$A$7:$D$35,2,FALSE)</f>
        <v>57.57</v>
      </c>
      <c r="J8" s="29">
        <f>VLOOKUP(A8,'[7]6.0 Disposal Summary'!$A$7:$D$35,3,FALSE)</f>
        <v>7650.0755526947405</v>
      </c>
      <c r="K8" s="29">
        <f>VLOOKUP(A8,'[7]6.0 Disposal Summary'!$A$7:$D$35,4,FALSE)</f>
        <v>-411.65430000000003</v>
      </c>
      <c r="L8" s="29" t="e">
        <f>SUM(D8:K8)</f>
        <v>#VALUE!</v>
      </c>
      <c r="M8" s="30" t="s">
        <v>56</v>
      </c>
      <c r="N8" s="34" t="e">
        <f>SUM(L8:L10,L23:L24)</f>
        <v>#VALUE!</v>
      </c>
      <c r="O8" s="37" t="e">
        <f>+D8+E8+I8</f>
        <v>#VALUE!</v>
      </c>
      <c r="P8" s="35" t="e">
        <f>+L8-O8</f>
        <v>#VALUE!</v>
      </c>
      <c r="S8" s="3"/>
    </row>
    <row r="9" spans="1:19" ht="14.25" x14ac:dyDescent="0.2">
      <c r="A9" s="29" t="s">
        <v>17</v>
      </c>
      <c r="B9" s="29" t="e">
        <f>-SUMIF('[7]2.0 481(a) Adj Summary'!A:A,A9,'[7]2.0 481(a) Adj Summary'!D:D)</f>
        <v>#VALUE!</v>
      </c>
      <c r="C9" s="29" t="e">
        <f>SUMIF('[7]2.0 481(a) Adj Summary'!A:A,A9,'[7]2.0 481(a) Adj Summary'!E:E)</f>
        <v>#VALUE!</v>
      </c>
      <c r="D9" s="29" t="e">
        <f>-SUMIF('[7]2.0 481(a) Adj Summary'!A:A,A9,'[7]2.0 481(a) Adj Summary'!F:F)</f>
        <v>#VALUE!</v>
      </c>
      <c r="E9" s="29"/>
      <c r="F9" s="29"/>
      <c r="G9" s="29" t="e">
        <f>-SUMIF('[7]4.0 2014 Repairs Deduction'!A:A,A9,'[7]4.0 2014 Repairs Deduction'!E:E)</f>
        <v>#VALUE!</v>
      </c>
      <c r="H9" s="29" t="e">
        <f>SUMIF('[7]5.0 Depr. Reversal Summary'!A:A,'1.0 Summary by Entity'!A9,'[7]5.0 Depr. Reversal Summary'!D:D)</f>
        <v>#VALUE!</v>
      </c>
      <c r="I9" s="29">
        <f>VLOOKUP(A9,'[7]6.0 Disposal Summary'!$A$7:$D$35,2,FALSE)</f>
        <v>0</v>
      </c>
      <c r="J9" s="29">
        <f>VLOOKUP(A9,'[7]6.0 Disposal Summary'!$A$7:$D$35,3,FALSE)</f>
        <v>0</v>
      </c>
      <c r="K9" s="29">
        <f>VLOOKUP(A9,'[7]6.0 Disposal Summary'!$A$7:$D$35,4,FALSE)</f>
        <v>0</v>
      </c>
      <c r="L9" s="29" t="e">
        <f t="shared" ref="L9:L36" si="0">SUM(D9:K9)</f>
        <v>#VALUE!</v>
      </c>
      <c r="O9" s="37" t="e">
        <f>+D9+E9+I9</f>
        <v>#VALUE!</v>
      </c>
      <c r="P9" s="35" t="e">
        <f>+L9-O9</f>
        <v>#VALUE!</v>
      </c>
      <c r="S9" s="3"/>
    </row>
    <row r="10" spans="1:19" ht="14.25" x14ac:dyDescent="0.2">
      <c r="A10" s="29" t="s">
        <v>18</v>
      </c>
      <c r="B10" s="29" t="e">
        <f>-SUMIF('[7]2.0 481(a) Adj Summary'!A:A,A10,'[7]2.0 481(a) Adj Summary'!D:D)</f>
        <v>#VALUE!</v>
      </c>
      <c r="C10" s="29" t="e">
        <f>SUMIF('[7]2.0 481(a) Adj Summary'!A:A,A10,'[7]2.0 481(a) Adj Summary'!E:E)</f>
        <v>#VALUE!</v>
      </c>
      <c r="D10" s="29" t="e">
        <f>-SUMIF('[7]2.0 481(a) Adj Summary'!A:A,A10,'[7]2.0 481(a) Adj Summary'!F:F)</f>
        <v>#VALUE!</v>
      </c>
      <c r="E10" s="29"/>
      <c r="F10" s="29"/>
      <c r="G10" s="29" t="e">
        <f>-SUMIF('[7]4.0 2014 Repairs Deduction'!A:A,A10,'[7]4.0 2014 Repairs Deduction'!E:E)</f>
        <v>#VALUE!</v>
      </c>
      <c r="H10" s="29" t="e">
        <f>SUMIF('[7]5.0 Depr. Reversal Summary'!A:A,'1.0 Summary by Entity'!A10,'[7]5.0 Depr. Reversal Summary'!D:D)</f>
        <v>#VALUE!</v>
      </c>
      <c r="I10" s="29">
        <f>VLOOKUP(A10,'[7]6.0 Disposal Summary'!$A$7:$D$35,2,FALSE)</f>
        <v>196.15450000000001</v>
      </c>
      <c r="J10" s="29">
        <f>VLOOKUP(A10,'[7]6.0 Disposal Summary'!$A$7:$D$35,3,FALSE)</f>
        <v>60409.993703155</v>
      </c>
      <c r="K10" s="29">
        <f>VLOOKUP(A10,'[7]6.0 Disposal Summary'!$A$7:$D$35,4,FALSE)</f>
        <v>-35.635399999999997</v>
      </c>
      <c r="L10" s="29" t="e">
        <f t="shared" si="0"/>
        <v>#VALUE!</v>
      </c>
      <c r="O10" s="37" t="e">
        <f t="shared" ref="O10:O37" si="1">+D10+E10+I10</f>
        <v>#VALUE!</v>
      </c>
      <c r="P10" s="35" t="e">
        <f t="shared" ref="P10:P37" si="2">+L10-O10</f>
        <v>#VALUE!</v>
      </c>
      <c r="S10" s="3"/>
    </row>
    <row r="11" spans="1:19" ht="14.25" x14ac:dyDescent="0.2">
      <c r="A11" s="31" t="s">
        <v>19</v>
      </c>
      <c r="B11" s="31" t="e">
        <f>-SUMIF('[7]2.0 481(a) Adj Summary'!A:A,A11,'[7]2.0 481(a) Adj Summary'!D:D)</f>
        <v>#VALUE!</v>
      </c>
      <c r="C11" s="31" t="e">
        <f>SUMIF('[7]2.0 481(a) Adj Summary'!A:A,A11,'[7]2.0 481(a) Adj Summary'!E:E)</f>
        <v>#VALUE!</v>
      </c>
      <c r="D11" s="31" t="e">
        <f>-SUMIF('[7]2.0 481(a) Adj Summary'!A:A,A11,'[7]2.0 481(a) Adj Summary'!F:F)</f>
        <v>#VALUE!</v>
      </c>
      <c r="E11" s="31"/>
      <c r="F11" s="31"/>
      <c r="G11" s="31" t="e">
        <f>-SUMIF('[7]4.0 2014 Repairs Deduction'!A:A,A11,'[7]4.0 2014 Repairs Deduction'!E:E)</f>
        <v>#VALUE!</v>
      </c>
      <c r="H11" s="31" t="e">
        <f>SUMIF('[7]5.0 Depr. Reversal Summary'!A:A,'1.0 Summary by Entity'!A11,'[7]5.0 Depr. Reversal Summary'!D:D)</f>
        <v>#VALUE!</v>
      </c>
      <c r="I11" s="31">
        <f>VLOOKUP(A11,'[7]6.0 Disposal Summary'!$A$7:$D$35,2,FALSE)</f>
        <v>0</v>
      </c>
      <c r="J11" s="31">
        <f>VLOOKUP(A11,'[7]6.0 Disposal Summary'!$A$7:$D$35,3,FALSE)</f>
        <v>0</v>
      </c>
      <c r="K11" s="31">
        <f>VLOOKUP(A11,'[7]6.0 Disposal Summary'!$A$7:$D$35,4,FALSE)</f>
        <v>0</v>
      </c>
      <c r="L11" s="31" t="e">
        <f t="shared" si="0"/>
        <v>#VALUE!</v>
      </c>
      <c r="M11" s="32" t="s">
        <v>55</v>
      </c>
      <c r="N11" s="33" t="e">
        <f>L11</f>
        <v>#VALUE!</v>
      </c>
      <c r="O11" s="37" t="e">
        <f t="shared" si="1"/>
        <v>#VALUE!</v>
      </c>
      <c r="P11" s="35" t="e">
        <f t="shared" si="2"/>
        <v>#VALUE!</v>
      </c>
    </row>
    <row r="12" spans="1:19" ht="14.25" x14ac:dyDescent="0.2">
      <c r="A12" s="17" t="s">
        <v>20</v>
      </c>
      <c r="B12" s="17" t="e">
        <f>-SUMIF('[7]2.0 481(a) Adj Summary'!A:A,A12,'[7]2.0 481(a) Adj Summary'!D:D)</f>
        <v>#VALUE!</v>
      </c>
      <c r="C12" s="17" t="e">
        <f>SUMIF('[7]2.0 481(a) Adj Summary'!A:A,A12,'[7]2.0 481(a) Adj Summary'!E:E)</f>
        <v>#VALUE!</v>
      </c>
      <c r="D12" s="17" t="e">
        <f>-SUMIF('[7]2.0 481(a) Adj Summary'!A:A,A12,'[7]2.0 481(a) Adj Summary'!F:F)</f>
        <v>#VALUE!</v>
      </c>
      <c r="E12" s="17"/>
      <c r="F12" s="17"/>
      <c r="G12" s="17" t="e">
        <f>-SUMIF('[7]4.0 2014 Repairs Deduction'!A:A,A12,'[7]4.0 2014 Repairs Deduction'!E:E)</f>
        <v>#VALUE!</v>
      </c>
      <c r="H12" s="17" t="e">
        <f>SUMIF('[7]5.0 Depr. Reversal Summary'!A:A,'1.0 Summary by Entity'!A12,'[7]5.0 Depr. Reversal Summary'!D:D)</f>
        <v>#VALUE!</v>
      </c>
      <c r="I12" s="17">
        <f>VLOOKUP(A12,'[7]6.0 Disposal Summary'!$A$7:$D$35,2,FALSE)</f>
        <v>0</v>
      </c>
      <c r="J12" s="17">
        <f>VLOOKUP(A12,'[7]6.0 Disposal Summary'!$A$7:$D$35,3,FALSE)</f>
        <v>0</v>
      </c>
      <c r="K12" s="17">
        <f>VLOOKUP(A12,'[7]6.0 Disposal Summary'!$A$7:$D$35,4,FALSE)</f>
        <v>0</v>
      </c>
      <c r="L12" s="17" t="e">
        <f t="shared" si="0"/>
        <v>#VALUE!</v>
      </c>
      <c r="M12" s="18" t="s">
        <v>52</v>
      </c>
      <c r="N12" s="19" t="e">
        <f>SUM(L12:L15)</f>
        <v>#VALUE!</v>
      </c>
      <c r="O12" s="37" t="e">
        <f t="shared" si="1"/>
        <v>#VALUE!</v>
      </c>
      <c r="P12" s="35" t="e">
        <f t="shared" si="2"/>
        <v>#VALUE!</v>
      </c>
    </row>
    <row r="13" spans="1:19" ht="14.25" x14ac:dyDescent="0.2">
      <c r="A13" s="17" t="s">
        <v>21</v>
      </c>
      <c r="B13" s="17" t="e">
        <f>-SUMIF('[7]2.0 481(a) Adj Summary'!A:A,A13,'[7]2.0 481(a) Adj Summary'!D:D)</f>
        <v>#VALUE!</v>
      </c>
      <c r="C13" s="17" t="e">
        <f>SUMIF('[7]2.0 481(a) Adj Summary'!A:A,A13,'[7]2.0 481(a) Adj Summary'!E:E)</f>
        <v>#VALUE!</v>
      </c>
      <c r="D13" s="17" t="e">
        <f>-SUMIF('[7]2.0 481(a) Adj Summary'!A:A,A13,'[7]2.0 481(a) Adj Summary'!F:F)</f>
        <v>#VALUE!</v>
      </c>
      <c r="E13" s="17"/>
      <c r="F13" s="17"/>
      <c r="G13" s="17" t="e">
        <f>-SUMIF('[7]4.0 2014 Repairs Deduction'!A:A,A13,'[7]4.0 2014 Repairs Deduction'!E:E)</f>
        <v>#VALUE!</v>
      </c>
      <c r="H13" s="17" t="e">
        <f>SUMIF('[7]5.0 Depr. Reversal Summary'!A:A,'1.0 Summary by Entity'!A13,'[7]5.0 Depr. Reversal Summary'!D:D)</f>
        <v>#VALUE!</v>
      </c>
      <c r="I13" s="17">
        <f>VLOOKUP(A13,'[7]6.0 Disposal Summary'!$A$7:$D$35,2,FALSE)</f>
        <v>1.1232</v>
      </c>
      <c r="J13" s="17">
        <f>VLOOKUP(A13,'[7]6.0 Disposal Summary'!$A$7:$D$35,3,FALSE)</f>
        <v>0</v>
      </c>
      <c r="K13" s="17">
        <f>VLOOKUP(A13,'[7]6.0 Disposal Summary'!$A$7:$D$35,4,FALSE)</f>
        <v>-0.74880000000000002</v>
      </c>
      <c r="L13" s="17" t="e">
        <f t="shared" si="0"/>
        <v>#VALUE!</v>
      </c>
      <c r="O13" s="37" t="e">
        <f t="shared" si="1"/>
        <v>#VALUE!</v>
      </c>
      <c r="P13" s="35" t="e">
        <f t="shared" si="2"/>
        <v>#VALUE!</v>
      </c>
    </row>
    <row r="14" spans="1:19" ht="14.25" x14ac:dyDescent="0.2">
      <c r="A14" s="17" t="s">
        <v>22</v>
      </c>
      <c r="B14" s="17" t="e">
        <f>-SUMIF('[7]2.0 481(a) Adj Summary'!A:A,A14,'[7]2.0 481(a) Adj Summary'!D:D)</f>
        <v>#VALUE!</v>
      </c>
      <c r="C14" s="17" t="e">
        <f>SUMIF('[7]2.0 481(a) Adj Summary'!A:A,A14,'[7]2.0 481(a) Adj Summary'!E:E)</f>
        <v>#VALUE!</v>
      </c>
      <c r="D14" s="17" t="e">
        <f>-SUMIF('[7]2.0 481(a) Adj Summary'!A:A,A14,'[7]2.0 481(a) Adj Summary'!F:F)</f>
        <v>#VALUE!</v>
      </c>
      <c r="E14" s="17"/>
      <c r="F14" s="17"/>
      <c r="G14" s="17" t="e">
        <f>-SUMIF('[7]4.0 2014 Repairs Deduction'!A:A,A14,'[7]4.0 2014 Repairs Deduction'!E:E)</f>
        <v>#VALUE!</v>
      </c>
      <c r="H14" s="17" t="e">
        <f>SUMIF('[7]5.0 Depr. Reversal Summary'!A:A,'1.0 Summary by Entity'!A14,'[7]5.0 Depr. Reversal Summary'!D:D)</f>
        <v>#VALUE!</v>
      </c>
      <c r="I14" s="17">
        <f>VLOOKUP(A14,'[7]6.0 Disposal Summary'!$A$7:$D$35,2,FALSE)</f>
        <v>0</v>
      </c>
      <c r="J14" s="17">
        <f>VLOOKUP(A14,'[7]6.0 Disposal Summary'!$A$7:$D$35,3,FALSE)</f>
        <v>899.16692534068989</v>
      </c>
      <c r="K14" s="17">
        <f>VLOOKUP(A14,'[7]6.0 Disposal Summary'!$A$7:$D$35,4,FALSE)</f>
        <v>0</v>
      </c>
      <c r="L14" s="17" t="e">
        <f t="shared" si="0"/>
        <v>#VALUE!</v>
      </c>
      <c r="O14" s="37" t="e">
        <f t="shared" si="1"/>
        <v>#VALUE!</v>
      </c>
      <c r="P14" s="35" t="e">
        <f t="shared" si="2"/>
        <v>#VALUE!</v>
      </c>
    </row>
    <row r="15" spans="1:19" ht="14.25" x14ac:dyDescent="0.2">
      <c r="A15" s="17" t="s">
        <v>23</v>
      </c>
      <c r="B15" s="17" t="e">
        <f>-SUMIF('[7]2.0 481(a) Adj Summary'!A:A,A15,'[7]2.0 481(a) Adj Summary'!D:D)</f>
        <v>#VALUE!</v>
      </c>
      <c r="C15" s="17" t="e">
        <f>SUMIF('[7]2.0 481(a) Adj Summary'!A:A,A15,'[7]2.0 481(a) Adj Summary'!E:E)</f>
        <v>#VALUE!</v>
      </c>
      <c r="D15" s="17" t="e">
        <f>-SUMIF('[7]2.0 481(a) Adj Summary'!A:A,A15,'[7]2.0 481(a) Adj Summary'!F:F)</f>
        <v>#VALUE!</v>
      </c>
      <c r="E15" s="17"/>
      <c r="F15" s="17"/>
      <c r="G15" s="17" t="e">
        <f>-SUMIF('[7]4.0 2014 Repairs Deduction'!A:A,A15,'[7]4.0 2014 Repairs Deduction'!E:E)</f>
        <v>#VALUE!</v>
      </c>
      <c r="H15" s="17" t="e">
        <f>SUMIF('[7]5.0 Depr. Reversal Summary'!A:A,'1.0 Summary by Entity'!A15,'[7]5.0 Depr. Reversal Summary'!D:D)</f>
        <v>#VALUE!</v>
      </c>
      <c r="I15" s="17">
        <f>VLOOKUP(A15,'[7]6.0 Disposal Summary'!$A$7:$D$35,2,FALSE)</f>
        <v>156.006</v>
      </c>
      <c r="J15" s="17">
        <f>VLOOKUP(A15,'[7]6.0 Disposal Summary'!$A$7:$D$35,3,FALSE)</f>
        <v>523.843222586661</v>
      </c>
      <c r="K15" s="17">
        <f>VLOOKUP(A15,'[7]6.0 Disposal Summary'!$A$7:$D$35,4,FALSE)</f>
        <v>-69.278400000000005</v>
      </c>
      <c r="L15" s="17" t="e">
        <f t="shared" si="0"/>
        <v>#VALUE!</v>
      </c>
      <c r="O15" s="37" t="e">
        <f t="shared" si="1"/>
        <v>#VALUE!</v>
      </c>
      <c r="P15" s="35" t="e">
        <f t="shared" si="2"/>
        <v>#VALUE!</v>
      </c>
    </row>
    <row r="16" spans="1:19" ht="14.25" x14ac:dyDescent="0.2">
      <c r="A16" s="20" t="s">
        <v>24</v>
      </c>
      <c r="B16" s="20" t="e">
        <f>-SUMIF('[7]2.0 481(a) Adj Summary'!A:A,A16,'[7]2.0 481(a) Adj Summary'!D:D)</f>
        <v>#VALUE!</v>
      </c>
      <c r="C16" s="20" t="e">
        <f>SUMIF('[7]2.0 481(a) Adj Summary'!A:A,A16,'[7]2.0 481(a) Adj Summary'!E:E)</f>
        <v>#VALUE!</v>
      </c>
      <c r="D16" s="20" t="e">
        <f>-SUMIF('[7]2.0 481(a) Adj Summary'!A:A,A16,'[7]2.0 481(a) Adj Summary'!F:F)</f>
        <v>#VALUE!</v>
      </c>
      <c r="E16" s="20"/>
      <c r="F16" s="20"/>
      <c r="G16" s="20" t="e">
        <f>-SUMIF('[7]4.0 2014 Repairs Deduction'!A:A,A16,'[7]4.0 2014 Repairs Deduction'!E:E)</f>
        <v>#VALUE!</v>
      </c>
      <c r="H16" s="20" t="e">
        <f>SUMIF('[7]5.0 Depr. Reversal Summary'!A:A,'1.0 Summary by Entity'!A16,'[7]5.0 Depr. Reversal Summary'!D:D)</f>
        <v>#VALUE!</v>
      </c>
      <c r="I16" s="20">
        <f>VLOOKUP(A16,'[7]6.0 Disposal Summary'!$A$7:$D$35,2,FALSE)</f>
        <v>171770.27830000001</v>
      </c>
      <c r="J16" s="20">
        <f>VLOOKUP(A16,'[7]6.0 Disposal Summary'!$A$7:$D$35,3,FALSE)</f>
        <v>0</v>
      </c>
      <c r="K16" s="20">
        <f>VLOOKUP(A16,'[7]6.0 Disposal Summary'!$A$7:$D$35,4,FALSE)</f>
        <v>-6624.6159999999991</v>
      </c>
      <c r="L16" s="20" t="e">
        <f t="shared" si="0"/>
        <v>#VALUE!</v>
      </c>
      <c r="M16" s="21" t="s">
        <v>53</v>
      </c>
      <c r="N16" s="22" t="e">
        <f>SUM(L16:L22)</f>
        <v>#VALUE!</v>
      </c>
      <c r="O16" s="37" t="e">
        <f t="shared" si="1"/>
        <v>#VALUE!</v>
      </c>
      <c r="P16" s="35" t="e">
        <f t="shared" si="2"/>
        <v>#VALUE!</v>
      </c>
    </row>
    <row r="17" spans="1:16" ht="14.25" x14ac:dyDescent="0.2">
      <c r="A17" s="20" t="s">
        <v>25</v>
      </c>
      <c r="B17" s="20" t="e">
        <f>-SUMIF('[7]2.0 481(a) Adj Summary'!A:A,A17,'[7]2.0 481(a) Adj Summary'!D:D)</f>
        <v>#VALUE!</v>
      </c>
      <c r="C17" s="20" t="e">
        <f>SUMIF('[7]2.0 481(a) Adj Summary'!A:A,A17,'[7]2.0 481(a) Adj Summary'!E:E)</f>
        <v>#VALUE!</v>
      </c>
      <c r="D17" s="20" t="e">
        <f>-SUMIF('[7]2.0 481(a) Adj Summary'!A:A,A17,'[7]2.0 481(a) Adj Summary'!F:F)</f>
        <v>#VALUE!</v>
      </c>
      <c r="E17" s="20">
        <f>VLOOKUP(A17,'[7]3.0 Electric Extrapol Summary'!$A$8:$D$9,2,FALSE)</f>
        <v>-1798144.0396649397</v>
      </c>
      <c r="F17" s="20">
        <f>VLOOKUP(A17,'[7]3.0 Electric Extrapol Summary'!$A$8:$D$9,3,FALSE)</f>
        <v>184900.48335447413</v>
      </c>
      <c r="G17" s="20" t="e">
        <f>-SUMIF('[7]4.0 2014 Repairs Deduction'!A:A,A17,'[7]4.0 2014 Repairs Deduction'!E:E)</f>
        <v>#VALUE!</v>
      </c>
      <c r="H17" s="20" t="e">
        <f>SUMIF('[7]5.0 Depr. Reversal Summary'!A:A,'1.0 Summary by Entity'!A17,'[7]5.0 Depr. Reversal Summary'!D:D)</f>
        <v>#VALUE!</v>
      </c>
      <c r="I17" s="20">
        <f>VLOOKUP(A17,'[7]6.0 Disposal Summary'!$A$7:$D$35,2,FALSE)</f>
        <v>16116.908399999998</v>
      </c>
      <c r="J17" s="20">
        <f>VLOOKUP(A17,'[7]6.0 Disposal Summary'!$A$7:$D$35,3,FALSE)</f>
        <v>133975.45624010681</v>
      </c>
      <c r="K17" s="20">
        <f>VLOOKUP(A17,'[7]6.0 Disposal Summary'!$A$7:$D$35,4,FALSE)</f>
        <v>-3001.2458999999985</v>
      </c>
      <c r="L17" s="20" t="e">
        <f t="shared" si="0"/>
        <v>#VALUE!</v>
      </c>
      <c r="O17" s="37" t="e">
        <f t="shared" si="1"/>
        <v>#VALUE!</v>
      </c>
      <c r="P17" s="35" t="e">
        <f t="shared" si="2"/>
        <v>#VALUE!</v>
      </c>
    </row>
    <row r="18" spans="1:16" ht="14.25" x14ac:dyDescent="0.2">
      <c r="A18" s="20" t="s">
        <v>26</v>
      </c>
      <c r="B18" s="20" t="e">
        <f>-SUMIF('[7]2.0 481(a) Adj Summary'!A:A,A18,'[7]2.0 481(a) Adj Summary'!D:D)</f>
        <v>#VALUE!</v>
      </c>
      <c r="C18" s="20" t="e">
        <f>SUMIF('[7]2.0 481(a) Adj Summary'!A:A,A18,'[7]2.0 481(a) Adj Summary'!E:E)</f>
        <v>#VALUE!</v>
      </c>
      <c r="D18" s="20" t="e">
        <f>-SUMIF('[7]2.0 481(a) Adj Summary'!A:A,A18,'[7]2.0 481(a) Adj Summary'!F:F)</f>
        <v>#VALUE!</v>
      </c>
      <c r="E18" s="20">
        <f>VLOOKUP(A18,'[7]3.0 Electric Extrapol Summary'!$A$8:$D$9,2,FALSE)</f>
        <v>-1810749.1195740695</v>
      </c>
      <c r="F18" s="20">
        <f>VLOOKUP(A18,'[7]3.0 Electric Extrapol Summary'!$A$8:$D$9,3,FALSE)</f>
        <v>195714.33479417034</v>
      </c>
      <c r="G18" s="20" t="e">
        <f>-SUMIF('[7]4.0 2014 Repairs Deduction'!A:A,A18,'[7]4.0 2014 Repairs Deduction'!E:E)</f>
        <v>#VALUE!</v>
      </c>
      <c r="H18" s="20" t="e">
        <f>SUMIF('[7]5.0 Depr. Reversal Summary'!A:A,'1.0 Summary by Entity'!A18,'[7]5.0 Depr. Reversal Summary'!D:D)</f>
        <v>#VALUE!</v>
      </c>
      <c r="I18" s="20">
        <f>VLOOKUP(A18,'[7]6.0 Disposal Summary'!$A$7:$D$35,2,FALSE)</f>
        <v>8966.7525000000005</v>
      </c>
      <c r="J18" s="20">
        <f>VLOOKUP(A18,'[7]6.0 Disposal Summary'!$A$7:$D$35,3,FALSE)</f>
        <v>23513.253328657192</v>
      </c>
      <c r="K18" s="20">
        <f>VLOOKUP(A18,'[7]6.0 Disposal Summary'!$A$7:$D$35,4,FALSE)</f>
        <v>-2272.0673000000002</v>
      </c>
      <c r="L18" s="20" t="e">
        <f t="shared" si="0"/>
        <v>#VALUE!</v>
      </c>
      <c r="O18" s="37" t="e">
        <f t="shared" si="1"/>
        <v>#VALUE!</v>
      </c>
      <c r="P18" s="35" t="e">
        <f t="shared" si="2"/>
        <v>#VALUE!</v>
      </c>
    </row>
    <row r="19" spans="1:16" ht="14.25" x14ac:dyDescent="0.2">
      <c r="A19" s="20" t="s">
        <v>27</v>
      </c>
      <c r="B19" s="20" t="e">
        <f>-SUMIF('[7]2.0 481(a) Adj Summary'!A:A,A19,'[7]2.0 481(a) Adj Summary'!D:D)</f>
        <v>#VALUE!</v>
      </c>
      <c r="C19" s="20" t="e">
        <f>SUMIF('[7]2.0 481(a) Adj Summary'!A:A,A19,'[7]2.0 481(a) Adj Summary'!E:E)</f>
        <v>#VALUE!</v>
      </c>
      <c r="D19" s="20" t="e">
        <f>-SUMIF('[7]2.0 481(a) Adj Summary'!A:A,A19,'[7]2.0 481(a) Adj Summary'!F:F)</f>
        <v>#VALUE!</v>
      </c>
      <c r="E19" s="20"/>
      <c r="F19" s="20"/>
      <c r="G19" s="20" t="e">
        <f>-SUMIF('[7]4.0 2014 Repairs Deduction'!A:A,A19,'[7]4.0 2014 Repairs Deduction'!E:E)</f>
        <v>#VALUE!</v>
      </c>
      <c r="H19" s="20" t="e">
        <f>SUMIF('[7]5.0 Depr. Reversal Summary'!A:A,'1.0 Summary by Entity'!A19,'[7]5.0 Depr. Reversal Summary'!D:D)</f>
        <v>#VALUE!</v>
      </c>
      <c r="I19" s="20">
        <f>VLOOKUP(A19,'[7]6.0 Disposal Summary'!$A$7:$D$35,2,FALSE)</f>
        <v>6370.9926999999998</v>
      </c>
      <c r="J19" s="20">
        <f>VLOOKUP(A19,'[7]6.0 Disposal Summary'!$A$7:$D$35,3,FALSE)</f>
        <v>15115.84825909356</v>
      </c>
      <c r="K19" s="20">
        <f>VLOOKUP(A19,'[7]6.0 Disposal Summary'!$A$7:$D$35,4,FALSE)</f>
        <v>-1170.3395999999998</v>
      </c>
      <c r="L19" s="20" t="e">
        <f t="shared" si="0"/>
        <v>#VALUE!</v>
      </c>
      <c r="O19" s="37" t="e">
        <f t="shared" si="1"/>
        <v>#VALUE!</v>
      </c>
      <c r="P19" s="35" t="e">
        <f t="shared" si="2"/>
        <v>#VALUE!</v>
      </c>
    </row>
    <row r="20" spans="1:16" ht="14.25" x14ac:dyDescent="0.2">
      <c r="A20" s="20" t="s">
        <v>28</v>
      </c>
      <c r="B20" s="20" t="e">
        <f>-SUMIF('[7]2.0 481(a) Adj Summary'!A:A,A20,'[7]2.0 481(a) Adj Summary'!D:D)</f>
        <v>#VALUE!</v>
      </c>
      <c r="C20" s="20" t="e">
        <f>SUMIF('[7]2.0 481(a) Adj Summary'!A:A,A20,'[7]2.0 481(a) Adj Summary'!E:E)</f>
        <v>#VALUE!</v>
      </c>
      <c r="D20" s="20" t="e">
        <f>-SUMIF('[7]2.0 481(a) Adj Summary'!A:A,A20,'[7]2.0 481(a) Adj Summary'!F:F)</f>
        <v>#VALUE!</v>
      </c>
      <c r="E20" s="20"/>
      <c r="F20" s="20"/>
      <c r="G20" s="20" t="e">
        <f>-SUMIF('[7]4.0 2014 Repairs Deduction'!A:A,A20,'[7]4.0 2014 Repairs Deduction'!E:E)</f>
        <v>#VALUE!</v>
      </c>
      <c r="H20" s="20" t="e">
        <f>SUMIF('[7]5.0 Depr. Reversal Summary'!A:A,'1.0 Summary by Entity'!A20,'[7]5.0 Depr. Reversal Summary'!D:D)</f>
        <v>#VALUE!</v>
      </c>
      <c r="I20" s="20">
        <f>VLOOKUP(A20,'[7]6.0 Disposal Summary'!$A$7:$D$35,2,FALSE)</f>
        <v>3847.6849999999995</v>
      </c>
      <c r="J20" s="20">
        <f>VLOOKUP(A20,'[7]6.0 Disposal Summary'!$A$7:$D$35,3,FALSE)</f>
        <v>4001.9272366955515</v>
      </c>
      <c r="K20" s="20">
        <f>VLOOKUP(A20,'[7]6.0 Disposal Summary'!$A$7:$D$35,4,FALSE)</f>
        <v>-578.14729999999997</v>
      </c>
      <c r="L20" s="20" t="e">
        <f t="shared" si="0"/>
        <v>#VALUE!</v>
      </c>
      <c r="O20" s="37" t="e">
        <f t="shared" si="1"/>
        <v>#VALUE!</v>
      </c>
      <c r="P20" s="35" t="e">
        <f t="shared" si="2"/>
        <v>#VALUE!</v>
      </c>
    </row>
    <row r="21" spans="1:16" ht="14.25" x14ac:dyDescent="0.2">
      <c r="A21" s="20" t="s">
        <v>29</v>
      </c>
      <c r="B21" s="20" t="e">
        <f>-SUMIF('[7]2.0 481(a) Adj Summary'!A:A,A21,'[7]2.0 481(a) Adj Summary'!D:D)</f>
        <v>#VALUE!</v>
      </c>
      <c r="C21" s="20" t="e">
        <f>SUMIF('[7]2.0 481(a) Adj Summary'!A:A,A21,'[7]2.0 481(a) Adj Summary'!E:E)</f>
        <v>#VALUE!</v>
      </c>
      <c r="D21" s="20" t="e">
        <f>-SUMIF('[7]2.0 481(a) Adj Summary'!A:A,A21,'[7]2.0 481(a) Adj Summary'!F:F)</f>
        <v>#VALUE!</v>
      </c>
      <c r="E21" s="20"/>
      <c r="F21" s="20"/>
      <c r="G21" s="20" t="e">
        <f>-SUMIF('[7]4.0 2014 Repairs Deduction'!A:A,A21,'[7]4.0 2014 Repairs Deduction'!E:E)</f>
        <v>#VALUE!</v>
      </c>
      <c r="H21" s="20" t="e">
        <f>SUMIF('[7]5.0 Depr. Reversal Summary'!A:A,'1.0 Summary by Entity'!A21,'[7]5.0 Depr. Reversal Summary'!D:D)</f>
        <v>#VALUE!</v>
      </c>
      <c r="I21" s="20">
        <f>VLOOKUP(A21,'[7]6.0 Disposal Summary'!$A$7:$D$35,2,FALSE)</f>
        <v>0</v>
      </c>
      <c r="J21" s="20">
        <f>VLOOKUP(A21,'[7]6.0 Disposal Summary'!$A$7:$D$35,3,FALSE)</f>
        <v>0</v>
      </c>
      <c r="K21" s="20">
        <f>VLOOKUP(A21,'[7]6.0 Disposal Summary'!$A$7:$D$35,4,FALSE)</f>
        <v>0</v>
      </c>
      <c r="L21" s="20" t="e">
        <f t="shared" si="0"/>
        <v>#VALUE!</v>
      </c>
      <c r="O21" s="37" t="e">
        <f t="shared" si="1"/>
        <v>#VALUE!</v>
      </c>
      <c r="P21" s="35" t="e">
        <f t="shared" si="2"/>
        <v>#VALUE!</v>
      </c>
    </row>
    <row r="22" spans="1:16" ht="14.25" x14ac:dyDescent="0.2">
      <c r="A22" s="20" t="s">
        <v>30</v>
      </c>
      <c r="B22" s="20" t="e">
        <f>-SUMIF('[7]2.0 481(a) Adj Summary'!A:A,A22,'[7]2.0 481(a) Adj Summary'!D:D)</f>
        <v>#VALUE!</v>
      </c>
      <c r="C22" s="20" t="e">
        <f>SUMIF('[7]2.0 481(a) Adj Summary'!A:A,A22,'[7]2.0 481(a) Adj Summary'!E:E)</f>
        <v>#VALUE!</v>
      </c>
      <c r="D22" s="20" t="e">
        <f>-SUMIF('[7]2.0 481(a) Adj Summary'!A:A,A22,'[7]2.0 481(a) Adj Summary'!F:F)</f>
        <v>#VALUE!</v>
      </c>
      <c r="E22" s="20"/>
      <c r="F22" s="20"/>
      <c r="G22" s="20" t="e">
        <f>-SUMIF('[7]4.0 2014 Repairs Deduction'!A:A,A22,'[7]4.0 2014 Repairs Deduction'!E:E)</f>
        <v>#VALUE!</v>
      </c>
      <c r="H22" s="20" t="e">
        <f>SUMIF('[7]5.0 Depr. Reversal Summary'!A:A,'1.0 Summary by Entity'!A22,'[7]5.0 Depr. Reversal Summary'!D:D)</f>
        <v>#VALUE!</v>
      </c>
      <c r="I22" s="20">
        <f>VLOOKUP(A22,'[7]6.0 Disposal Summary'!$A$7:$D$35,2,FALSE)</f>
        <v>17.485600000000002</v>
      </c>
      <c r="J22" s="20">
        <f>VLOOKUP(A22,'[7]6.0 Disposal Summary'!$A$7:$D$35,3,FALSE)</f>
        <v>1382.8572840747047</v>
      </c>
      <c r="K22" s="20">
        <f>VLOOKUP(A22,'[7]6.0 Disposal Summary'!$A$7:$D$35,4,FALSE)</f>
        <v>-97.581999999999994</v>
      </c>
      <c r="L22" s="20" t="e">
        <f t="shared" si="0"/>
        <v>#VALUE!</v>
      </c>
      <c r="O22" s="37" t="e">
        <f t="shared" si="1"/>
        <v>#VALUE!</v>
      </c>
      <c r="P22" s="35" t="e">
        <f t="shared" si="2"/>
        <v>#VALUE!</v>
      </c>
    </row>
    <row r="23" spans="1:16" ht="14.25" x14ac:dyDescent="0.2">
      <c r="A23" s="29" t="s">
        <v>31</v>
      </c>
      <c r="B23" s="29" t="e">
        <f>-SUMIF('[7]2.0 481(a) Adj Summary'!A:A,A23,'[7]2.0 481(a) Adj Summary'!D:D)</f>
        <v>#VALUE!</v>
      </c>
      <c r="C23" s="29" t="e">
        <f>SUMIF('[7]2.0 481(a) Adj Summary'!A:A,A23,'[7]2.0 481(a) Adj Summary'!E:E)</f>
        <v>#VALUE!</v>
      </c>
      <c r="D23" s="29" t="e">
        <f>-SUMIF('[7]2.0 481(a) Adj Summary'!A:A,A23,'[7]2.0 481(a) Adj Summary'!F:F)</f>
        <v>#VALUE!</v>
      </c>
      <c r="E23" s="29"/>
      <c r="F23" s="29"/>
      <c r="G23" s="29" t="e">
        <f>-SUMIF('[7]4.0 2014 Repairs Deduction'!A:A,A23,'[7]4.0 2014 Repairs Deduction'!E:E)</f>
        <v>#VALUE!</v>
      </c>
      <c r="H23" s="29" t="e">
        <f>SUMIF('[7]5.0 Depr. Reversal Summary'!A:A,'1.0 Summary by Entity'!A23,'[7]5.0 Depr. Reversal Summary'!D:D)</f>
        <v>#VALUE!</v>
      </c>
      <c r="I23" s="29">
        <f>VLOOKUP(A23,'[7]6.0 Disposal Summary'!$A$7:$D$35,2,FALSE)</f>
        <v>718.16110000000003</v>
      </c>
      <c r="J23" s="29">
        <f>VLOOKUP(A23,'[7]6.0 Disposal Summary'!$A$7:$D$35,3,FALSE)</f>
        <v>0</v>
      </c>
      <c r="K23" s="29">
        <f>VLOOKUP(A23,'[7]6.0 Disposal Summary'!$A$7:$D$35,4,FALSE)</f>
        <v>-24.308800000000002</v>
      </c>
      <c r="L23" s="29" t="e">
        <f t="shared" si="0"/>
        <v>#VALUE!</v>
      </c>
      <c r="O23" s="37" t="e">
        <f t="shared" si="1"/>
        <v>#VALUE!</v>
      </c>
      <c r="P23" s="35" t="e">
        <f t="shared" si="2"/>
        <v>#VALUE!</v>
      </c>
    </row>
    <row r="24" spans="1:16" ht="14.25" x14ac:dyDescent="0.2">
      <c r="A24" s="29" t="s">
        <v>32</v>
      </c>
      <c r="B24" s="29" t="e">
        <f>-SUMIF('[7]2.0 481(a) Adj Summary'!A:A,A24,'[7]2.0 481(a) Adj Summary'!D:D)</f>
        <v>#VALUE!</v>
      </c>
      <c r="C24" s="29" t="e">
        <f>SUMIF('[7]2.0 481(a) Adj Summary'!A:A,A24,'[7]2.0 481(a) Adj Summary'!E:E)</f>
        <v>#VALUE!</v>
      </c>
      <c r="D24" s="29" t="e">
        <f>-SUMIF('[7]2.0 481(a) Adj Summary'!A:A,A24,'[7]2.0 481(a) Adj Summary'!F:F)</f>
        <v>#VALUE!</v>
      </c>
      <c r="E24" s="29"/>
      <c r="F24" s="29"/>
      <c r="G24" s="29" t="e">
        <f>-SUMIF('[7]4.0 2014 Repairs Deduction'!A:A,A24,'[7]4.0 2014 Repairs Deduction'!E:E)</f>
        <v>#VALUE!</v>
      </c>
      <c r="H24" s="29" t="e">
        <f>SUMIF('[7]5.0 Depr. Reversal Summary'!A:A,'1.0 Summary by Entity'!A24,'[7]5.0 Depr. Reversal Summary'!D:D)</f>
        <v>#VALUE!</v>
      </c>
      <c r="I24" s="29">
        <f>VLOOKUP(A24,'[7]6.0 Disposal Summary'!$A$7:$D$35,2,FALSE)</f>
        <v>0</v>
      </c>
      <c r="J24" s="29">
        <f>VLOOKUP(A24,'[7]6.0 Disposal Summary'!$A$7:$D$35,3,FALSE)</f>
        <v>0</v>
      </c>
      <c r="K24" s="29">
        <f>VLOOKUP(A24,'[7]6.0 Disposal Summary'!$A$7:$D$35,4,FALSE)</f>
        <v>0</v>
      </c>
      <c r="L24" s="29" t="e">
        <f t="shared" si="0"/>
        <v>#VALUE!</v>
      </c>
      <c r="O24" s="37" t="e">
        <f t="shared" si="1"/>
        <v>#VALUE!</v>
      </c>
      <c r="P24" s="35" t="e">
        <f t="shared" si="2"/>
        <v>#VALUE!</v>
      </c>
    </row>
    <row r="25" spans="1:16" ht="14.25" x14ac:dyDescent="0.2">
      <c r="A25" s="23" t="s">
        <v>33</v>
      </c>
      <c r="B25" s="23" t="e">
        <f>-SUMIF('[7]2.0 481(a) Adj Summary'!A:A,A25,'[7]2.0 481(a) Adj Summary'!D:D)</f>
        <v>#VALUE!</v>
      </c>
      <c r="C25" s="23" t="e">
        <f>SUMIF('[7]2.0 481(a) Adj Summary'!A:A,A25,'[7]2.0 481(a) Adj Summary'!E:E)</f>
        <v>#VALUE!</v>
      </c>
      <c r="D25" s="23" t="e">
        <f>-SUMIF('[7]2.0 481(a) Adj Summary'!A:A,A25,'[7]2.0 481(a) Adj Summary'!F:F)</f>
        <v>#VALUE!</v>
      </c>
      <c r="E25" s="23"/>
      <c r="F25" s="23"/>
      <c r="G25" s="23" t="e">
        <f>-SUMIF('[7]4.0 2014 Repairs Deduction'!A:A,A25,'[7]4.0 2014 Repairs Deduction'!E:E)</f>
        <v>#VALUE!</v>
      </c>
      <c r="H25" s="23" t="e">
        <f>SUMIF('[7]5.0 Depr. Reversal Summary'!A:A,'1.0 Summary by Entity'!A25,'[7]5.0 Depr. Reversal Summary'!D:D)</f>
        <v>#VALUE!</v>
      </c>
      <c r="I25" s="23">
        <f>VLOOKUP(A25,'[7]6.0 Disposal Summary'!$A$7:$D$35,2,FALSE)</f>
        <v>0</v>
      </c>
      <c r="J25" s="23">
        <f>VLOOKUP(A25,'[7]6.0 Disposal Summary'!$A$7:$D$35,3,FALSE)</f>
        <v>1372.157659951195</v>
      </c>
      <c r="K25" s="23">
        <f>VLOOKUP(A25,'[7]6.0 Disposal Summary'!$A$7:$D$35,4,FALSE)</f>
        <v>-95.164600000000007</v>
      </c>
      <c r="L25" s="23" t="e">
        <f t="shared" si="0"/>
        <v>#VALUE!</v>
      </c>
      <c r="M25" s="24" t="s">
        <v>54</v>
      </c>
      <c r="N25" s="25" t="e">
        <f>SUM(L25:L35)</f>
        <v>#VALUE!</v>
      </c>
      <c r="O25" s="37" t="e">
        <f t="shared" si="1"/>
        <v>#VALUE!</v>
      </c>
      <c r="P25" s="35" t="e">
        <f t="shared" si="2"/>
        <v>#VALUE!</v>
      </c>
    </row>
    <row r="26" spans="1:16" ht="14.25" x14ac:dyDescent="0.2">
      <c r="A26" s="23" t="s">
        <v>34</v>
      </c>
      <c r="B26" s="23" t="e">
        <f>-SUMIF('[7]2.0 481(a) Adj Summary'!A:A,A26,'[7]2.0 481(a) Adj Summary'!D:D)</f>
        <v>#VALUE!</v>
      </c>
      <c r="C26" s="23" t="e">
        <f>SUMIF('[7]2.0 481(a) Adj Summary'!A:A,A26,'[7]2.0 481(a) Adj Summary'!E:E)</f>
        <v>#VALUE!</v>
      </c>
      <c r="D26" s="23" t="e">
        <f>-SUMIF('[7]2.0 481(a) Adj Summary'!A:A,A26,'[7]2.0 481(a) Adj Summary'!F:F)</f>
        <v>#VALUE!</v>
      </c>
      <c r="E26" s="23"/>
      <c r="F26" s="23"/>
      <c r="G26" s="23" t="e">
        <f>-SUMIF('[7]4.0 2014 Repairs Deduction'!A:A,A26,'[7]4.0 2014 Repairs Deduction'!E:E)</f>
        <v>#VALUE!</v>
      </c>
      <c r="H26" s="23" t="e">
        <f>SUMIF('[7]5.0 Depr. Reversal Summary'!A:A,'1.0 Summary by Entity'!A26,'[7]5.0 Depr. Reversal Summary'!D:D)</f>
        <v>#VALUE!</v>
      </c>
      <c r="I26" s="23">
        <f>VLOOKUP(A26,'[7]6.0 Disposal Summary'!$A$7:$D$35,2,FALSE)</f>
        <v>1528.1478999999999</v>
      </c>
      <c r="J26" s="23">
        <f>VLOOKUP(A26,'[7]6.0 Disposal Summary'!$A$7:$D$35,3,FALSE)</f>
        <v>512.36839554508845</v>
      </c>
      <c r="K26" s="23">
        <f>VLOOKUP(A26,'[7]6.0 Disposal Summary'!$A$7:$D$35,4,FALSE)</f>
        <v>-181.09339999999997</v>
      </c>
      <c r="L26" s="23" t="e">
        <f t="shared" si="0"/>
        <v>#VALUE!</v>
      </c>
      <c r="O26" s="37" t="e">
        <f t="shared" si="1"/>
        <v>#VALUE!</v>
      </c>
      <c r="P26" s="35" t="e">
        <f t="shared" si="2"/>
        <v>#VALUE!</v>
      </c>
    </row>
    <row r="27" spans="1:16" ht="14.25" x14ac:dyDescent="0.2">
      <c r="A27" s="23" t="s">
        <v>35</v>
      </c>
      <c r="B27" s="23" t="e">
        <f>-SUMIF('[7]2.0 481(a) Adj Summary'!A:A,A27,'[7]2.0 481(a) Adj Summary'!D:D)</f>
        <v>#VALUE!</v>
      </c>
      <c r="C27" s="23" t="e">
        <f>SUMIF('[7]2.0 481(a) Adj Summary'!A:A,A27,'[7]2.0 481(a) Adj Summary'!E:E)</f>
        <v>#VALUE!</v>
      </c>
      <c r="D27" s="23" t="e">
        <f>-SUMIF('[7]2.0 481(a) Adj Summary'!A:A,A27,'[7]2.0 481(a) Adj Summary'!F:F)</f>
        <v>#VALUE!</v>
      </c>
      <c r="E27" s="23"/>
      <c r="F27" s="23"/>
      <c r="G27" s="23" t="e">
        <f>-SUMIF('[7]4.0 2014 Repairs Deduction'!A:A,A27,'[7]4.0 2014 Repairs Deduction'!E:E)</f>
        <v>#VALUE!</v>
      </c>
      <c r="H27" s="23" t="e">
        <f>SUMIF('[7]5.0 Depr. Reversal Summary'!A:A,'1.0 Summary by Entity'!A27,'[7]5.0 Depr. Reversal Summary'!D:D)</f>
        <v>#VALUE!</v>
      </c>
      <c r="I27" s="23">
        <f>VLOOKUP(A27,'[7]6.0 Disposal Summary'!$A$7:$D$35,2,FALSE)</f>
        <v>0</v>
      </c>
      <c r="J27" s="23">
        <f>VLOOKUP(A27,'[7]6.0 Disposal Summary'!$A$7:$D$35,3,FALSE)</f>
        <v>0</v>
      </c>
      <c r="K27" s="23">
        <f>VLOOKUP(A27,'[7]6.0 Disposal Summary'!$A$7:$D$35,4,FALSE)</f>
        <v>0</v>
      </c>
      <c r="L27" s="23" t="e">
        <f t="shared" si="0"/>
        <v>#VALUE!</v>
      </c>
      <c r="O27" s="37" t="e">
        <f t="shared" si="1"/>
        <v>#VALUE!</v>
      </c>
      <c r="P27" s="35" t="e">
        <f t="shared" si="2"/>
        <v>#VALUE!</v>
      </c>
    </row>
    <row r="28" spans="1:16" ht="14.25" x14ac:dyDescent="0.2">
      <c r="A28" s="23" t="s">
        <v>36</v>
      </c>
      <c r="B28" s="23" t="e">
        <f>-SUMIF('[7]2.0 481(a) Adj Summary'!A:A,A28,'[7]2.0 481(a) Adj Summary'!D:D)</f>
        <v>#VALUE!</v>
      </c>
      <c r="C28" s="23" t="e">
        <f>SUMIF('[7]2.0 481(a) Adj Summary'!A:A,A28,'[7]2.0 481(a) Adj Summary'!E:E)</f>
        <v>#VALUE!</v>
      </c>
      <c r="D28" s="23" t="e">
        <f>-SUMIF('[7]2.0 481(a) Adj Summary'!A:A,A28,'[7]2.0 481(a) Adj Summary'!F:F)</f>
        <v>#VALUE!</v>
      </c>
      <c r="E28" s="23"/>
      <c r="F28" s="23"/>
      <c r="G28" s="23" t="e">
        <f>-SUMIF('[7]4.0 2014 Repairs Deduction'!A:A,A28,'[7]4.0 2014 Repairs Deduction'!E:E)</f>
        <v>#VALUE!</v>
      </c>
      <c r="H28" s="23" t="e">
        <f>SUMIF('[7]5.0 Depr. Reversal Summary'!A:A,'1.0 Summary by Entity'!A28,'[7]5.0 Depr. Reversal Summary'!D:D)</f>
        <v>#VALUE!</v>
      </c>
      <c r="I28" s="23">
        <f>VLOOKUP(A28,'[7]6.0 Disposal Summary'!$A$7:$D$35,2,FALSE)</f>
        <v>0</v>
      </c>
      <c r="J28" s="23">
        <f>VLOOKUP(A28,'[7]6.0 Disposal Summary'!$A$7:$D$35,3,FALSE)</f>
        <v>0</v>
      </c>
      <c r="K28" s="23">
        <f>VLOOKUP(A28,'[7]6.0 Disposal Summary'!$A$7:$D$35,4,FALSE)</f>
        <v>0</v>
      </c>
      <c r="L28" s="23" t="e">
        <f t="shared" si="0"/>
        <v>#VALUE!</v>
      </c>
      <c r="O28" s="37" t="e">
        <f t="shared" si="1"/>
        <v>#VALUE!</v>
      </c>
      <c r="P28" s="35" t="e">
        <f t="shared" si="2"/>
        <v>#VALUE!</v>
      </c>
    </row>
    <row r="29" spans="1:16" ht="14.25" x14ac:dyDescent="0.2">
      <c r="A29" s="23" t="s">
        <v>37</v>
      </c>
      <c r="B29" s="23" t="e">
        <f>-SUMIF('[7]2.0 481(a) Adj Summary'!A:A,A29,'[7]2.0 481(a) Adj Summary'!D:D)</f>
        <v>#VALUE!</v>
      </c>
      <c r="C29" s="23" t="e">
        <f>SUMIF('[7]2.0 481(a) Adj Summary'!A:A,A29,'[7]2.0 481(a) Adj Summary'!E:E)</f>
        <v>#VALUE!</v>
      </c>
      <c r="D29" s="23" t="e">
        <f>-SUMIF('[7]2.0 481(a) Adj Summary'!A:A,A29,'[7]2.0 481(a) Adj Summary'!F:F)</f>
        <v>#VALUE!</v>
      </c>
      <c r="E29" s="23"/>
      <c r="F29" s="23"/>
      <c r="G29" s="23" t="e">
        <f>-SUMIF('[7]4.0 2014 Repairs Deduction'!A:A,A29,'[7]4.0 2014 Repairs Deduction'!E:E)</f>
        <v>#VALUE!</v>
      </c>
      <c r="H29" s="23" t="e">
        <f>SUMIF('[7]5.0 Depr. Reversal Summary'!A:A,'1.0 Summary by Entity'!A29,'[7]5.0 Depr. Reversal Summary'!D:D)</f>
        <v>#VALUE!</v>
      </c>
      <c r="I29" s="23">
        <f>VLOOKUP(A29,'[7]6.0 Disposal Summary'!$A$7:$D$35,2,FALSE)</f>
        <v>2416.4004999999997</v>
      </c>
      <c r="J29" s="23">
        <f>VLOOKUP(A29,'[7]6.0 Disposal Summary'!$A$7:$D$35,3,FALSE)</f>
        <v>3698.4260265471075</v>
      </c>
      <c r="K29" s="23">
        <f>VLOOKUP(A29,'[7]6.0 Disposal Summary'!$A$7:$D$35,4,FALSE)</f>
        <v>-94.335700000000003</v>
      </c>
      <c r="L29" s="23" t="e">
        <f t="shared" si="0"/>
        <v>#VALUE!</v>
      </c>
      <c r="O29" s="37" t="e">
        <f t="shared" si="1"/>
        <v>#VALUE!</v>
      </c>
      <c r="P29" s="35" t="e">
        <f t="shared" si="2"/>
        <v>#VALUE!</v>
      </c>
    </row>
    <row r="30" spans="1:16" ht="14.25" x14ac:dyDescent="0.2">
      <c r="A30" s="23" t="s">
        <v>38</v>
      </c>
      <c r="B30" s="23" t="e">
        <f>-SUMIF('[7]2.0 481(a) Adj Summary'!A:A,A30,'[7]2.0 481(a) Adj Summary'!D:D)</f>
        <v>#VALUE!</v>
      </c>
      <c r="C30" s="23" t="e">
        <f>SUMIF('[7]2.0 481(a) Adj Summary'!A:A,A30,'[7]2.0 481(a) Adj Summary'!E:E)</f>
        <v>#VALUE!</v>
      </c>
      <c r="D30" s="23" t="e">
        <f>-SUMIF('[7]2.0 481(a) Adj Summary'!A:A,A30,'[7]2.0 481(a) Adj Summary'!F:F)</f>
        <v>#VALUE!</v>
      </c>
      <c r="E30" s="23"/>
      <c r="F30" s="23"/>
      <c r="G30" s="23" t="e">
        <f>-SUMIF('[7]4.0 2014 Repairs Deduction'!A:A,A30,'[7]4.0 2014 Repairs Deduction'!E:E)</f>
        <v>#VALUE!</v>
      </c>
      <c r="H30" s="23" t="e">
        <f>SUMIF('[7]5.0 Depr. Reversal Summary'!A:A,'1.0 Summary by Entity'!A30,'[7]5.0 Depr. Reversal Summary'!D:D)</f>
        <v>#VALUE!</v>
      </c>
      <c r="I30" s="23">
        <f>VLOOKUP(A30,'[7]6.0 Disposal Summary'!$A$7:$D$35,2,FALSE)</f>
        <v>220.67159999999998</v>
      </c>
      <c r="J30" s="23">
        <f>VLOOKUP(A30,'[7]6.0 Disposal Summary'!$A$7:$D$35,3,FALSE)</f>
        <v>478.44895381697268</v>
      </c>
      <c r="K30" s="23">
        <f>VLOOKUP(A30,'[7]6.0 Disposal Summary'!$A$7:$D$35,4,FALSE)</f>
        <v>-164.8888</v>
      </c>
      <c r="L30" s="23" t="e">
        <f t="shared" si="0"/>
        <v>#VALUE!</v>
      </c>
      <c r="O30" s="37" t="e">
        <f t="shared" si="1"/>
        <v>#VALUE!</v>
      </c>
      <c r="P30" s="35" t="e">
        <f t="shared" si="2"/>
        <v>#VALUE!</v>
      </c>
    </row>
    <row r="31" spans="1:16" ht="14.25" x14ac:dyDescent="0.2">
      <c r="A31" s="23" t="s">
        <v>39</v>
      </c>
      <c r="B31" s="23" t="e">
        <f>-SUMIF('[7]2.0 481(a) Adj Summary'!A:A,A31,'[7]2.0 481(a) Adj Summary'!D:D)</f>
        <v>#VALUE!</v>
      </c>
      <c r="C31" s="23" t="e">
        <f>SUMIF('[7]2.0 481(a) Adj Summary'!A:A,A31,'[7]2.0 481(a) Adj Summary'!E:E)</f>
        <v>#VALUE!</v>
      </c>
      <c r="D31" s="23" t="e">
        <f>-SUMIF('[7]2.0 481(a) Adj Summary'!A:A,A31,'[7]2.0 481(a) Adj Summary'!F:F)</f>
        <v>#VALUE!</v>
      </c>
      <c r="E31" s="23"/>
      <c r="F31" s="23"/>
      <c r="G31" s="23" t="e">
        <f>-SUMIF('[7]4.0 2014 Repairs Deduction'!A:A,A31,'[7]4.0 2014 Repairs Deduction'!E:E)</f>
        <v>#VALUE!</v>
      </c>
      <c r="H31" s="23" t="e">
        <f>SUMIF('[7]5.0 Depr. Reversal Summary'!A:A,'1.0 Summary by Entity'!A31,'[7]5.0 Depr. Reversal Summary'!D:D)</f>
        <v>#VALUE!</v>
      </c>
      <c r="I31" s="23">
        <f>VLOOKUP(A31,'[7]6.0 Disposal Summary'!$A$7:$D$35,2,FALSE)</f>
        <v>3635.0318000000002</v>
      </c>
      <c r="J31" s="23">
        <f>VLOOKUP(A31,'[7]6.0 Disposal Summary'!$A$7:$D$35,3,FALSE)</f>
        <v>917.0436602265122</v>
      </c>
      <c r="K31" s="23">
        <f>VLOOKUP(A31,'[7]6.0 Disposal Summary'!$A$7:$D$35,4,FALSE)</f>
        <v>-232.96170000000001</v>
      </c>
      <c r="L31" s="23" t="e">
        <f t="shared" si="0"/>
        <v>#VALUE!</v>
      </c>
      <c r="O31" s="37" t="e">
        <f t="shared" si="1"/>
        <v>#VALUE!</v>
      </c>
      <c r="P31" s="35" t="e">
        <f t="shared" si="2"/>
        <v>#VALUE!</v>
      </c>
    </row>
    <row r="32" spans="1:16" ht="14.25" x14ac:dyDescent="0.2">
      <c r="A32" s="23" t="s">
        <v>40</v>
      </c>
      <c r="B32" s="23" t="e">
        <f>-SUMIF('[7]2.0 481(a) Adj Summary'!A:A,A32,'[7]2.0 481(a) Adj Summary'!D:D)</f>
        <v>#VALUE!</v>
      </c>
      <c r="C32" s="23" t="e">
        <f>SUMIF('[7]2.0 481(a) Adj Summary'!A:A,A32,'[7]2.0 481(a) Adj Summary'!E:E)</f>
        <v>#VALUE!</v>
      </c>
      <c r="D32" s="23" t="e">
        <f>-SUMIF('[7]2.0 481(a) Adj Summary'!A:A,A32,'[7]2.0 481(a) Adj Summary'!F:F)</f>
        <v>#VALUE!</v>
      </c>
      <c r="E32" s="23"/>
      <c r="F32" s="23"/>
      <c r="G32" s="23" t="e">
        <f>-SUMIF('[7]4.0 2014 Repairs Deduction'!A:A,A32,'[7]4.0 2014 Repairs Deduction'!E:E)</f>
        <v>#VALUE!</v>
      </c>
      <c r="H32" s="23" t="e">
        <f>SUMIF('[7]5.0 Depr. Reversal Summary'!A:A,'1.0 Summary by Entity'!A32,'[7]5.0 Depr. Reversal Summary'!D:D)</f>
        <v>#VALUE!</v>
      </c>
      <c r="I32" s="23">
        <f>VLOOKUP(A32,'[7]6.0 Disposal Summary'!$A$7:$D$35,2,FALSE)</f>
        <v>172.9845</v>
      </c>
      <c r="J32" s="23">
        <f>VLOOKUP(A32,'[7]6.0 Disposal Summary'!$A$7:$D$35,3,FALSE)</f>
        <v>1300.6756167161898</v>
      </c>
      <c r="K32" s="23">
        <f>VLOOKUP(A32,'[7]6.0 Disposal Summary'!$A$7:$D$35,4,FALSE)</f>
        <v>-181.5324</v>
      </c>
      <c r="L32" s="23" t="e">
        <f t="shared" si="0"/>
        <v>#VALUE!</v>
      </c>
      <c r="O32" s="37" t="e">
        <f t="shared" si="1"/>
        <v>#VALUE!</v>
      </c>
      <c r="P32" s="35" t="e">
        <f t="shared" si="2"/>
        <v>#VALUE!</v>
      </c>
    </row>
    <row r="33" spans="1:16" ht="14.25" x14ac:dyDescent="0.2">
      <c r="A33" s="23" t="s">
        <v>41</v>
      </c>
      <c r="B33" s="23" t="e">
        <f>-SUMIF('[7]2.0 481(a) Adj Summary'!A:A,A33,'[7]2.0 481(a) Adj Summary'!D:D)</f>
        <v>#VALUE!</v>
      </c>
      <c r="C33" s="23" t="e">
        <f>SUMIF('[7]2.0 481(a) Adj Summary'!A:A,A33,'[7]2.0 481(a) Adj Summary'!E:E)</f>
        <v>#VALUE!</v>
      </c>
      <c r="D33" s="23" t="e">
        <f>-SUMIF('[7]2.0 481(a) Adj Summary'!A:A,A33,'[7]2.0 481(a) Adj Summary'!F:F)</f>
        <v>#VALUE!</v>
      </c>
      <c r="E33" s="23"/>
      <c r="F33" s="23"/>
      <c r="G33" s="23" t="e">
        <f>-SUMIF('[7]4.0 2014 Repairs Deduction'!A:A,A33,'[7]4.0 2014 Repairs Deduction'!E:E)</f>
        <v>#VALUE!</v>
      </c>
      <c r="H33" s="23" t="e">
        <f>SUMIF('[7]5.0 Depr. Reversal Summary'!A:A,'1.0 Summary by Entity'!A33,'[7]5.0 Depr. Reversal Summary'!D:D)</f>
        <v>#VALUE!</v>
      </c>
      <c r="I33" s="23">
        <f>VLOOKUP(A33,'[7]6.0 Disposal Summary'!$A$7:$D$35,2,FALSE)</f>
        <v>0</v>
      </c>
      <c r="J33" s="23">
        <f>VLOOKUP(A33,'[7]6.0 Disposal Summary'!$A$7:$D$35,3,FALSE)</f>
        <v>447.86917401427377</v>
      </c>
      <c r="K33" s="23">
        <f>VLOOKUP(A33,'[7]6.0 Disposal Summary'!$A$7:$D$35,4,FALSE)</f>
        <v>-31.0609</v>
      </c>
      <c r="L33" s="23" t="e">
        <f t="shared" si="0"/>
        <v>#VALUE!</v>
      </c>
      <c r="O33" s="37" t="e">
        <f t="shared" si="1"/>
        <v>#VALUE!</v>
      </c>
      <c r="P33" s="35" t="e">
        <f t="shared" si="2"/>
        <v>#VALUE!</v>
      </c>
    </row>
    <row r="34" spans="1:16" ht="14.25" x14ac:dyDescent="0.2">
      <c r="A34" s="23" t="s">
        <v>42</v>
      </c>
      <c r="B34" s="23" t="e">
        <f>-SUMIF('[7]2.0 481(a) Adj Summary'!A:A,A34,'[7]2.0 481(a) Adj Summary'!D:D)</f>
        <v>#VALUE!</v>
      </c>
      <c r="C34" s="23" t="e">
        <f>SUMIF('[7]2.0 481(a) Adj Summary'!A:A,A34,'[7]2.0 481(a) Adj Summary'!E:E)</f>
        <v>#VALUE!</v>
      </c>
      <c r="D34" s="23" t="e">
        <f>-SUMIF('[7]2.0 481(a) Adj Summary'!A:A,A34,'[7]2.0 481(a) Adj Summary'!F:F)</f>
        <v>#VALUE!</v>
      </c>
      <c r="E34" s="23"/>
      <c r="F34" s="23"/>
      <c r="G34" s="23" t="e">
        <f>-SUMIF('[7]4.0 2014 Repairs Deduction'!A:A,A34,'[7]4.0 2014 Repairs Deduction'!E:E)</f>
        <v>#VALUE!</v>
      </c>
      <c r="H34" s="23" t="e">
        <f>SUMIF('[7]5.0 Depr. Reversal Summary'!A:A,'1.0 Summary by Entity'!A34,'[7]5.0 Depr. Reversal Summary'!D:D)</f>
        <v>#VALUE!</v>
      </c>
      <c r="I34" s="23">
        <f>VLOOKUP(A34,'[7]6.0 Disposal Summary'!$A$7:$D$35,2,FALSE)</f>
        <v>204.26780000000002</v>
      </c>
      <c r="J34" s="23">
        <f>VLOOKUP(A34,'[7]6.0 Disposal Summary'!$A$7:$D$35,3,FALSE)</f>
        <v>612.7823200821432</v>
      </c>
      <c r="K34" s="23">
        <f>VLOOKUP(A34,'[7]6.0 Disposal Summary'!$A$7:$D$35,4,FALSE)</f>
        <v>-177.8999</v>
      </c>
      <c r="L34" s="23" t="e">
        <f t="shared" si="0"/>
        <v>#VALUE!</v>
      </c>
      <c r="O34" s="37" t="e">
        <f t="shared" si="1"/>
        <v>#VALUE!</v>
      </c>
      <c r="P34" s="35" t="e">
        <f t="shared" si="2"/>
        <v>#VALUE!</v>
      </c>
    </row>
    <row r="35" spans="1:16" ht="14.25" x14ac:dyDescent="0.2">
      <c r="A35" s="23" t="s">
        <v>43</v>
      </c>
      <c r="B35" s="23" t="e">
        <f>-SUMIF('[7]2.0 481(a) Adj Summary'!A:A,A35,'[7]2.0 481(a) Adj Summary'!D:D)</f>
        <v>#VALUE!</v>
      </c>
      <c r="C35" s="23" t="e">
        <f>SUMIF('[7]2.0 481(a) Adj Summary'!A:A,A35,'[7]2.0 481(a) Adj Summary'!E:E)</f>
        <v>#VALUE!</v>
      </c>
      <c r="D35" s="23" t="e">
        <f>-SUMIF('[7]2.0 481(a) Adj Summary'!A:A,A35,'[7]2.0 481(a) Adj Summary'!F:F)</f>
        <v>#VALUE!</v>
      </c>
      <c r="E35" s="23"/>
      <c r="F35" s="23"/>
      <c r="G35" s="23" t="e">
        <f>-SUMIF('[7]4.0 2014 Repairs Deduction'!A:A,A35,'[7]4.0 2014 Repairs Deduction'!E:E)</f>
        <v>#VALUE!</v>
      </c>
      <c r="H35" s="23" t="e">
        <f>SUMIF('[7]5.0 Depr. Reversal Summary'!A:A,'1.0 Summary by Entity'!A35,'[7]5.0 Depr. Reversal Summary'!D:D)</f>
        <v>#VALUE!</v>
      </c>
      <c r="I35" s="23">
        <f>VLOOKUP(A35,'[7]6.0 Disposal Summary'!$A$7:$D$35,2,FALSE)</f>
        <v>216.96209999999999</v>
      </c>
      <c r="J35" s="23">
        <f>VLOOKUP(A35,'[7]6.0 Disposal Summary'!$A$7:$D$35,3,FALSE)</f>
        <v>764.70433538014481</v>
      </c>
      <c r="K35" s="23">
        <f>VLOOKUP(A35,'[7]6.0 Disposal Summary'!$A$7:$D$35,4,FALSE)</f>
        <v>-171.14689999999999</v>
      </c>
      <c r="L35" s="23" t="e">
        <f t="shared" si="0"/>
        <v>#VALUE!</v>
      </c>
      <c r="O35" s="37" t="e">
        <f t="shared" si="1"/>
        <v>#VALUE!</v>
      </c>
      <c r="P35" s="35" t="e">
        <f t="shared" si="2"/>
        <v>#VALUE!</v>
      </c>
    </row>
    <row r="36" spans="1:16" ht="14.25" x14ac:dyDescent="0.2">
      <c r="A36" s="26" t="s">
        <v>44</v>
      </c>
      <c r="B36" s="26" t="e">
        <f>-SUMIF('[7]2.0 481(a) Adj Summary'!A:A,A36,'[7]2.0 481(a) Adj Summary'!D:D)</f>
        <v>#VALUE!</v>
      </c>
      <c r="C36" s="26" t="e">
        <f>SUMIF('[7]2.0 481(a) Adj Summary'!A:A,A36,'[7]2.0 481(a) Adj Summary'!E:E)</f>
        <v>#VALUE!</v>
      </c>
      <c r="D36" s="26" t="e">
        <f>-SUMIF('[7]2.0 481(a) Adj Summary'!A:A,A36,'[7]2.0 481(a) Adj Summary'!F:F)</f>
        <v>#VALUE!</v>
      </c>
      <c r="E36" s="26"/>
      <c r="F36" s="26"/>
      <c r="G36" s="26" t="e">
        <f>-SUMIF('[7]4.0 2014 Repairs Deduction'!A:A,A36,'[7]4.0 2014 Repairs Deduction'!E:E)</f>
        <v>#VALUE!</v>
      </c>
      <c r="H36" s="26" t="e">
        <f>SUMIF('[7]5.0 Depr. Reversal Summary'!A:A,'1.0 Summary by Entity'!A36,'[7]5.0 Depr. Reversal Summary'!D:D)</f>
        <v>#VALUE!</v>
      </c>
      <c r="I36" s="26">
        <f>VLOOKUP(A36,'[7]6.0 Disposal Summary'!$A$7:$D$35,2,FALSE)</f>
        <v>0</v>
      </c>
      <c r="J36" s="26">
        <f>VLOOKUP(A36,'[7]6.0 Disposal Summary'!$A$7:$D$35,3,FALSE)</f>
        <v>0</v>
      </c>
      <c r="K36" s="26">
        <f>VLOOKUP(A36,'[7]6.0 Disposal Summary'!$A$7:$D$35,4,FALSE)</f>
        <v>0</v>
      </c>
      <c r="L36" s="26" t="e">
        <f t="shared" si="0"/>
        <v>#VALUE!</v>
      </c>
      <c r="M36" s="27" t="s">
        <v>44</v>
      </c>
      <c r="N36" s="28" t="e">
        <f>SUM(L36)</f>
        <v>#VALUE!</v>
      </c>
      <c r="O36" s="37" t="e">
        <f t="shared" si="1"/>
        <v>#VALUE!</v>
      </c>
      <c r="P36" s="35" t="e">
        <f t="shared" si="2"/>
        <v>#VALUE!</v>
      </c>
    </row>
    <row r="37" spans="1:16" x14ac:dyDescent="0.2">
      <c r="A37" s="8" t="s">
        <v>10</v>
      </c>
      <c r="B37" s="7" t="e">
        <f t="shared" ref="B37:J37" si="3">SUM(B8:B36)</f>
        <v>#VALUE!</v>
      </c>
      <c r="C37" s="7" t="e">
        <f t="shared" si="3"/>
        <v>#VALUE!</v>
      </c>
      <c r="D37" s="7" t="e">
        <f t="shared" si="3"/>
        <v>#VALUE!</v>
      </c>
      <c r="E37" s="7">
        <f t="shared" si="3"/>
        <v>-3608893.159239009</v>
      </c>
      <c r="F37" s="7">
        <f t="shared" si="3"/>
        <v>380614.81814864447</v>
      </c>
      <c r="G37" s="7" t="e">
        <f>SUM(G8:G36)</f>
        <v>#VALUE!</v>
      </c>
      <c r="H37" s="7" t="e">
        <f t="shared" si="3"/>
        <v>#VALUE!</v>
      </c>
      <c r="I37" s="7">
        <f t="shared" si="3"/>
        <v>216613.58350000001</v>
      </c>
      <c r="J37" s="7">
        <f t="shared" si="3"/>
        <v>257576.89789468446</v>
      </c>
      <c r="K37" s="7">
        <f>SUM(K8:K36)</f>
        <v>-15615.7081</v>
      </c>
      <c r="L37" s="7" t="e">
        <f>SUM(L8:L36)</f>
        <v>#VALUE!</v>
      </c>
      <c r="N37" s="35" t="e">
        <f>SUM(N8:N36)</f>
        <v>#VALUE!</v>
      </c>
      <c r="O37" s="37" t="e">
        <f t="shared" si="1"/>
        <v>#VALUE!</v>
      </c>
      <c r="P37" s="35" t="e">
        <f t="shared" si="2"/>
        <v>#VALUE!</v>
      </c>
    </row>
    <row r="38" spans="1:16" s="9" customFormat="1" ht="24.75" customHeight="1" x14ac:dyDescent="0.2">
      <c r="B38" s="10"/>
      <c r="C38" s="10"/>
      <c r="D38" s="11" t="s">
        <v>45</v>
      </c>
      <c r="E38" s="11" t="s">
        <v>45</v>
      </c>
      <c r="F38" s="11" t="s">
        <v>46</v>
      </c>
      <c r="G38" s="11" t="s">
        <v>47</v>
      </c>
      <c r="H38" s="11" t="s">
        <v>46</v>
      </c>
      <c r="I38" s="11" t="s">
        <v>45</v>
      </c>
      <c r="J38" s="11" t="s">
        <v>48</v>
      </c>
      <c r="K38" s="11" t="s">
        <v>46</v>
      </c>
      <c r="L38" s="10"/>
      <c r="O38" s="38"/>
    </row>
    <row r="39" spans="1:16" ht="14.25" x14ac:dyDescent="0.2">
      <c r="A39" s="12"/>
      <c r="I39" s="13"/>
      <c r="K39" s="13"/>
    </row>
    <row r="40" spans="1:16" x14ac:dyDescent="0.2">
      <c r="B40" s="14"/>
    </row>
    <row r="42" spans="1:16" x14ac:dyDescent="0.2">
      <c r="A42" s="1" t="s">
        <v>49</v>
      </c>
      <c r="E42" s="15"/>
    </row>
    <row r="43" spans="1:16" x14ac:dyDescent="0.2">
      <c r="A43" s="1" t="s">
        <v>50</v>
      </c>
    </row>
    <row r="44" spans="1:16" x14ac:dyDescent="0.2">
      <c r="A44" s="1" t="s">
        <v>51</v>
      </c>
    </row>
    <row r="46" spans="1:16" x14ac:dyDescent="0.2">
      <c r="A46" s="16"/>
    </row>
  </sheetData>
  <pageMargins left="0.7" right="0.7" top="0.75" bottom="0.75" header="0.3" footer="0.3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45"/>
  <sheetViews>
    <sheetView zoomScale="80" zoomScaleNormal="80" workbookViewId="0">
      <selection activeCell="T6" sqref="T6"/>
    </sheetView>
  </sheetViews>
  <sheetFormatPr defaultRowHeight="15" x14ac:dyDescent="0.25"/>
  <cols>
    <col min="1" max="1" width="9.140625" style="50"/>
    <col min="2" max="2" width="12.5703125" style="50" customWidth="1"/>
    <col min="3" max="3" width="12.7109375" style="50" bestFit="1" customWidth="1"/>
    <col min="4" max="4" width="13.5703125" style="50" bestFit="1" customWidth="1"/>
    <col min="5" max="5" width="15.7109375" style="51" bestFit="1" customWidth="1"/>
    <col min="6" max="6" width="9.140625" style="50"/>
    <col min="7" max="7" width="12.7109375" style="50" bestFit="1" customWidth="1"/>
    <col min="8" max="8" width="15.140625" style="50" customWidth="1"/>
    <col min="9" max="9" width="13.42578125" style="50" bestFit="1" customWidth="1"/>
    <col min="10" max="10" width="9.140625" style="50"/>
    <col min="11" max="11" width="13.28515625" style="50" bestFit="1" customWidth="1"/>
    <col min="12" max="12" width="9.140625" style="50"/>
    <col min="13" max="13" width="17.5703125" style="52" bestFit="1" customWidth="1"/>
    <col min="14" max="14" width="15.7109375" style="52" bestFit="1" customWidth="1"/>
    <col min="15" max="15" width="16.42578125" style="52" bestFit="1" customWidth="1"/>
    <col min="16" max="16" width="9.140625" style="50"/>
    <col min="17" max="17" width="21.140625" style="50" bestFit="1" customWidth="1"/>
    <col min="18" max="18" width="9.140625" style="50"/>
    <col min="19" max="19" width="12" style="50" bestFit="1" customWidth="1"/>
    <col min="20" max="20" width="9.140625" style="50"/>
    <col min="21" max="21" width="13" style="50" bestFit="1" customWidth="1"/>
    <col min="22" max="16384" width="9.140625" style="50"/>
  </cols>
  <sheetData>
    <row r="1" spans="1:21" ht="23.25" x14ac:dyDescent="0.35">
      <c r="A1" s="49" t="s">
        <v>75</v>
      </c>
    </row>
    <row r="2" spans="1:21" ht="23.25" x14ac:dyDescent="0.35">
      <c r="A2" s="49">
        <v>2017</v>
      </c>
      <c r="B2" s="49" t="s">
        <v>76</v>
      </c>
    </row>
    <row r="3" spans="1:21" ht="23.25" x14ac:dyDescent="0.35">
      <c r="A3" s="49"/>
      <c r="B3" s="49"/>
    </row>
    <row r="4" spans="1:21" ht="23.25" x14ac:dyDescent="0.35">
      <c r="A4" s="49"/>
      <c r="B4" s="49"/>
      <c r="C4" s="128" t="s">
        <v>77</v>
      </c>
      <c r="D4" s="128"/>
      <c r="E4" s="128"/>
      <c r="G4" s="128" t="s">
        <v>78</v>
      </c>
      <c r="H4" s="128"/>
      <c r="I4" s="128"/>
      <c r="M4" s="128" t="s">
        <v>79</v>
      </c>
      <c r="N4" s="128"/>
      <c r="O4" s="128"/>
    </row>
    <row r="5" spans="1:21" ht="23.25" x14ac:dyDescent="0.35">
      <c r="A5" s="49"/>
      <c r="B5" s="49"/>
      <c r="C5" s="129" t="s">
        <v>80</v>
      </c>
      <c r="D5" s="129"/>
      <c r="E5" s="129"/>
      <c r="G5" s="129" t="s">
        <v>81</v>
      </c>
      <c r="H5" s="129"/>
      <c r="I5" s="129"/>
      <c r="M5" s="129" t="s">
        <v>82</v>
      </c>
      <c r="N5" s="129"/>
      <c r="O5" s="129"/>
    </row>
    <row r="6" spans="1:21" ht="26.25" x14ac:dyDescent="0.25">
      <c r="A6" s="53"/>
      <c r="B6" s="53"/>
      <c r="C6" s="53" t="s">
        <v>83</v>
      </c>
      <c r="D6" s="53" t="s">
        <v>84</v>
      </c>
      <c r="E6" s="54" t="s">
        <v>85</v>
      </c>
      <c r="F6" s="53"/>
      <c r="G6" s="53" t="s">
        <v>83</v>
      </c>
      <c r="H6" s="53" t="s">
        <v>84</v>
      </c>
      <c r="I6" s="53" t="s">
        <v>85</v>
      </c>
      <c r="J6" s="53"/>
      <c r="K6" s="53" t="s">
        <v>86</v>
      </c>
      <c r="M6" s="55" t="s">
        <v>87</v>
      </c>
      <c r="N6" s="55" t="s">
        <v>88</v>
      </c>
      <c r="O6" s="56" t="s">
        <v>89</v>
      </c>
    </row>
    <row r="7" spans="1:21" x14ac:dyDescent="0.25">
      <c r="M7" s="50"/>
      <c r="N7" s="50"/>
      <c r="O7" s="50"/>
    </row>
    <row r="8" spans="1:21" x14ac:dyDescent="0.25">
      <c r="A8" s="57" t="s">
        <v>90</v>
      </c>
      <c r="C8" s="58">
        <v>0.35</v>
      </c>
      <c r="D8" s="59">
        <f>+[8]AC!L17</f>
        <v>8.2500000000000004E-2</v>
      </c>
      <c r="E8" s="60">
        <f>0.65*D8+C8</f>
        <v>0.40362500000000001</v>
      </c>
      <c r="G8" s="58">
        <v>0.21</v>
      </c>
      <c r="H8" s="59">
        <f>D8</f>
        <v>8.2500000000000004E-2</v>
      </c>
      <c r="I8" s="61">
        <f>0.79*H8+G8</f>
        <v>0.275175</v>
      </c>
      <c r="K8" s="58">
        <f>+E8-I8</f>
        <v>0.12845000000000001</v>
      </c>
      <c r="M8" s="52">
        <v>-103607</v>
      </c>
      <c r="N8" s="52">
        <f>+M8/E8*I8</f>
        <v>-70635.010777330448</v>
      </c>
      <c r="O8" s="52">
        <f>+M8-N8</f>
        <v>-32971.989222669552</v>
      </c>
      <c r="Q8" s="62"/>
      <c r="S8" s="63"/>
      <c r="U8" s="63"/>
    </row>
    <row r="9" spans="1:21" x14ac:dyDescent="0.25">
      <c r="A9" s="57" t="s">
        <v>91</v>
      </c>
      <c r="B9" s="50" t="s">
        <v>92</v>
      </c>
      <c r="C9" s="58">
        <v>0.35</v>
      </c>
      <c r="D9" s="59">
        <v>0</v>
      </c>
      <c r="E9" s="60">
        <f>0.65*D9+C9</f>
        <v>0.35</v>
      </c>
      <c r="G9" s="58">
        <v>0.21</v>
      </c>
      <c r="H9" s="59">
        <v>0</v>
      </c>
      <c r="I9" s="61">
        <f>0.79*H9+G9</f>
        <v>0.21</v>
      </c>
      <c r="K9" s="58">
        <f>+E9-I9</f>
        <v>0.13999999999999999</v>
      </c>
      <c r="M9" s="52">
        <v>14878291.460000001</v>
      </c>
      <c r="N9" s="52">
        <f t="shared" ref="N9:N38" si="0">+M9/E9*I9</f>
        <v>8926974.8760000002</v>
      </c>
      <c r="O9" s="52">
        <f t="shared" ref="O9:O38" si="1">+M9-N9</f>
        <v>5951316.5840000007</v>
      </c>
      <c r="Q9" s="62"/>
    </row>
    <row r="10" spans="1:21" s="51" customFormat="1" x14ac:dyDescent="0.25">
      <c r="A10" s="64" t="s">
        <v>58</v>
      </c>
      <c r="B10" s="51" t="s">
        <v>93</v>
      </c>
      <c r="C10" s="65">
        <v>0.35</v>
      </c>
      <c r="D10" s="60">
        <v>5.5E-2</v>
      </c>
      <c r="E10" s="60">
        <f t="shared" ref="E10:E38" si="2">0.65*D10+C10</f>
        <v>0.38574999999999998</v>
      </c>
      <c r="G10" s="65">
        <v>0.21</v>
      </c>
      <c r="H10" s="60">
        <v>5.5E-2</v>
      </c>
      <c r="I10" s="61">
        <f>0.79*H10+G10</f>
        <v>0.25345000000000001</v>
      </c>
      <c r="K10" s="65">
        <f t="shared" ref="K10:K38" si="3">+E10-I10</f>
        <v>0.13229999999999997</v>
      </c>
      <c r="M10" s="66">
        <v>16463475</v>
      </c>
      <c r="N10" s="67">
        <f t="shared" si="0"/>
        <v>10817025.894361634</v>
      </c>
      <c r="O10" s="67">
        <f t="shared" si="1"/>
        <v>5646449.1056383662</v>
      </c>
      <c r="Q10" s="68"/>
      <c r="S10" s="69">
        <v>0.35</v>
      </c>
      <c r="U10" s="69">
        <v>0.21</v>
      </c>
    </row>
    <row r="11" spans="1:21" s="51" customFormat="1" x14ac:dyDescent="0.25">
      <c r="A11" s="64" t="s">
        <v>59</v>
      </c>
      <c r="C11" s="65">
        <v>0.35</v>
      </c>
      <c r="D11" s="60">
        <f>+[8]CU!L65</f>
        <v>7.9080999999999999E-2</v>
      </c>
      <c r="E11" s="60">
        <f>[9]Summary!$E$11</f>
        <v>0.40262699999999996</v>
      </c>
      <c r="G11" s="65">
        <v>0.21</v>
      </c>
      <c r="H11" s="60">
        <f>D11</f>
        <v>7.9080999999999999E-2</v>
      </c>
      <c r="I11" s="60">
        <f>[8]CU!L46</f>
        <v>0.27396199999999998</v>
      </c>
      <c r="K11" s="65">
        <f t="shared" si="3"/>
        <v>0.12866499999999997</v>
      </c>
      <c r="M11" s="67">
        <v>-4813501</v>
      </c>
      <c r="N11" s="67">
        <f t="shared" si="0"/>
        <v>-3275280.4977361183</v>
      </c>
      <c r="O11" s="67">
        <f t="shared" si="1"/>
        <v>-1538220.5022638817</v>
      </c>
      <c r="Q11" s="68"/>
    </row>
    <row r="12" spans="1:21" s="51" customFormat="1" x14ac:dyDescent="0.25">
      <c r="A12" s="64" t="s">
        <v>60</v>
      </c>
      <c r="B12" s="51" t="s">
        <v>94</v>
      </c>
      <c r="C12" s="65">
        <v>0.35</v>
      </c>
      <c r="D12" s="60">
        <v>8.6999999999999994E-2</v>
      </c>
      <c r="E12" s="60">
        <f t="shared" si="2"/>
        <v>0.40654999999999997</v>
      </c>
      <c r="G12" s="65">
        <v>0.21</v>
      </c>
      <c r="H12" s="60">
        <v>8.6999999999999994E-2</v>
      </c>
      <c r="I12" s="61">
        <f t="shared" ref="I12:I38" si="4">0.79*H12+G12</f>
        <v>0.27872999999999998</v>
      </c>
      <c r="K12" s="65">
        <f t="shared" si="3"/>
        <v>0.12781999999999999</v>
      </c>
      <c r="M12" s="67">
        <v>28268224.960000001</v>
      </c>
      <c r="N12" s="67">
        <f t="shared" si="0"/>
        <v>19380647.750832126</v>
      </c>
      <c r="O12" s="67">
        <f t="shared" si="1"/>
        <v>8887577.2091678753</v>
      </c>
      <c r="Q12" s="68"/>
    </row>
    <row r="13" spans="1:21" s="51" customFormat="1" x14ac:dyDescent="0.25">
      <c r="A13" s="64" t="s">
        <v>95</v>
      </c>
      <c r="B13" s="51" t="s">
        <v>93</v>
      </c>
      <c r="C13" s="65">
        <v>0.35</v>
      </c>
      <c r="D13" s="60">
        <v>5.5E-2</v>
      </c>
      <c r="E13" s="60">
        <f t="shared" si="2"/>
        <v>0.38574999999999998</v>
      </c>
      <c r="G13" s="65">
        <v>0.21</v>
      </c>
      <c r="H13" s="60">
        <v>5.5E-2</v>
      </c>
      <c r="I13" s="61">
        <f t="shared" si="4"/>
        <v>0.25345000000000001</v>
      </c>
      <c r="K13" s="65">
        <f t="shared" si="3"/>
        <v>0.13229999999999997</v>
      </c>
      <c r="M13" s="67">
        <v>6020938</v>
      </c>
      <c r="N13" s="67">
        <f t="shared" si="0"/>
        <v>3955947.4688269608</v>
      </c>
      <c r="O13" s="67">
        <f t="shared" si="1"/>
        <v>2064990.5311730392</v>
      </c>
      <c r="Q13" s="68"/>
      <c r="S13" s="70">
        <v>8.2500000000000004E-2</v>
      </c>
      <c r="U13" s="70">
        <v>8.2500000000000004E-2</v>
      </c>
    </row>
    <row r="14" spans="1:21" s="51" customFormat="1" x14ac:dyDescent="0.25">
      <c r="A14" s="64" t="s">
        <v>96</v>
      </c>
      <c r="B14" s="51" t="s">
        <v>97</v>
      </c>
      <c r="C14" s="65">
        <v>0.35</v>
      </c>
      <c r="D14" s="60">
        <v>8.2500000000000004E-2</v>
      </c>
      <c r="E14" s="60">
        <f t="shared" si="2"/>
        <v>0.40362500000000001</v>
      </c>
      <c r="G14" s="65">
        <v>0.21</v>
      </c>
      <c r="H14" s="60">
        <v>8.2500000000000004E-2</v>
      </c>
      <c r="I14" s="61">
        <f t="shared" si="4"/>
        <v>0.275175</v>
      </c>
      <c r="K14" s="65">
        <f t="shared" si="3"/>
        <v>0.12845000000000001</v>
      </c>
      <c r="M14" s="67">
        <v>-44274</v>
      </c>
      <c r="N14" s="67">
        <f t="shared" si="0"/>
        <v>-30184.200557448126</v>
      </c>
      <c r="O14" s="67">
        <f t="shared" si="1"/>
        <v>-14089.799442551874</v>
      </c>
      <c r="Q14" s="68"/>
    </row>
    <row r="15" spans="1:21" s="51" customFormat="1" x14ac:dyDescent="0.25">
      <c r="A15" s="64" t="s">
        <v>61</v>
      </c>
      <c r="C15" s="65">
        <v>0.35</v>
      </c>
      <c r="D15" s="60">
        <f>+[8]ES!L14</f>
        <v>0.10116956058</v>
      </c>
      <c r="E15" s="60">
        <f t="shared" si="2"/>
        <v>0.41576021437699995</v>
      </c>
      <c r="G15" s="65">
        <v>0.21</v>
      </c>
      <c r="H15" s="60">
        <f>D15</f>
        <v>0.10116956058</v>
      </c>
      <c r="I15" s="61">
        <f t="shared" si="4"/>
        <v>0.2899239528582</v>
      </c>
      <c r="K15" s="65">
        <f t="shared" si="3"/>
        <v>0.12583626151879995</v>
      </c>
      <c r="M15" s="67">
        <v>60684275</v>
      </c>
      <c r="N15" s="67">
        <f t="shared" si="0"/>
        <v>42317240.264794663</v>
      </c>
      <c r="O15" s="67">
        <f t="shared" si="1"/>
        <v>18367034.735205337</v>
      </c>
      <c r="Q15" s="68"/>
      <c r="S15" s="71">
        <f>S13*S10</f>
        <v>2.8874999999999998E-2</v>
      </c>
      <c r="U15" s="71">
        <f>U13*U10</f>
        <v>1.7325E-2</v>
      </c>
    </row>
    <row r="16" spans="1:21" s="51" customFormat="1" x14ac:dyDescent="0.25">
      <c r="A16" s="64" t="s">
        <v>64</v>
      </c>
      <c r="B16" s="51" t="s">
        <v>93</v>
      </c>
      <c r="C16" s="65">
        <v>0.35</v>
      </c>
      <c r="D16" s="60">
        <v>5.5E-2</v>
      </c>
      <c r="E16" s="60">
        <f t="shared" si="2"/>
        <v>0.38574999999999998</v>
      </c>
      <c r="G16" s="65">
        <v>0.21</v>
      </c>
      <c r="H16" s="60">
        <v>5.5E-2</v>
      </c>
      <c r="I16" s="61">
        <f t="shared" si="4"/>
        <v>0.25345000000000001</v>
      </c>
      <c r="K16" s="65">
        <f t="shared" si="3"/>
        <v>0.13229999999999997</v>
      </c>
      <c r="M16" s="67">
        <v>-1236395.46</v>
      </c>
      <c r="N16" s="67">
        <f t="shared" si="0"/>
        <v>-812351.08058846404</v>
      </c>
      <c r="O16" s="67">
        <f t="shared" si="1"/>
        <v>-424044.37941153592</v>
      </c>
      <c r="Q16" s="68"/>
    </row>
    <row r="17" spans="1:21" s="51" customFormat="1" x14ac:dyDescent="0.25">
      <c r="A17" s="64" t="s">
        <v>65</v>
      </c>
      <c r="B17" s="51" t="s">
        <v>93</v>
      </c>
      <c r="C17" s="65">
        <v>0.35</v>
      </c>
      <c r="D17" s="60">
        <v>5.5E-2</v>
      </c>
      <c r="E17" s="60">
        <f t="shared" si="2"/>
        <v>0.38574999999999998</v>
      </c>
      <c r="G17" s="65">
        <v>0.21</v>
      </c>
      <c r="H17" s="60">
        <v>5.5E-2</v>
      </c>
      <c r="I17" s="61">
        <f t="shared" si="4"/>
        <v>0.25345000000000001</v>
      </c>
      <c r="K17" s="65">
        <f t="shared" si="3"/>
        <v>0.13229999999999997</v>
      </c>
      <c r="M17" s="67">
        <v>16206349.359999999</v>
      </c>
      <c r="N17" s="67">
        <f t="shared" si="0"/>
        <v>10648086.183517823</v>
      </c>
      <c r="O17" s="67">
        <f t="shared" si="1"/>
        <v>5558263.1764821764</v>
      </c>
      <c r="Q17" s="68"/>
    </row>
    <row r="18" spans="1:21" s="51" customFormat="1" x14ac:dyDescent="0.25">
      <c r="A18" s="64" t="s">
        <v>62</v>
      </c>
      <c r="B18" s="51" t="s">
        <v>93</v>
      </c>
      <c r="C18" s="65">
        <v>0.35</v>
      </c>
      <c r="D18" s="60">
        <v>5.5E-2</v>
      </c>
      <c r="E18" s="60">
        <f t="shared" si="2"/>
        <v>0.38574999999999998</v>
      </c>
      <c r="G18" s="65">
        <v>0.21</v>
      </c>
      <c r="H18" s="60">
        <v>5.5E-2</v>
      </c>
      <c r="I18" s="61">
        <f t="shared" si="4"/>
        <v>0.25345000000000001</v>
      </c>
      <c r="K18" s="65">
        <f t="shared" si="3"/>
        <v>0.13229999999999997</v>
      </c>
      <c r="M18" s="67">
        <v>5006524</v>
      </c>
      <c r="N18" s="67">
        <f t="shared" si="0"/>
        <v>3289445.2567725214</v>
      </c>
      <c r="O18" s="67">
        <f t="shared" si="1"/>
        <v>1717078.7432274786</v>
      </c>
      <c r="Q18" s="68"/>
      <c r="S18" s="71">
        <f>S13-S15</f>
        <v>5.3625000000000006E-2</v>
      </c>
      <c r="U18" s="71">
        <f>U13-U15</f>
        <v>6.5175000000000011E-2</v>
      </c>
    </row>
    <row r="19" spans="1:21" s="51" customFormat="1" x14ac:dyDescent="0.25">
      <c r="A19" s="64" t="s">
        <v>67</v>
      </c>
      <c r="B19" s="51" t="s">
        <v>93</v>
      </c>
      <c r="C19" s="65">
        <v>0.35</v>
      </c>
      <c r="D19" s="60">
        <v>5.5E-2</v>
      </c>
      <c r="E19" s="60">
        <f t="shared" si="2"/>
        <v>0.38574999999999998</v>
      </c>
      <c r="G19" s="65">
        <v>0.21</v>
      </c>
      <c r="H19" s="60">
        <v>5.5E-2</v>
      </c>
      <c r="I19" s="61">
        <f t="shared" si="4"/>
        <v>0.25345000000000001</v>
      </c>
      <c r="K19" s="65">
        <f t="shared" si="3"/>
        <v>0.13229999999999997</v>
      </c>
      <c r="M19" s="67">
        <v>513652</v>
      </c>
      <c r="N19" s="67">
        <f t="shared" si="0"/>
        <v>337485.67569669482</v>
      </c>
      <c r="O19" s="67">
        <f t="shared" si="1"/>
        <v>176166.32430330518</v>
      </c>
      <c r="Q19" s="68"/>
      <c r="S19" s="69">
        <v>0.35</v>
      </c>
      <c r="U19" s="69">
        <v>0.35</v>
      </c>
    </row>
    <row r="20" spans="1:21" s="51" customFormat="1" x14ac:dyDescent="0.25">
      <c r="A20" s="64" t="s">
        <v>98</v>
      </c>
      <c r="B20" s="51" t="s">
        <v>93</v>
      </c>
      <c r="C20" s="65">
        <v>0.35</v>
      </c>
      <c r="D20" s="60">
        <v>5.5E-2</v>
      </c>
      <c r="E20" s="60">
        <f t="shared" si="2"/>
        <v>0.38574999999999998</v>
      </c>
      <c r="G20" s="65">
        <v>0.21</v>
      </c>
      <c r="H20" s="60">
        <v>5.5E-2</v>
      </c>
      <c r="I20" s="61">
        <f t="shared" si="4"/>
        <v>0.25345000000000001</v>
      </c>
      <c r="K20" s="65">
        <f t="shared" si="3"/>
        <v>0.13229999999999997</v>
      </c>
      <c r="M20" s="67">
        <v>251629</v>
      </c>
      <c r="N20" s="67">
        <f t="shared" si="0"/>
        <v>165328.24381075826</v>
      </c>
      <c r="O20" s="67">
        <f t="shared" si="1"/>
        <v>86300.756189241743</v>
      </c>
      <c r="Q20" s="68"/>
    </row>
    <row r="21" spans="1:21" s="51" customFormat="1" x14ac:dyDescent="0.25">
      <c r="A21" s="64" t="s">
        <v>99</v>
      </c>
      <c r="B21" s="51" t="s">
        <v>93</v>
      </c>
      <c r="C21" s="65">
        <v>0.35</v>
      </c>
      <c r="D21" s="60">
        <v>5.5E-2</v>
      </c>
      <c r="E21" s="60">
        <f t="shared" si="2"/>
        <v>0.38574999999999998</v>
      </c>
      <c r="G21" s="65">
        <v>0.21</v>
      </c>
      <c r="H21" s="60">
        <v>5.5E-2</v>
      </c>
      <c r="I21" s="61">
        <f t="shared" si="4"/>
        <v>0.25345000000000001</v>
      </c>
      <c r="K21" s="65">
        <f t="shared" si="3"/>
        <v>0.13229999999999997</v>
      </c>
      <c r="M21" s="67">
        <v>172</v>
      </c>
      <c r="N21" s="67">
        <f t="shared" si="0"/>
        <v>113.00946208684381</v>
      </c>
      <c r="O21" s="67">
        <f t="shared" si="1"/>
        <v>58.990537913156189</v>
      </c>
      <c r="Q21" s="68"/>
      <c r="S21" s="71">
        <f>SUM(S18:S20)</f>
        <v>0.40362500000000001</v>
      </c>
      <c r="U21" s="71">
        <f>SUM(U18:U20)</f>
        <v>0.41517499999999996</v>
      </c>
    </row>
    <row r="22" spans="1:21" s="51" customFormat="1" x14ac:dyDescent="0.25">
      <c r="A22" s="64" t="s">
        <v>66</v>
      </c>
      <c r="B22" s="51" t="s">
        <v>93</v>
      </c>
      <c r="C22" s="65">
        <v>0.35</v>
      </c>
      <c r="D22" s="60">
        <v>5.5E-2</v>
      </c>
      <c r="E22" s="60">
        <f t="shared" si="2"/>
        <v>0.38574999999999998</v>
      </c>
      <c r="G22" s="65">
        <v>0.21</v>
      </c>
      <c r="H22" s="60">
        <v>5.5E-2</v>
      </c>
      <c r="I22" s="61">
        <f t="shared" si="4"/>
        <v>0.25345000000000001</v>
      </c>
      <c r="K22" s="65">
        <f t="shared" si="3"/>
        <v>0.13229999999999997</v>
      </c>
      <c r="M22" s="67">
        <v>54000220</v>
      </c>
      <c r="N22" s="67">
        <f t="shared" si="0"/>
        <v>35479859.388204798</v>
      </c>
      <c r="O22" s="67">
        <f t="shared" si="1"/>
        <v>18520360.611795202</v>
      </c>
      <c r="Q22" s="68"/>
    </row>
    <row r="23" spans="1:21" s="51" customFormat="1" x14ac:dyDescent="0.25">
      <c r="A23" s="64" t="s">
        <v>100</v>
      </c>
      <c r="B23" s="51" t="s">
        <v>93</v>
      </c>
      <c r="C23" s="65">
        <v>0.35</v>
      </c>
      <c r="D23" s="60">
        <v>8.6999999999999994E-2</v>
      </c>
      <c r="E23" s="60">
        <f t="shared" si="2"/>
        <v>0.40654999999999997</v>
      </c>
      <c r="G23" s="65">
        <v>0.21</v>
      </c>
      <c r="H23" s="60">
        <v>8.6999999999999994E-2</v>
      </c>
      <c r="I23" s="61">
        <f t="shared" si="4"/>
        <v>0.27872999999999998</v>
      </c>
      <c r="K23" s="65">
        <f t="shared" si="3"/>
        <v>0.12781999999999999</v>
      </c>
      <c r="M23" s="67">
        <v>-19759</v>
      </c>
      <c r="N23" s="67">
        <f t="shared" si="0"/>
        <v>-13546.73735087935</v>
      </c>
      <c r="O23" s="67">
        <f t="shared" si="1"/>
        <v>-6212.2626491206502</v>
      </c>
      <c r="Q23" s="68"/>
    </row>
    <row r="24" spans="1:21" s="51" customFormat="1" x14ac:dyDescent="0.25">
      <c r="A24" s="64" t="s">
        <v>101</v>
      </c>
      <c r="C24" s="65">
        <v>0.35</v>
      </c>
      <c r="D24" s="60"/>
      <c r="E24" s="60">
        <f t="shared" si="2"/>
        <v>0.35</v>
      </c>
      <c r="G24" s="65">
        <v>0.21</v>
      </c>
      <c r="H24" s="60"/>
      <c r="I24" s="61">
        <f t="shared" si="4"/>
        <v>0.21</v>
      </c>
      <c r="K24" s="65">
        <f t="shared" si="3"/>
        <v>0.13999999999999999</v>
      </c>
      <c r="M24" s="67">
        <v>0</v>
      </c>
      <c r="N24" s="67">
        <f t="shared" si="0"/>
        <v>0</v>
      </c>
      <c r="O24" s="67">
        <f t="shared" si="1"/>
        <v>0</v>
      </c>
      <c r="Q24" s="68"/>
    </row>
    <row r="25" spans="1:21" s="51" customFormat="1" x14ac:dyDescent="0.25">
      <c r="A25" s="64" t="s">
        <v>68</v>
      </c>
      <c r="B25" s="51" t="s">
        <v>97</v>
      </c>
      <c r="C25" s="65">
        <v>0.35</v>
      </c>
      <c r="D25" s="60">
        <v>8.2500000000000004E-2</v>
      </c>
      <c r="E25" s="60">
        <f t="shared" si="2"/>
        <v>0.40362500000000001</v>
      </c>
      <c r="G25" s="65">
        <v>0.21</v>
      </c>
      <c r="H25" s="60">
        <v>8.2500000000000004E-2</v>
      </c>
      <c r="I25" s="61">
        <f t="shared" si="4"/>
        <v>0.275175</v>
      </c>
      <c r="K25" s="65">
        <f t="shared" si="3"/>
        <v>0.12845000000000001</v>
      </c>
      <c r="M25" s="67">
        <v>8252458.4400000004</v>
      </c>
      <c r="N25" s="67">
        <f t="shared" si="0"/>
        <v>5626188.2966292966</v>
      </c>
      <c r="O25" s="67">
        <f t="shared" si="1"/>
        <v>2626270.1433707038</v>
      </c>
      <c r="Q25" s="68"/>
    </row>
    <row r="26" spans="1:21" s="51" customFormat="1" x14ac:dyDescent="0.25">
      <c r="A26" s="64" t="s">
        <v>102</v>
      </c>
      <c r="B26" s="51" t="s">
        <v>93</v>
      </c>
      <c r="C26" s="65">
        <v>0.35</v>
      </c>
      <c r="D26" s="60">
        <v>5.5E-2</v>
      </c>
      <c r="E26" s="60">
        <f t="shared" si="2"/>
        <v>0.38574999999999998</v>
      </c>
      <c r="G26" s="65">
        <v>0.21</v>
      </c>
      <c r="H26" s="60">
        <v>5.5E-2</v>
      </c>
      <c r="I26" s="61">
        <f t="shared" si="4"/>
        <v>0.25345000000000001</v>
      </c>
      <c r="K26" s="65">
        <f t="shared" si="3"/>
        <v>0.13229999999999997</v>
      </c>
      <c r="M26" s="67">
        <v>4887827</v>
      </c>
      <c r="N26" s="67">
        <f t="shared" si="0"/>
        <v>3211457.5583927417</v>
      </c>
      <c r="O26" s="67">
        <f t="shared" si="1"/>
        <v>1676369.4416072583</v>
      </c>
      <c r="Q26" s="68"/>
    </row>
    <row r="27" spans="1:21" s="51" customFormat="1" x14ac:dyDescent="0.25">
      <c r="A27" s="64" t="s">
        <v>103</v>
      </c>
      <c r="B27" s="51" t="s">
        <v>94</v>
      </c>
      <c r="C27" s="65">
        <v>0.35</v>
      </c>
      <c r="D27" s="60">
        <v>8.6999999999999994E-2</v>
      </c>
      <c r="E27" s="60">
        <f t="shared" si="2"/>
        <v>0.40654999999999997</v>
      </c>
      <c r="G27" s="65">
        <v>0.21</v>
      </c>
      <c r="H27" s="60">
        <v>8.6999999999999994E-2</v>
      </c>
      <c r="I27" s="61">
        <f t="shared" si="4"/>
        <v>0.27872999999999998</v>
      </c>
      <c r="K27" s="65">
        <f t="shared" si="3"/>
        <v>0.12781999999999999</v>
      </c>
      <c r="M27" s="67">
        <v>495589</v>
      </c>
      <c r="N27" s="67">
        <f t="shared" si="0"/>
        <v>339774.98947238963</v>
      </c>
      <c r="O27" s="67">
        <f t="shared" si="1"/>
        <v>155814.01052761037</v>
      </c>
      <c r="Q27" s="68"/>
    </row>
    <row r="28" spans="1:21" s="51" customFormat="1" x14ac:dyDescent="0.25">
      <c r="A28" s="64" t="s">
        <v>104</v>
      </c>
      <c r="B28" s="51" t="s">
        <v>97</v>
      </c>
      <c r="C28" s="65">
        <v>0.35</v>
      </c>
      <c r="D28" s="60">
        <v>8.2500000000000004E-2</v>
      </c>
      <c r="E28" s="60">
        <f t="shared" si="2"/>
        <v>0.40362500000000001</v>
      </c>
      <c r="G28" s="65">
        <v>0.21</v>
      </c>
      <c r="H28" s="60">
        <v>8.2500000000000004E-2</v>
      </c>
      <c r="I28" s="61">
        <f t="shared" si="4"/>
        <v>0.275175</v>
      </c>
      <c r="K28" s="65">
        <f t="shared" si="3"/>
        <v>0.12845000000000001</v>
      </c>
      <c r="M28" s="67">
        <v>495589</v>
      </c>
      <c r="N28" s="67">
        <f t="shared" si="0"/>
        <v>337872.29005884175</v>
      </c>
      <c r="O28" s="67">
        <f t="shared" si="1"/>
        <v>157716.70994115825</v>
      </c>
      <c r="Q28" s="68"/>
    </row>
    <row r="29" spans="1:21" x14ac:dyDescent="0.25">
      <c r="A29" s="64" t="s">
        <v>105</v>
      </c>
      <c r="C29" s="58">
        <v>0.35</v>
      </c>
      <c r="D29" s="59">
        <f>+[8]PS!L15</f>
        <v>5.2214003269999996E-2</v>
      </c>
      <c r="E29" s="60">
        <f t="shared" si="2"/>
        <v>0.38393910212549998</v>
      </c>
      <c r="G29" s="58">
        <v>0.21</v>
      </c>
      <c r="H29" s="59">
        <f>D29</f>
        <v>5.2214003269999996E-2</v>
      </c>
      <c r="I29" s="61">
        <f t="shared" si="4"/>
        <v>0.25124906258329999</v>
      </c>
      <c r="K29" s="58">
        <f t="shared" si="3"/>
        <v>0.13269003954219999</v>
      </c>
      <c r="M29" s="52">
        <v>-279301</v>
      </c>
      <c r="N29" s="52">
        <f t="shared" si="0"/>
        <v>-182774.07547210477</v>
      </c>
      <c r="O29" s="52">
        <f t="shared" si="1"/>
        <v>-96526.924527895229</v>
      </c>
      <c r="P29" s="51"/>
      <c r="Q29" s="68"/>
    </row>
    <row r="30" spans="1:21" x14ac:dyDescent="0.25">
      <c r="A30" s="72" t="s">
        <v>106</v>
      </c>
      <c r="B30" s="73" t="s">
        <v>107</v>
      </c>
      <c r="C30" s="74">
        <v>0.35</v>
      </c>
      <c r="D30" s="75">
        <v>9.9900000000000003E-2</v>
      </c>
      <c r="E30" s="75">
        <f t="shared" si="2"/>
        <v>0.414935</v>
      </c>
      <c r="F30" s="73"/>
      <c r="G30" s="74">
        <v>0.21</v>
      </c>
      <c r="H30" s="75">
        <v>9.9900000000000003E-2</v>
      </c>
      <c r="I30" s="61">
        <f t="shared" si="4"/>
        <v>0.28892099999999998</v>
      </c>
      <c r="J30" s="73"/>
      <c r="K30" s="74">
        <f t="shared" si="3"/>
        <v>0.12601400000000001</v>
      </c>
      <c r="M30" s="52">
        <v>0</v>
      </c>
      <c r="N30" s="52">
        <f t="shared" si="0"/>
        <v>0</v>
      </c>
      <c r="O30" s="52">
        <f t="shared" si="1"/>
        <v>0</v>
      </c>
      <c r="Q30" s="62"/>
    </row>
    <row r="31" spans="1:21" x14ac:dyDescent="0.25">
      <c r="A31" s="57" t="s">
        <v>70</v>
      </c>
      <c r="C31" s="58">
        <v>0.35</v>
      </c>
      <c r="D31" s="59">
        <f>+[8]SG!L17</f>
        <v>8.3948999999999982E-2</v>
      </c>
      <c r="E31" s="60">
        <f t="shared" si="2"/>
        <v>0.40456684999999998</v>
      </c>
      <c r="G31" s="58">
        <v>0.21</v>
      </c>
      <c r="H31" s="59">
        <f>D31</f>
        <v>8.3948999999999982E-2</v>
      </c>
      <c r="I31" s="61">
        <f t="shared" si="4"/>
        <v>0.27631971</v>
      </c>
      <c r="K31" s="58">
        <f t="shared" si="3"/>
        <v>0.12824713999999998</v>
      </c>
      <c r="M31" s="52">
        <v>2148515</v>
      </c>
      <c r="N31" s="52">
        <f t="shared" si="0"/>
        <v>1467438.6735607479</v>
      </c>
      <c r="O31" s="52">
        <f t="shared" si="1"/>
        <v>681076.32643925212</v>
      </c>
      <c r="Q31" s="62"/>
    </row>
    <row r="32" spans="1:21" x14ac:dyDescent="0.25">
      <c r="A32" s="57" t="s">
        <v>69</v>
      </c>
      <c r="C32" s="58">
        <v>0.35</v>
      </c>
      <c r="D32" s="59">
        <f>+[8]SG!L17</f>
        <v>8.3948999999999982E-2</v>
      </c>
      <c r="E32" s="60">
        <f t="shared" si="2"/>
        <v>0.40456684999999998</v>
      </c>
      <c r="G32" s="58">
        <v>0.21</v>
      </c>
      <c r="H32" s="59">
        <f>D32</f>
        <v>8.3948999999999982E-2</v>
      </c>
      <c r="I32" s="61">
        <f t="shared" si="4"/>
        <v>0.27631971</v>
      </c>
      <c r="K32" s="58">
        <f t="shared" si="3"/>
        <v>0.12824713999999998</v>
      </c>
      <c r="M32" s="52">
        <v>7505958</v>
      </c>
      <c r="N32" s="52">
        <f t="shared" si="0"/>
        <v>5126579.5450916952</v>
      </c>
      <c r="O32" s="52">
        <f t="shared" si="1"/>
        <v>2379378.4549083048</v>
      </c>
      <c r="Q32" s="62"/>
    </row>
    <row r="33" spans="1:17" x14ac:dyDescent="0.25">
      <c r="A33" s="57" t="s">
        <v>63</v>
      </c>
      <c r="C33" s="58">
        <v>0.35</v>
      </c>
      <c r="D33" s="59">
        <f>+[8]SK!L14</f>
        <v>9.0372157319999993E-2</v>
      </c>
      <c r="E33" s="60">
        <f t="shared" si="2"/>
        <v>0.408741902258</v>
      </c>
      <c r="G33" s="58">
        <v>0.21</v>
      </c>
      <c r="H33" s="59">
        <f>D33</f>
        <v>9.0372157319999993E-2</v>
      </c>
      <c r="I33" s="61">
        <f t="shared" si="4"/>
        <v>0.28139400428279998</v>
      </c>
      <c r="K33" s="58">
        <f t="shared" si="3"/>
        <v>0.12734789797520002</v>
      </c>
      <c r="M33" s="52">
        <v>261039</v>
      </c>
      <c r="N33" s="52">
        <f t="shared" si="0"/>
        <v>179709.51614746064</v>
      </c>
      <c r="O33" s="52">
        <f t="shared" si="1"/>
        <v>81329.483852539357</v>
      </c>
      <c r="Q33" s="62"/>
    </row>
    <row r="34" spans="1:17" s="51" customFormat="1" x14ac:dyDescent="0.25">
      <c r="A34" s="64" t="s">
        <v>108</v>
      </c>
      <c r="B34" s="51" t="s">
        <v>109</v>
      </c>
      <c r="C34" s="65">
        <v>0.35</v>
      </c>
      <c r="D34" s="60">
        <v>4.2574000000000001E-2</v>
      </c>
      <c r="E34" s="60">
        <f t="shared" si="2"/>
        <v>0.37767309999999998</v>
      </c>
      <c r="G34" s="65">
        <v>0.21</v>
      </c>
      <c r="H34" s="60">
        <v>4.2574000000000001E-2</v>
      </c>
      <c r="I34" s="61">
        <f t="shared" si="4"/>
        <v>0.24363346</v>
      </c>
      <c r="K34" s="65">
        <f t="shared" si="3"/>
        <v>0.13403963999999999</v>
      </c>
      <c r="M34" s="67">
        <v>0</v>
      </c>
      <c r="N34" s="67">
        <f t="shared" si="0"/>
        <v>0</v>
      </c>
      <c r="O34" s="67">
        <f t="shared" si="1"/>
        <v>0</v>
      </c>
      <c r="Q34" s="68"/>
    </row>
    <row r="35" spans="1:17" s="51" customFormat="1" x14ac:dyDescent="0.25">
      <c r="A35" s="64" t="s">
        <v>110</v>
      </c>
      <c r="C35" s="65">
        <v>0.35</v>
      </c>
      <c r="D35" s="60">
        <f>+[8]XE!L22</f>
        <v>4.0749999999999996E-3</v>
      </c>
      <c r="E35" s="60">
        <f t="shared" si="2"/>
        <v>0.35264874999999996</v>
      </c>
      <c r="G35" s="65">
        <v>0.21</v>
      </c>
      <c r="H35" s="60">
        <f>D35</f>
        <v>4.0749999999999996E-3</v>
      </c>
      <c r="I35" s="61">
        <f t="shared" si="4"/>
        <v>0.21321925</v>
      </c>
      <c r="K35" s="65">
        <f t="shared" si="3"/>
        <v>0.13942949999999996</v>
      </c>
      <c r="M35" s="67">
        <v>8511</v>
      </c>
      <c r="N35" s="67">
        <f t="shared" si="0"/>
        <v>5145.9392291905197</v>
      </c>
      <c r="O35" s="67">
        <f t="shared" si="1"/>
        <v>3365.0607708094803</v>
      </c>
      <c r="Q35" s="68"/>
    </row>
    <row r="36" spans="1:17" s="51" customFormat="1" x14ac:dyDescent="0.25">
      <c r="A36" s="64" t="s">
        <v>111</v>
      </c>
      <c r="B36" s="51" t="s">
        <v>97</v>
      </c>
      <c r="C36" s="65">
        <v>0.35</v>
      </c>
      <c r="D36" s="60">
        <v>8.2500000000000004E-2</v>
      </c>
      <c r="E36" s="60">
        <f t="shared" si="2"/>
        <v>0.40362500000000001</v>
      </c>
      <c r="G36" s="65">
        <v>0.21</v>
      </c>
      <c r="H36" s="60">
        <v>8.2500000000000004E-2</v>
      </c>
      <c r="I36" s="61">
        <f t="shared" si="4"/>
        <v>0.275175</v>
      </c>
      <c r="K36" s="65">
        <f t="shared" si="3"/>
        <v>0.12845000000000001</v>
      </c>
      <c r="M36" s="67">
        <v>5756715</v>
      </c>
      <c r="N36" s="67">
        <f t="shared" si="0"/>
        <v>3924692.598637349</v>
      </c>
      <c r="O36" s="67">
        <f t="shared" si="1"/>
        <v>1832022.401362651</v>
      </c>
      <c r="Q36" s="68"/>
    </row>
    <row r="37" spans="1:17" x14ac:dyDescent="0.25">
      <c r="A37" s="57" t="s">
        <v>112</v>
      </c>
      <c r="B37" s="50" t="s">
        <v>97</v>
      </c>
      <c r="C37" s="58">
        <v>0.35</v>
      </c>
      <c r="D37" s="59">
        <v>8.2500000000000004E-2</v>
      </c>
      <c r="E37" s="60">
        <f t="shared" si="2"/>
        <v>0.40362500000000001</v>
      </c>
      <c r="G37" s="58">
        <v>0.21</v>
      </c>
      <c r="H37" s="59">
        <v>8.2500000000000004E-2</v>
      </c>
      <c r="I37" s="61">
        <f t="shared" si="4"/>
        <v>0.275175</v>
      </c>
      <c r="K37" s="58">
        <f t="shared" si="3"/>
        <v>0.12845000000000001</v>
      </c>
      <c r="M37" s="52">
        <v>0</v>
      </c>
      <c r="N37" s="52">
        <f t="shared" si="0"/>
        <v>0</v>
      </c>
      <c r="O37" s="52">
        <f t="shared" si="1"/>
        <v>0</v>
      </c>
      <c r="Q37" s="62"/>
    </row>
    <row r="38" spans="1:17" x14ac:dyDescent="0.25">
      <c r="A38" s="57" t="s">
        <v>113</v>
      </c>
      <c r="C38" s="58">
        <v>0.35</v>
      </c>
      <c r="D38" s="59"/>
      <c r="E38" s="60">
        <f t="shared" si="2"/>
        <v>0.35</v>
      </c>
      <c r="G38" s="58">
        <v>0.21</v>
      </c>
      <c r="H38" s="59"/>
      <c r="I38" s="61">
        <f t="shared" si="4"/>
        <v>0.21</v>
      </c>
      <c r="K38" s="58">
        <f t="shared" si="3"/>
        <v>0.13999999999999999</v>
      </c>
      <c r="M38" s="52">
        <v>107.76</v>
      </c>
      <c r="N38" s="52">
        <f t="shared" si="0"/>
        <v>64.656000000000006</v>
      </c>
      <c r="O38" s="52">
        <f t="shared" si="1"/>
        <v>43.103999999999999</v>
      </c>
      <c r="Q38" s="62"/>
    </row>
    <row r="39" spans="1:17" x14ac:dyDescent="0.25">
      <c r="G39" s="58"/>
      <c r="K39" s="53"/>
      <c r="M39" s="76"/>
      <c r="N39" s="76"/>
      <c r="O39" s="76"/>
      <c r="Q39" s="62"/>
    </row>
    <row r="40" spans="1:17" x14ac:dyDescent="0.25">
      <c r="K40" s="58">
        <f>SUM(K8:K39)</f>
        <v>4.0676766190361988</v>
      </c>
      <c r="M40" s="52">
        <f t="shared" ref="M40:N40" si="5">SUBTOTAL(9,M8:M39)</f>
        <v>225609222.51999998</v>
      </c>
      <c r="N40" s="52">
        <f t="shared" si="5"/>
        <v>151152306.47301739</v>
      </c>
      <c r="O40" s="52">
        <f>SUBTOTAL(9,O8:O39)</f>
        <v>74456916.046982586</v>
      </c>
    </row>
    <row r="42" spans="1:17" x14ac:dyDescent="0.25">
      <c r="K42" s="52"/>
    </row>
    <row r="44" spans="1:17" x14ac:dyDescent="0.25">
      <c r="K44" s="63"/>
    </row>
    <row r="45" spans="1:17" x14ac:dyDescent="0.25">
      <c r="A45" s="73" t="s">
        <v>114</v>
      </c>
      <c r="B45" s="73"/>
      <c r="C45" s="73"/>
      <c r="D45" s="73"/>
      <c r="E45" s="73"/>
      <c r="F45" s="73"/>
      <c r="G45" s="73"/>
    </row>
  </sheetData>
  <autoFilter ref="A6:O42"/>
  <mergeCells count="6">
    <mergeCell ref="C4:E4"/>
    <mergeCell ref="G4:I4"/>
    <mergeCell ref="M4:O4"/>
    <mergeCell ref="C5:E5"/>
    <mergeCell ref="G5:I5"/>
    <mergeCell ref="M5:O5"/>
  </mergeCells>
  <pageMargins left="0.7" right="0.7" top="0.75" bottom="0.75" header="0.3" footer="0.3"/>
  <pageSetup scale="46" orientation="landscape" horizontalDpi="4294967295" verticalDpi="4294967295" r:id="rId1"/>
  <headerFooter>
    <oddFooter>&amp;L&amp;Z&amp;F&amp;R&amp;A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25RE-Repairs</vt:lpstr>
      <vt:lpstr>25DP.03 Cost of Removal</vt:lpstr>
      <vt:lpstr>1.0 Summary by Entity</vt:lpstr>
      <vt:lpstr>Summary</vt:lpstr>
      <vt:lpstr>_TM7915142317</vt:lpstr>
      <vt:lpstr>_TM82615082552</vt:lpstr>
      <vt:lpstr>'1.0 Summary by Entity'!Print_Area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D Nolt</dc:creator>
  <cp:lastModifiedBy>Windows User</cp:lastModifiedBy>
  <cp:lastPrinted>2018-09-26T14:03:06Z</cp:lastPrinted>
  <dcterms:created xsi:type="dcterms:W3CDTF">2015-08-26T11:59:22Z</dcterms:created>
  <dcterms:modified xsi:type="dcterms:W3CDTF">2018-09-26T14:04:12Z</dcterms:modified>
</cp:coreProperties>
</file>