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G-1 Rate Base\G1-24\"/>
    </mc:Choice>
  </mc:AlternateContent>
  <bookViews>
    <workbookView xWindow="0" yWindow="0" windowWidth="19200" windowHeight="5250" tabRatio="800" firstSheet="2" activeTab="9"/>
  </bookViews>
  <sheets>
    <sheet name="2022 plant additions" sheetId="1" r:id="rId1"/>
    <sheet name="2022 plant retirements" sheetId="3" r:id="rId2"/>
    <sheet name="2022 Cost of Removal" sheetId="11" r:id="rId3"/>
    <sheet name="2023 plant additions" sheetId="2" r:id="rId4"/>
    <sheet name="2023 plant retirements" sheetId="5" r:id="rId5"/>
    <sheet name="2023 Cost of Removal" sheetId="12" r:id="rId6"/>
    <sheet name="2022 CWIP" sheetId="13" r:id="rId7"/>
    <sheet name="2023 CWIP" sheetId="4" r:id="rId8"/>
    <sheet name="2022 BS with CWIP" sheetId="9" r:id="rId9"/>
    <sheet name="2023 BS with CWIP" sheetId="10" r:id="rId10"/>
  </sheets>
  <externalReferences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5" i="5" l="1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C55" i="5"/>
  <c r="AB55" i="5"/>
  <c r="AA55" i="5"/>
  <c r="Z55" i="5"/>
  <c r="Y55" i="5"/>
  <c r="X55" i="5"/>
  <c r="W55" i="5"/>
  <c r="V55" i="5"/>
  <c r="U55" i="5"/>
  <c r="T55" i="5"/>
  <c r="S55" i="5"/>
  <c r="R55" i="5"/>
  <c r="AC52" i="5"/>
  <c r="AB52" i="5"/>
  <c r="AA52" i="5"/>
  <c r="Z52" i="5"/>
  <c r="Y52" i="5"/>
  <c r="X52" i="5"/>
  <c r="W52" i="5"/>
  <c r="V52" i="5"/>
  <c r="U52" i="5"/>
  <c r="T52" i="5"/>
  <c r="S52" i="5"/>
  <c r="R52" i="5"/>
  <c r="AC51" i="5"/>
  <c r="AB51" i="5"/>
  <c r="AA51" i="5"/>
  <c r="Z51" i="5"/>
  <c r="Y51" i="5"/>
  <c r="X51" i="5"/>
  <c r="W51" i="5"/>
  <c r="V51" i="5"/>
  <c r="U51" i="5"/>
  <c r="T51" i="5"/>
  <c r="S51" i="5"/>
  <c r="R51" i="5"/>
  <c r="AC50" i="5"/>
  <c r="AB50" i="5"/>
  <c r="AA50" i="5"/>
  <c r="Z50" i="5"/>
  <c r="Y50" i="5"/>
  <c r="X50" i="5"/>
  <c r="W50" i="5"/>
  <c r="V50" i="5"/>
  <c r="U50" i="5"/>
  <c r="T50" i="5"/>
  <c r="S50" i="5"/>
  <c r="R50" i="5"/>
  <c r="AC49" i="5"/>
  <c r="AB49" i="5"/>
  <c r="AA49" i="5"/>
  <c r="Z49" i="5"/>
  <c r="Y49" i="5"/>
  <c r="X49" i="5"/>
  <c r="W49" i="5"/>
  <c r="V49" i="5"/>
  <c r="U49" i="5"/>
  <c r="T49" i="5"/>
  <c r="S49" i="5"/>
  <c r="R49" i="5"/>
  <c r="AC48" i="5"/>
  <c r="AB48" i="5"/>
  <c r="AA48" i="5"/>
  <c r="Z48" i="5"/>
  <c r="Y48" i="5"/>
  <c r="X48" i="5"/>
  <c r="W48" i="5"/>
  <c r="V48" i="5"/>
  <c r="U48" i="5"/>
  <c r="T48" i="5"/>
  <c r="S48" i="5"/>
  <c r="R48" i="5"/>
  <c r="AC47" i="5"/>
  <c r="AB47" i="5"/>
  <c r="AA47" i="5"/>
  <c r="Z47" i="5"/>
  <c r="Y47" i="5"/>
  <c r="X47" i="5"/>
  <c r="W47" i="5"/>
  <c r="V47" i="5"/>
  <c r="U47" i="5"/>
  <c r="T47" i="5"/>
  <c r="S47" i="5"/>
  <c r="R47" i="5"/>
  <c r="AC46" i="5"/>
  <c r="AB46" i="5"/>
  <c r="AA46" i="5"/>
  <c r="Z46" i="5"/>
  <c r="Y46" i="5"/>
  <c r="X46" i="5"/>
  <c r="W46" i="5"/>
  <c r="V46" i="5"/>
  <c r="U46" i="5"/>
  <c r="T46" i="5"/>
  <c r="S46" i="5"/>
  <c r="R46" i="5"/>
  <c r="AC45" i="5"/>
  <c r="AB45" i="5"/>
  <c r="AA45" i="5"/>
  <c r="Z45" i="5"/>
  <c r="Y45" i="5"/>
  <c r="X45" i="5"/>
  <c r="W45" i="5"/>
  <c r="V45" i="5"/>
  <c r="U45" i="5"/>
  <c r="T45" i="5"/>
  <c r="S45" i="5"/>
  <c r="R45" i="5"/>
  <c r="AC44" i="5"/>
  <c r="AB44" i="5"/>
  <c r="AA44" i="5"/>
  <c r="Z44" i="5"/>
  <c r="Y44" i="5"/>
  <c r="X44" i="5"/>
  <c r="W44" i="5"/>
  <c r="V44" i="5"/>
  <c r="U44" i="5"/>
  <c r="T44" i="5"/>
  <c r="S44" i="5"/>
  <c r="R44" i="5"/>
  <c r="AC43" i="5"/>
  <c r="AB43" i="5"/>
  <c r="AA43" i="5"/>
  <c r="Z43" i="5"/>
  <c r="Y43" i="5"/>
  <c r="X43" i="5"/>
  <c r="W43" i="5"/>
  <c r="V43" i="5"/>
  <c r="U43" i="5"/>
  <c r="T43" i="5"/>
  <c r="S43" i="5"/>
  <c r="R43" i="5"/>
  <c r="AC42" i="5"/>
  <c r="AB42" i="5"/>
  <c r="AA42" i="5"/>
  <c r="Z42" i="5"/>
  <c r="Y42" i="5"/>
  <c r="X42" i="5"/>
  <c r="W42" i="5"/>
  <c r="V42" i="5"/>
  <c r="U42" i="5"/>
  <c r="T42" i="5"/>
  <c r="S42" i="5"/>
  <c r="R42" i="5"/>
  <c r="AC41" i="5"/>
  <c r="AB41" i="5"/>
  <c r="AA41" i="5"/>
  <c r="Z41" i="5"/>
  <c r="Y41" i="5"/>
  <c r="X41" i="5"/>
  <c r="W41" i="5"/>
  <c r="V41" i="5"/>
  <c r="U41" i="5"/>
  <c r="T41" i="5"/>
  <c r="S41" i="5"/>
  <c r="R41" i="5"/>
  <c r="AC40" i="5"/>
  <c r="AB40" i="5"/>
  <c r="AA40" i="5"/>
  <c r="Z40" i="5"/>
  <c r="Y40" i="5"/>
  <c r="X40" i="5"/>
  <c r="W40" i="5"/>
  <c r="V40" i="5"/>
  <c r="U40" i="5"/>
  <c r="T40" i="5"/>
  <c r="S40" i="5"/>
  <c r="R40" i="5"/>
  <c r="AC39" i="5"/>
  <c r="AB39" i="5"/>
  <c r="AA39" i="5"/>
  <c r="Z39" i="5"/>
  <c r="Y39" i="5"/>
  <c r="X39" i="5"/>
  <c r="W39" i="5"/>
  <c r="V39" i="5"/>
  <c r="U39" i="5"/>
  <c r="T39" i="5"/>
  <c r="S39" i="5"/>
  <c r="R39" i="5"/>
  <c r="AC38" i="5"/>
  <c r="AB38" i="5"/>
  <c r="AA38" i="5"/>
  <c r="Z38" i="5"/>
  <c r="Y38" i="5"/>
  <c r="X38" i="5"/>
  <c r="W38" i="5"/>
  <c r="V38" i="5"/>
  <c r="U38" i="5"/>
  <c r="T38" i="5"/>
  <c r="S38" i="5"/>
  <c r="R38" i="5"/>
  <c r="AC37" i="5"/>
  <c r="AB37" i="5"/>
  <c r="AA37" i="5"/>
  <c r="Z37" i="5"/>
  <c r="Y37" i="5"/>
  <c r="X37" i="5"/>
  <c r="W37" i="5"/>
  <c r="V37" i="5"/>
  <c r="U37" i="5"/>
  <c r="T37" i="5"/>
  <c r="S37" i="5"/>
  <c r="R37" i="5"/>
  <c r="AC36" i="5"/>
  <c r="AB36" i="5"/>
  <c r="AA36" i="5"/>
  <c r="Z36" i="5"/>
  <c r="Y36" i="5"/>
  <c r="X36" i="5"/>
  <c r="W36" i="5"/>
  <c r="V36" i="5"/>
  <c r="U36" i="5"/>
  <c r="T36" i="5"/>
  <c r="S36" i="5"/>
  <c r="R36" i="5"/>
  <c r="AC35" i="5"/>
  <c r="AB35" i="5"/>
  <c r="AA35" i="5"/>
  <c r="Z35" i="5"/>
  <c r="Y35" i="5"/>
  <c r="X35" i="5"/>
  <c r="W35" i="5"/>
  <c r="V35" i="5"/>
  <c r="U35" i="5"/>
  <c r="T35" i="5"/>
  <c r="S35" i="5"/>
  <c r="R35" i="5"/>
  <c r="AC34" i="5"/>
  <c r="AB34" i="5"/>
  <c r="AA34" i="5"/>
  <c r="Z34" i="5"/>
  <c r="Y34" i="5"/>
  <c r="X34" i="5"/>
  <c r="W34" i="5"/>
  <c r="V34" i="5"/>
  <c r="U34" i="5"/>
  <c r="T34" i="5"/>
  <c r="S34" i="5"/>
  <c r="R34" i="5"/>
  <c r="AC33" i="5"/>
  <c r="AB33" i="5"/>
  <c r="AA33" i="5"/>
  <c r="Z33" i="5"/>
  <c r="Y33" i="5"/>
  <c r="X33" i="5"/>
  <c r="W33" i="5"/>
  <c r="V33" i="5"/>
  <c r="U33" i="5"/>
  <c r="T33" i="5"/>
  <c r="S33" i="5"/>
  <c r="R33" i="5"/>
  <c r="AC32" i="5"/>
  <c r="AB32" i="5"/>
  <c r="AA32" i="5"/>
  <c r="Z32" i="5"/>
  <c r="Y32" i="5"/>
  <c r="X32" i="5"/>
  <c r="W32" i="5"/>
  <c r="V32" i="5"/>
  <c r="U32" i="5"/>
  <c r="T32" i="5"/>
  <c r="S32" i="5"/>
  <c r="R32" i="5"/>
  <c r="AC31" i="5"/>
  <c r="AB31" i="5"/>
  <c r="AA31" i="5"/>
  <c r="Z31" i="5"/>
  <c r="Y31" i="5"/>
  <c r="X31" i="5"/>
  <c r="W31" i="5"/>
  <c r="V31" i="5"/>
  <c r="U31" i="5"/>
  <c r="T31" i="5"/>
  <c r="S31" i="5"/>
  <c r="R31" i="5"/>
  <c r="AC30" i="5"/>
  <c r="AB30" i="5"/>
  <c r="AA30" i="5"/>
  <c r="Z30" i="5"/>
  <c r="Y30" i="5"/>
  <c r="X30" i="5"/>
  <c r="W30" i="5"/>
  <c r="V30" i="5"/>
  <c r="U30" i="5"/>
  <c r="T30" i="5"/>
  <c r="S30" i="5"/>
  <c r="R30" i="5"/>
  <c r="AC29" i="5"/>
  <c r="AB29" i="5"/>
  <c r="AA29" i="5"/>
  <c r="Z29" i="5"/>
  <c r="Y29" i="5"/>
  <c r="X29" i="5"/>
  <c r="W29" i="5"/>
  <c r="V29" i="5"/>
  <c r="U29" i="5"/>
  <c r="T29" i="5"/>
  <c r="S29" i="5"/>
  <c r="R29" i="5"/>
  <c r="AC28" i="5"/>
  <c r="AB28" i="5"/>
  <c r="AA28" i="5"/>
  <c r="Z28" i="5"/>
  <c r="Y28" i="5"/>
  <c r="X28" i="5"/>
  <c r="W28" i="5"/>
  <c r="V28" i="5"/>
  <c r="U28" i="5"/>
  <c r="T28" i="5"/>
  <c r="S28" i="5"/>
  <c r="R28" i="5"/>
  <c r="AC27" i="5"/>
  <c r="AB27" i="5"/>
  <c r="AA27" i="5"/>
  <c r="Z27" i="5"/>
  <c r="Y27" i="5"/>
  <c r="X27" i="5"/>
  <c r="W27" i="5"/>
  <c r="V27" i="5"/>
  <c r="U27" i="5"/>
  <c r="T27" i="5"/>
  <c r="S27" i="5"/>
  <c r="R27" i="5"/>
  <c r="AC26" i="5"/>
  <c r="AB26" i="5"/>
  <c r="AA26" i="5"/>
  <c r="Z26" i="5"/>
  <c r="Y26" i="5"/>
  <c r="X26" i="5"/>
  <c r="W26" i="5"/>
  <c r="V26" i="5"/>
  <c r="U26" i="5"/>
  <c r="T26" i="5"/>
  <c r="S26" i="5"/>
  <c r="R26" i="5"/>
  <c r="AC25" i="5"/>
  <c r="AB25" i="5"/>
  <c r="AA25" i="5"/>
  <c r="Z25" i="5"/>
  <c r="Y25" i="5"/>
  <c r="X25" i="5"/>
  <c r="W25" i="5"/>
  <c r="V25" i="5"/>
  <c r="U25" i="5"/>
  <c r="T25" i="5"/>
  <c r="S25" i="5"/>
  <c r="R25" i="5"/>
  <c r="AC24" i="5"/>
  <c r="AB24" i="5"/>
  <c r="AA24" i="5"/>
  <c r="Z24" i="5"/>
  <c r="Y24" i="5"/>
  <c r="X24" i="5"/>
  <c r="W24" i="5"/>
  <c r="V24" i="5"/>
  <c r="U24" i="5"/>
  <c r="T24" i="5"/>
  <c r="S24" i="5"/>
  <c r="R24" i="5"/>
  <c r="AC23" i="5"/>
  <c r="AB23" i="5"/>
  <c r="AA23" i="5"/>
  <c r="Z23" i="5"/>
  <c r="Y23" i="5"/>
  <c r="X23" i="5"/>
  <c r="W23" i="5"/>
  <c r="V23" i="5"/>
  <c r="U23" i="5"/>
  <c r="T23" i="5"/>
  <c r="S23" i="5"/>
  <c r="R23" i="5"/>
  <c r="AC22" i="5"/>
  <c r="AB22" i="5"/>
  <c r="AA22" i="5"/>
  <c r="Z22" i="5"/>
  <c r="Y22" i="5"/>
  <c r="X22" i="5"/>
  <c r="W22" i="5"/>
  <c r="V22" i="5"/>
  <c r="U22" i="5"/>
  <c r="T22" i="5"/>
  <c r="S22" i="5"/>
  <c r="R22" i="5"/>
  <c r="AC21" i="5"/>
  <c r="AB21" i="5"/>
  <c r="AA21" i="5"/>
  <c r="Z21" i="5"/>
  <c r="Y21" i="5"/>
  <c r="X21" i="5"/>
  <c r="W21" i="5"/>
  <c r="V21" i="5"/>
  <c r="U21" i="5"/>
  <c r="T21" i="5"/>
  <c r="S21" i="5"/>
  <c r="R21" i="5"/>
  <c r="AC20" i="5"/>
  <c r="AB20" i="5"/>
  <c r="AA20" i="5"/>
  <c r="Z20" i="5"/>
  <c r="Y20" i="5"/>
  <c r="X20" i="5"/>
  <c r="W20" i="5"/>
  <c r="V20" i="5"/>
  <c r="U20" i="5"/>
  <c r="T20" i="5"/>
  <c r="S20" i="5"/>
  <c r="R20" i="5"/>
  <c r="AC19" i="5"/>
  <c r="AB19" i="5"/>
  <c r="AA19" i="5"/>
  <c r="Z19" i="5"/>
  <c r="Y19" i="5"/>
  <c r="X19" i="5"/>
  <c r="W19" i="5"/>
  <c r="V19" i="5"/>
  <c r="U19" i="5"/>
  <c r="T19" i="5"/>
  <c r="S19" i="5"/>
  <c r="R19" i="5"/>
  <c r="AC18" i="5"/>
  <c r="AB18" i="5"/>
  <c r="AA18" i="5"/>
  <c r="Z18" i="5"/>
  <c r="Y18" i="5"/>
  <c r="X18" i="5"/>
  <c r="W18" i="5"/>
  <c r="V18" i="5"/>
  <c r="U18" i="5"/>
  <c r="T18" i="5"/>
  <c r="S18" i="5"/>
  <c r="R18" i="5"/>
  <c r="AC17" i="5"/>
  <c r="AB17" i="5"/>
  <c r="AA17" i="5"/>
  <c r="Z17" i="5"/>
  <c r="Y17" i="5"/>
  <c r="X17" i="5"/>
  <c r="W17" i="5"/>
  <c r="V17" i="5"/>
  <c r="U17" i="5"/>
  <c r="T17" i="5"/>
  <c r="S17" i="5"/>
  <c r="R17" i="5"/>
  <c r="AC16" i="5"/>
  <c r="AB16" i="5"/>
  <c r="AA16" i="5"/>
  <c r="Z16" i="5"/>
  <c r="Y16" i="5"/>
  <c r="X16" i="5"/>
  <c r="W16" i="5"/>
  <c r="V16" i="5"/>
  <c r="U16" i="5"/>
  <c r="T16" i="5"/>
  <c r="S16" i="5"/>
  <c r="R16" i="5"/>
  <c r="AC15" i="5"/>
  <c r="AB15" i="5"/>
  <c r="AA15" i="5"/>
  <c r="Z15" i="5"/>
  <c r="Y15" i="5"/>
  <c r="X15" i="5"/>
  <c r="W15" i="5"/>
  <c r="V15" i="5"/>
  <c r="U15" i="5"/>
  <c r="T15" i="5"/>
  <c r="S15" i="5"/>
  <c r="R15" i="5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C52" i="3"/>
  <c r="AB52" i="3"/>
  <c r="AA52" i="3"/>
  <c r="Z52" i="3"/>
  <c r="Y52" i="3"/>
  <c r="X52" i="3"/>
  <c r="W52" i="3"/>
  <c r="V52" i="3"/>
  <c r="U52" i="3"/>
  <c r="T52" i="3"/>
  <c r="S52" i="3"/>
  <c r="R52" i="3"/>
  <c r="AC51" i="3"/>
  <c r="AB51" i="3"/>
  <c r="AA51" i="3"/>
  <c r="Z51" i="3"/>
  <c r="Y51" i="3"/>
  <c r="X51" i="3"/>
  <c r="W51" i="3"/>
  <c r="V51" i="3"/>
  <c r="U51" i="3"/>
  <c r="T51" i="3"/>
  <c r="S51" i="3"/>
  <c r="R51" i="3"/>
  <c r="AC50" i="3"/>
  <c r="AB50" i="3"/>
  <c r="AA50" i="3"/>
  <c r="Z50" i="3"/>
  <c r="Y50" i="3"/>
  <c r="X50" i="3"/>
  <c r="W50" i="3"/>
  <c r="V50" i="3"/>
  <c r="U50" i="3"/>
  <c r="T50" i="3"/>
  <c r="S50" i="3"/>
  <c r="R50" i="3"/>
  <c r="AC49" i="3"/>
  <c r="AB49" i="3"/>
  <c r="AA49" i="3"/>
  <c r="Z49" i="3"/>
  <c r="Y49" i="3"/>
  <c r="X49" i="3"/>
  <c r="W49" i="3"/>
  <c r="V49" i="3"/>
  <c r="U49" i="3"/>
  <c r="T49" i="3"/>
  <c r="S49" i="3"/>
  <c r="R49" i="3"/>
  <c r="AC48" i="3"/>
  <c r="AB48" i="3"/>
  <c r="AA48" i="3"/>
  <c r="Z48" i="3"/>
  <c r="Y48" i="3"/>
  <c r="X48" i="3"/>
  <c r="W48" i="3"/>
  <c r="V48" i="3"/>
  <c r="U48" i="3"/>
  <c r="T48" i="3"/>
  <c r="S48" i="3"/>
  <c r="R48" i="3"/>
  <c r="AC47" i="3"/>
  <c r="AB47" i="3"/>
  <c r="AA47" i="3"/>
  <c r="Z47" i="3"/>
  <c r="Y47" i="3"/>
  <c r="X47" i="3"/>
  <c r="W47" i="3"/>
  <c r="V47" i="3"/>
  <c r="U47" i="3"/>
  <c r="T47" i="3"/>
  <c r="S47" i="3"/>
  <c r="R47" i="3"/>
  <c r="AC46" i="3"/>
  <c r="AB46" i="3"/>
  <c r="AA46" i="3"/>
  <c r="Z46" i="3"/>
  <c r="Y46" i="3"/>
  <c r="X46" i="3"/>
  <c r="W46" i="3"/>
  <c r="V46" i="3"/>
  <c r="U46" i="3"/>
  <c r="T46" i="3"/>
  <c r="S46" i="3"/>
  <c r="R46" i="3"/>
  <c r="AC45" i="3"/>
  <c r="AB45" i="3"/>
  <c r="AA45" i="3"/>
  <c r="Z45" i="3"/>
  <c r="Y45" i="3"/>
  <c r="X45" i="3"/>
  <c r="W45" i="3"/>
  <c r="V45" i="3"/>
  <c r="U45" i="3"/>
  <c r="T45" i="3"/>
  <c r="S45" i="3"/>
  <c r="R45" i="3"/>
  <c r="AC44" i="3"/>
  <c r="AB44" i="3"/>
  <c r="AA44" i="3"/>
  <c r="Z44" i="3"/>
  <c r="Y44" i="3"/>
  <c r="X44" i="3"/>
  <c r="W44" i="3"/>
  <c r="V44" i="3"/>
  <c r="U44" i="3"/>
  <c r="T44" i="3"/>
  <c r="S44" i="3"/>
  <c r="R44" i="3"/>
  <c r="AC43" i="3"/>
  <c r="AB43" i="3"/>
  <c r="AA43" i="3"/>
  <c r="Z43" i="3"/>
  <c r="Y43" i="3"/>
  <c r="X43" i="3"/>
  <c r="W43" i="3"/>
  <c r="V43" i="3"/>
  <c r="U43" i="3"/>
  <c r="T43" i="3"/>
  <c r="S43" i="3"/>
  <c r="R43" i="3"/>
  <c r="AC42" i="3"/>
  <c r="AB42" i="3"/>
  <c r="AA42" i="3"/>
  <c r="Z42" i="3"/>
  <c r="Y42" i="3"/>
  <c r="X42" i="3"/>
  <c r="W42" i="3"/>
  <c r="V42" i="3"/>
  <c r="U42" i="3"/>
  <c r="T42" i="3"/>
  <c r="S42" i="3"/>
  <c r="R42" i="3"/>
  <c r="AC41" i="3"/>
  <c r="AB41" i="3"/>
  <c r="AA41" i="3"/>
  <c r="Z41" i="3"/>
  <c r="Y41" i="3"/>
  <c r="X41" i="3"/>
  <c r="W41" i="3"/>
  <c r="V41" i="3"/>
  <c r="U41" i="3"/>
  <c r="T41" i="3"/>
  <c r="S41" i="3"/>
  <c r="R41" i="3"/>
  <c r="AC40" i="3"/>
  <c r="AB40" i="3"/>
  <c r="AA40" i="3"/>
  <c r="Z40" i="3"/>
  <c r="Y40" i="3"/>
  <c r="X40" i="3"/>
  <c r="W40" i="3"/>
  <c r="V40" i="3"/>
  <c r="U40" i="3"/>
  <c r="T40" i="3"/>
  <c r="S40" i="3"/>
  <c r="R40" i="3"/>
  <c r="AC39" i="3"/>
  <c r="AB39" i="3"/>
  <c r="AA39" i="3"/>
  <c r="Z39" i="3"/>
  <c r="Y39" i="3"/>
  <c r="X39" i="3"/>
  <c r="W39" i="3"/>
  <c r="V39" i="3"/>
  <c r="U39" i="3"/>
  <c r="T39" i="3"/>
  <c r="S39" i="3"/>
  <c r="R39" i="3"/>
  <c r="AC38" i="3"/>
  <c r="AB38" i="3"/>
  <c r="AA38" i="3"/>
  <c r="Z38" i="3"/>
  <c r="Y38" i="3"/>
  <c r="X38" i="3"/>
  <c r="W38" i="3"/>
  <c r="V38" i="3"/>
  <c r="U38" i="3"/>
  <c r="T38" i="3"/>
  <c r="S38" i="3"/>
  <c r="R38" i="3"/>
  <c r="AC37" i="3"/>
  <c r="AB37" i="3"/>
  <c r="AA37" i="3"/>
  <c r="Z37" i="3"/>
  <c r="Y37" i="3"/>
  <c r="X37" i="3"/>
  <c r="W37" i="3"/>
  <c r="V37" i="3"/>
  <c r="U37" i="3"/>
  <c r="T37" i="3"/>
  <c r="S37" i="3"/>
  <c r="R37" i="3"/>
  <c r="AC36" i="3"/>
  <c r="AB36" i="3"/>
  <c r="AA36" i="3"/>
  <c r="Z36" i="3"/>
  <c r="Y36" i="3"/>
  <c r="X36" i="3"/>
  <c r="W36" i="3"/>
  <c r="V36" i="3"/>
  <c r="U36" i="3"/>
  <c r="T36" i="3"/>
  <c r="S36" i="3"/>
  <c r="R36" i="3"/>
  <c r="AC35" i="3"/>
  <c r="AB35" i="3"/>
  <c r="AA35" i="3"/>
  <c r="Z35" i="3"/>
  <c r="Y35" i="3"/>
  <c r="X35" i="3"/>
  <c r="W35" i="3"/>
  <c r="V35" i="3"/>
  <c r="U35" i="3"/>
  <c r="T35" i="3"/>
  <c r="S35" i="3"/>
  <c r="R35" i="3"/>
  <c r="AC34" i="3"/>
  <c r="AB34" i="3"/>
  <c r="AA34" i="3"/>
  <c r="Z34" i="3"/>
  <c r="Y34" i="3"/>
  <c r="X34" i="3"/>
  <c r="W34" i="3"/>
  <c r="V34" i="3"/>
  <c r="U34" i="3"/>
  <c r="T34" i="3"/>
  <c r="S34" i="3"/>
  <c r="R34" i="3"/>
  <c r="AC33" i="3"/>
  <c r="AB33" i="3"/>
  <c r="AA33" i="3"/>
  <c r="Z33" i="3"/>
  <c r="Y33" i="3"/>
  <c r="X33" i="3"/>
  <c r="W33" i="3"/>
  <c r="V33" i="3"/>
  <c r="U33" i="3"/>
  <c r="T33" i="3"/>
  <c r="S33" i="3"/>
  <c r="R33" i="3"/>
  <c r="AC32" i="3"/>
  <c r="AB32" i="3"/>
  <c r="AA32" i="3"/>
  <c r="Z32" i="3"/>
  <c r="Y32" i="3"/>
  <c r="X32" i="3"/>
  <c r="W32" i="3"/>
  <c r="V32" i="3"/>
  <c r="U32" i="3"/>
  <c r="T32" i="3"/>
  <c r="S32" i="3"/>
  <c r="R32" i="3"/>
  <c r="AC31" i="3"/>
  <c r="AB31" i="3"/>
  <c r="AA31" i="3"/>
  <c r="Z31" i="3"/>
  <c r="Y31" i="3"/>
  <c r="X31" i="3"/>
  <c r="W31" i="3"/>
  <c r="V31" i="3"/>
  <c r="U31" i="3"/>
  <c r="T31" i="3"/>
  <c r="S31" i="3"/>
  <c r="R31" i="3"/>
  <c r="AC30" i="3"/>
  <c r="AB30" i="3"/>
  <c r="AA30" i="3"/>
  <c r="Z30" i="3"/>
  <c r="Y30" i="3"/>
  <c r="X30" i="3"/>
  <c r="W30" i="3"/>
  <c r="V30" i="3"/>
  <c r="U30" i="3"/>
  <c r="T30" i="3"/>
  <c r="S30" i="3"/>
  <c r="R30" i="3"/>
  <c r="AC29" i="3"/>
  <c r="AB29" i="3"/>
  <c r="AA29" i="3"/>
  <c r="Z29" i="3"/>
  <c r="Y29" i="3"/>
  <c r="X29" i="3"/>
  <c r="W29" i="3"/>
  <c r="V29" i="3"/>
  <c r="U29" i="3"/>
  <c r="T29" i="3"/>
  <c r="S29" i="3"/>
  <c r="R29" i="3"/>
  <c r="AC28" i="3"/>
  <c r="AB28" i="3"/>
  <c r="AA28" i="3"/>
  <c r="Z28" i="3"/>
  <c r="Y28" i="3"/>
  <c r="X28" i="3"/>
  <c r="W28" i="3"/>
  <c r="V28" i="3"/>
  <c r="U28" i="3"/>
  <c r="T28" i="3"/>
  <c r="S28" i="3"/>
  <c r="R28" i="3"/>
  <c r="AC27" i="3"/>
  <c r="AB27" i="3"/>
  <c r="AA27" i="3"/>
  <c r="Z27" i="3"/>
  <c r="Y27" i="3"/>
  <c r="X27" i="3"/>
  <c r="W27" i="3"/>
  <c r="V27" i="3"/>
  <c r="U27" i="3"/>
  <c r="T27" i="3"/>
  <c r="S27" i="3"/>
  <c r="R27" i="3"/>
  <c r="AC26" i="3"/>
  <c r="AB26" i="3"/>
  <c r="AA26" i="3"/>
  <c r="Z26" i="3"/>
  <c r="Y26" i="3"/>
  <c r="X26" i="3"/>
  <c r="W26" i="3"/>
  <c r="V26" i="3"/>
  <c r="U26" i="3"/>
  <c r="T26" i="3"/>
  <c r="S26" i="3"/>
  <c r="R26" i="3"/>
  <c r="AC25" i="3"/>
  <c r="AB25" i="3"/>
  <c r="AA25" i="3"/>
  <c r="Z25" i="3"/>
  <c r="Y25" i="3"/>
  <c r="X25" i="3"/>
  <c r="W25" i="3"/>
  <c r="V25" i="3"/>
  <c r="U25" i="3"/>
  <c r="T25" i="3"/>
  <c r="S25" i="3"/>
  <c r="R25" i="3"/>
  <c r="AC24" i="3"/>
  <c r="AB24" i="3"/>
  <c r="AA24" i="3"/>
  <c r="Z24" i="3"/>
  <c r="Y24" i="3"/>
  <c r="X24" i="3"/>
  <c r="W24" i="3"/>
  <c r="V24" i="3"/>
  <c r="U24" i="3"/>
  <c r="T24" i="3"/>
  <c r="S24" i="3"/>
  <c r="R24" i="3"/>
  <c r="AC23" i="3"/>
  <c r="AB23" i="3"/>
  <c r="AA23" i="3"/>
  <c r="Z23" i="3"/>
  <c r="Y23" i="3"/>
  <c r="X23" i="3"/>
  <c r="W23" i="3"/>
  <c r="V23" i="3"/>
  <c r="U23" i="3"/>
  <c r="T23" i="3"/>
  <c r="S23" i="3"/>
  <c r="R23" i="3"/>
  <c r="AC22" i="3"/>
  <c r="AB22" i="3"/>
  <c r="AA22" i="3"/>
  <c r="Z22" i="3"/>
  <c r="Y22" i="3"/>
  <c r="X22" i="3"/>
  <c r="W22" i="3"/>
  <c r="V22" i="3"/>
  <c r="U22" i="3"/>
  <c r="T22" i="3"/>
  <c r="S22" i="3"/>
  <c r="R22" i="3"/>
  <c r="AC21" i="3"/>
  <c r="AB21" i="3"/>
  <c r="AA21" i="3"/>
  <c r="Z21" i="3"/>
  <c r="Y21" i="3"/>
  <c r="X21" i="3"/>
  <c r="W21" i="3"/>
  <c r="V21" i="3"/>
  <c r="U21" i="3"/>
  <c r="T21" i="3"/>
  <c r="S21" i="3"/>
  <c r="R21" i="3"/>
  <c r="AC20" i="3"/>
  <c r="AB20" i="3"/>
  <c r="AA20" i="3"/>
  <c r="Z20" i="3"/>
  <c r="Y20" i="3"/>
  <c r="X20" i="3"/>
  <c r="W20" i="3"/>
  <c r="V20" i="3"/>
  <c r="U20" i="3"/>
  <c r="T20" i="3"/>
  <c r="S20" i="3"/>
  <c r="R20" i="3"/>
  <c r="AC19" i="3"/>
  <c r="AB19" i="3"/>
  <c r="AA19" i="3"/>
  <c r="Z19" i="3"/>
  <c r="Y19" i="3"/>
  <c r="X19" i="3"/>
  <c r="W19" i="3"/>
  <c r="V19" i="3"/>
  <c r="U19" i="3"/>
  <c r="T19" i="3"/>
  <c r="S19" i="3"/>
  <c r="R19" i="3"/>
  <c r="AC18" i="3"/>
  <c r="AB18" i="3"/>
  <c r="AA18" i="3"/>
  <c r="Z18" i="3"/>
  <c r="Y18" i="3"/>
  <c r="X18" i="3"/>
  <c r="W18" i="3"/>
  <c r="V18" i="3"/>
  <c r="U18" i="3"/>
  <c r="T18" i="3"/>
  <c r="S18" i="3"/>
  <c r="R18" i="3"/>
  <c r="AC17" i="3"/>
  <c r="AB17" i="3"/>
  <c r="AA17" i="3"/>
  <c r="Z17" i="3"/>
  <c r="Y17" i="3"/>
  <c r="X17" i="3"/>
  <c r="W17" i="3"/>
  <c r="V17" i="3"/>
  <c r="U17" i="3"/>
  <c r="T17" i="3"/>
  <c r="S17" i="3"/>
  <c r="R17" i="3"/>
  <c r="AC16" i="3"/>
  <c r="AB16" i="3"/>
  <c r="AA16" i="3"/>
  <c r="Z16" i="3"/>
  <c r="Y16" i="3"/>
  <c r="X16" i="3"/>
  <c r="W16" i="3"/>
  <c r="V16" i="3"/>
  <c r="U16" i="3"/>
  <c r="T16" i="3"/>
  <c r="S16" i="3"/>
  <c r="R16" i="3"/>
  <c r="AC15" i="3"/>
  <c r="AB15" i="3"/>
  <c r="AA15" i="3"/>
  <c r="Z15" i="3"/>
  <c r="Y15" i="3"/>
  <c r="X15" i="3"/>
  <c r="W15" i="3"/>
  <c r="V15" i="3"/>
  <c r="U15" i="3"/>
  <c r="T15" i="3"/>
  <c r="S15" i="3"/>
  <c r="R15" i="3"/>
  <c r="G40" i="4" l="1"/>
  <c r="G38" i="4"/>
  <c r="G50" i="13"/>
  <c r="G46" i="13"/>
  <c r="G41" i="13"/>
  <c r="G40" i="13"/>
  <c r="G39" i="13"/>
  <c r="G37" i="13"/>
  <c r="I46" i="3"/>
  <c r="F46" i="3"/>
  <c r="M45" i="3"/>
  <c r="O27" i="11" l="1"/>
  <c r="N27" i="11"/>
  <c r="M27" i="11"/>
  <c r="L27" i="11"/>
  <c r="K27" i="11"/>
  <c r="J27" i="11"/>
  <c r="I27" i="11"/>
  <c r="H27" i="11"/>
  <c r="G27" i="11"/>
  <c r="F27" i="11"/>
  <c r="E27" i="11"/>
  <c r="D27" i="11"/>
  <c r="D67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H26" i="4" l="1"/>
  <c r="G33" i="13"/>
  <c r="G25" i="13"/>
  <c r="G21" i="13"/>
  <c r="O29" i="12"/>
  <c r="N29" i="12"/>
  <c r="M29" i="12"/>
  <c r="L29" i="12"/>
  <c r="K29" i="12"/>
  <c r="J29" i="12"/>
  <c r="I29" i="12"/>
  <c r="H29" i="12"/>
  <c r="G29" i="12"/>
  <c r="F29" i="12"/>
  <c r="E29" i="12"/>
  <c r="D29" i="12"/>
  <c r="O35" i="3"/>
  <c r="N35" i="3"/>
  <c r="M35" i="3"/>
  <c r="L35" i="3"/>
  <c r="K35" i="3"/>
  <c r="J35" i="3"/>
  <c r="I35" i="3"/>
  <c r="H35" i="3"/>
  <c r="G35" i="3"/>
  <c r="F35" i="3"/>
  <c r="E35" i="3"/>
  <c r="D35" i="3"/>
  <c r="P29" i="11"/>
  <c r="P30" i="11"/>
  <c r="P31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O21" i="11"/>
  <c r="N21" i="11"/>
  <c r="M21" i="11"/>
  <c r="L21" i="11"/>
  <c r="K21" i="11"/>
  <c r="J21" i="11"/>
  <c r="I21" i="11"/>
  <c r="H21" i="11"/>
  <c r="G21" i="11"/>
  <c r="F21" i="11"/>
  <c r="E21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D21" i="11"/>
  <c r="D78" i="3"/>
  <c r="J27" i="3" s="1"/>
  <c r="O27" i="3"/>
  <c r="N27" i="3"/>
  <c r="M27" i="3"/>
  <c r="L27" i="3"/>
  <c r="K27" i="3"/>
  <c r="H27" i="3"/>
  <c r="G27" i="3"/>
  <c r="F27" i="3"/>
  <c r="E27" i="3"/>
  <c r="O26" i="3"/>
  <c r="N26" i="3"/>
  <c r="M26" i="3"/>
  <c r="L26" i="3"/>
  <c r="K26" i="3"/>
  <c r="J26" i="3"/>
  <c r="I26" i="3"/>
  <c r="H26" i="3"/>
  <c r="G26" i="3"/>
  <c r="F26" i="3"/>
  <c r="E26" i="3"/>
  <c r="D26" i="3"/>
  <c r="D27" i="3" l="1"/>
  <c r="I27" i="3"/>
  <c r="E21" i="3"/>
  <c r="F21" i="3"/>
  <c r="G21" i="3"/>
  <c r="H21" i="3"/>
  <c r="I21" i="3"/>
  <c r="J21" i="3"/>
  <c r="K21" i="3"/>
  <c r="L21" i="3"/>
  <c r="M21" i="3"/>
  <c r="N21" i="3"/>
  <c r="O21" i="3"/>
  <c r="E22" i="3"/>
  <c r="F22" i="3"/>
  <c r="G22" i="3"/>
  <c r="H22" i="3"/>
  <c r="I22" i="3"/>
  <c r="J22" i="3"/>
  <c r="K22" i="3"/>
  <c r="L22" i="3"/>
  <c r="M22" i="3"/>
  <c r="N22" i="3"/>
  <c r="O22" i="3"/>
  <c r="D21" i="3"/>
  <c r="D22" i="3"/>
  <c r="E18" i="4" l="1"/>
  <c r="O63" i="2" l="1"/>
  <c r="O21" i="2" l="1"/>
  <c r="N21" i="2"/>
  <c r="M21" i="2"/>
  <c r="L21" i="2"/>
  <c r="K21" i="2"/>
  <c r="J21" i="2"/>
  <c r="I21" i="2"/>
  <c r="H21" i="2"/>
  <c r="G21" i="2"/>
  <c r="F21" i="2"/>
  <c r="E21" i="2"/>
  <c r="D21" i="2"/>
  <c r="O25" i="2"/>
  <c r="L63" i="2"/>
  <c r="F21" i="1" l="1"/>
  <c r="I21" i="1"/>
  <c r="L21" i="1"/>
  <c r="O21" i="1"/>
  <c r="P34" i="1" l="1"/>
  <c r="J21" i="5" l="1"/>
  <c r="P23" i="1" l="1"/>
  <c r="Q23" i="1" s="1"/>
  <c r="J23" i="1" l="1"/>
  <c r="M66" i="1"/>
  <c r="L66" i="1"/>
  <c r="K66" i="1"/>
  <c r="K28" i="1" l="1"/>
  <c r="O64" i="1"/>
  <c r="N64" i="1"/>
  <c r="M64" i="1"/>
  <c r="L64" i="1"/>
  <c r="K64" i="1"/>
  <c r="K23" i="1" s="1"/>
  <c r="J64" i="1"/>
  <c r="C18" i="10" l="1"/>
  <c r="C17" i="10"/>
  <c r="P28" i="5"/>
  <c r="G25" i="4" s="1"/>
  <c r="A18" i="13" l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E52" i="13"/>
  <c r="B8" i="13"/>
  <c r="B6" i="13"/>
  <c r="O38" i="1" l="1"/>
  <c r="N21" i="1"/>
  <c r="M21" i="1"/>
  <c r="K21" i="1"/>
  <c r="J21" i="1"/>
  <c r="H21" i="1"/>
  <c r="G21" i="1"/>
  <c r="E21" i="1"/>
  <c r="D21" i="1"/>
  <c r="P21" i="1" l="1"/>
  <c r="D77" i="3"/>
  <c r="E20" i="12" l="1"/>
  <c r="F20" i="12"/>
  <c r="G20" i="12"/>
  <c r="H20" i="12"/>
  <c r="I20" i="12"/>
  <c r="J20" i="12"/>
  <c r="K20" i="12"/>
  <c r="L20" i="12"/>
  <c r="M20" i="12"/>
  <c r="N20" i="12"/>
  <c r="O20" i="12"/>
  <c r="E21" i="12"/>
  <c r="F21" i="12"/>
  <c r="G21" i="12"/>
  <c r="H21" i="12"/>
  <c r="I21" i="12"/>
  <c r="J21" i="12"/>
  <c r="K21" i="12"/>
  <c r="M21" i="12"/>
  <c r="N21" i="12"/>
  <c r="O21" i="12"/>
  <c r="E22" i="12"/>
  <c r="F22" i="12"/>
  <c r="G22" i="12"/>
  <c r="H22" i="12"/>
  <c r="I22" i="12"/>
  <c r="J22" i="12"/>
  <c r="K22" i="12"/>
  <c r="L22" i="12"/>
  <c r="M22" i="12"/>
  <c r="N22" i="12"/>
  <c r="O22" i="12"/>
  <c r="E26" i="12"/>
  <c r="F26" i="12"/>
  <c r="G26" i="12"/>
  <c r="H26" i="12"/>
  <c r="I26" i="12"/>
  <c r="J26" i="12"/>
  <c r="K26" i="12"/>
  <c r="L26" i="12"/>
  <c r="M26" i="12"/>
  <c r="N26" i="12"/>
  <c r="O26" i="12"/>
  <c r="E27" i="12"/>
  <c r="F27" i="12"/>
  <c r="G27" i="12"/>
  <c r="H27" i="12"/>
  <c r="I27" i="12"/>
  <c r="J27" i="12"/>
  <c r="K27" i="12"/>
  <c r="L27" i="12"/>
  <c r="M27" i="12"/>
  <c r="N27" i="12"/>
  <c r="O27" i="12"/>
  <c r="E28" i="12"/>
  <c r="F28" i="12"/>
  <c r="G28" i="12"/>
  <c r="H28" i="12"/>
  <c r="I28" i="12"/>
  <c r="J28" i="12"/>
  <c r="K28" i="12"/>
  <c r="L28" i="12"/>
  <c r="M28" i="12"/>
  <c r="N28" i="12"/>
  <c r="O28" i="12"/>
  <c r="E33" i="12"/>
  <c r="F33" i="12"/>
  <c r="G33" i="12"/>
  <c r="H33" i="12"/>
  <c r="I33" i="12"/>
  <c r="J33" i="12"/>
  <c r="K33" i="12"/>
  <c r="L33" i="12"/>
  <c r="M33" i="12"/>
  <c r="N33" i="12"/>
  <c r="O33" i="12"/>
  <c r="E35" i="12"/>
  <c r="F35" i="12"/>
  <c r="G35" i="12"/>
  <c r="H35" i="12"/>
  <c r="I35" i="12"/>
  <c r="J35" i="12"/>
  <c r="K35" i="12"/>
  <c r="L35" i="12"/>
  <c r="M35" i="12"/>
  <c r="N35" i="12"/>
  <c r="O35" i="12"/>
  <c r="D35" i="12"/>
  <c r="D33" i="12"/>
  <c r="D28" i="12"/>
  <c r="D27" i="12"/>
  <c r="D26" i="12"/>
  <c r="P24" i="12"/>
  <c r="H21" i="4" s="1"/>
  <c r="D22" i="12"/>
  <c r="D21" i="12"/>
  <c r="D20" i="12"/>
  <c r="E20" i="11"/>
  <c r="F20" i="11"/>
  <c r="G20" i="11"/>
  <c r="H20" i="11"/>
  <c r="I20" i="11"/>
  <c r="J20" i="11"/>
  <c r="K20" i="11"/>
  <c r="L20" i="11"/>
  <c r="M20" i="11"/>
  <c r="N20" i="11"/>
  <c r="O20" i="11"/>
  <c r="E25" i="11"/>
  <c r="F25" i="11"/>
  <c r="G25" i="11"/>
  <c r="H25" i="11"/>
  <c r="I25" i="11"/>
  <c r="J25" i="11"/>
  <c r="K25" i="11"/>
  <c r="L25" i="11"/>
  <c r="M25" i="11"/>
  <c r="N25" i="11"/>
  <c r="O25" i="11"/>
  <c r="E33" i="11"/>
  <c r="F33" i="11"/>
  <c r="G33" i="11"/>
  <c r="H33" i="11"/>
  <c r="I33" i="11"/>
  <c r="J33" i="11"/>
  <c r="K33" i="11"/>
  <c r="L33" i="11"/>
  <c r="M33" i="11"/>
  <c r="N33" i="11"/>
  <c r="O33" i="11"/>
  <c r="E35" i="11"/>
  <c r="F35" i="11"/>
  <c r="G35" i="11"/>
  <c r="H35" i="11"/>
  <c r="I35" i="11"/>
  <c r="J35" i="11"/>
  <c r="K35" i="11"/>
  <c r="L35" i="11"/>
  <c r="M35" i="11"/>
  <c r="N35" i="11"/>
  <c r="O35" i="11"/>
  <c r="D35" i="11"/>
  <c r="D25" i="11"/>
  <c r="D20" i="11"/>
  <c r="P52" i="12"/>
  <c r="P50" i="12"/>
  <c r="P48" i="12"/>
  <c r="P47" i="12"/>
  <c r="P44" i="12"/>
  <c r="P43" i="12"/>
  <c r="P42" i="12"/>
  <c r="P40" i="12"/>
  <c r="P39" i="12"/>
  <c r="P38" i="12"/>
  <c r="P37" i="12"/>
  <c r="P36" i="12"/>
  <c r="P34" i="12"/>
  <c r="P32" i="12"/>
  <c r="P30" i="12"/>
  <c r="P23" i="12"/>
  <c r="P19" i="12"/>
  <c r="P18" i="12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P17" i="12"/>
  <c r="A17" i="12"/>
  <c r="P16" i="12"/>
  <c r="A16" i="12"/>
  <c r="P15" i="12"/>
  <c r="B8" i="12"/>
  <c r="B6" i="12"/>
  <c r="P52" i="11"/>
  <c r="H50" i="13" s="1"/>
  <c r="P50" i="11"/>
  <c r="H48" i="13" s="1"/>
  <c r="P48" i="11"/>
  <c r="H46" i="13" s="1"/>
  <c r="P47" i="11"/>
  <c r="H45" i="13" s="1"/>
  <c r="P44" i="11"/>
  <c r="H42" i="13" s="1"/>
  <c r="P43" i="11"/>
  <c r="H41" i="13" s="1"/>
  <c r="P42" i="11"/>
  <c r="H40" i="13" s="1"/>
  <c r="P40" i="11"/>
  <c r="H38" i="13" s="1"/>
  <c r="P39" i="11"/>
  <c r="H37" i="13" s="1"/>
  <c r="P38" i="11"/>
  <c r="H36" i="13" s="1"/>
  <c r="P37" i="11"/>
  <c r="H35" i="13" s="1"/>
  <c r="P36" i="11"/>
  <c r="H34" i="13" s="1"/>
  <c r="P34" i="11"/>
  <c r="H32" i="13" s="1"/>
  <c r="D33" i="11"/>
  <c r="P32" i="11"/>
  <c r="H30" i="13" s="1"/>
  <c r="H28" i="13"/>
  <c r="P23" i="11"/>
  <c r="H21" i="13" s="1"/>
  <c r="P19" i="11"/>
  <c r="P18" i="11"/>
  <c r="P17" i="11"/>
  <c r="P16" i="1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P15" i="11"/>
  <c r="B8" i="11"/>
  <c r="B6" i="11"/>
  <c r="P25" i="11" l="1"/>
  <c r="H23" i="13" s="1"/>
  <c r="P25" i="12"/>
  <c r="P24" i="11"/>
  <c r="H22" i="13" s="1"/>
  <c r="P28" i="12"/>
  <c r="P20" i="12"/>
  <c r="P31" i="12"/>
  <c r="P35" i="12"/>
  <c r="N55" i="12"/>
  <c r="F55" i="12"/>
  <c r="E55" i="12"/>
  <c r="M55" i="12"/>
  <c r="P51" i="12"/>
  <c r="I55" i="12"/>
  <c r="G55" i="12"/>
  <c r="O55" i="12"/>
  <c r="P26" i="12"/>
  <c r="H23" i="4" s="1"/>
  <c r="P49" i="12"/>
  <c r="H55" i="12"/>
  <c r="P22" i="12"/>
  <c r="P29" i="12"/>
  <c r="P41" i="12"/>
  <c r="K55" i="12"/>
  <c r="P27" i="12"/>
  <c r="P33" i="12"/>
  <c r="H30" i="4" s="1"/>
  <c r="J55" i="12"/>
  <c r="P45" i="12"/>
  <c r="P46" i="12"/>
  <c r="P20" i="11"/>
  <c r="H29" i="13"/>
  <c r="P35" i="11"/>
  <c r="H33" i="13" s="1"/>
  <c r="H55" i="11"/>
  <c r="P22" i="11"/>
  <c r="H20" i="13" s="1"/>
  <c r="J55" i="11"/>
  <c r="P33" i="11"/>
  <c r="H31" i="13" s="1"/>
  <c r="P27" i="11"/>
  <c r="H25" i="13" s="1"/>
  <c r="P21" i="11"/>
  <c r="H19" i="13" s="1"/>
  <c r="I55" i="11"/>
  <c r="P45" i="11"/>
  <c r="H43" i="13" s="1"/>
  <c r="P41" i="11"/>
  <c r="H39" i="13" s="1"/>
  <c r="K55" i="11"/>
  <c r="P51" i="11"/>
  <c r="H49" i="13" s="1"/>
  <c r="E55" i="11"/>
  <c r="P46" i="11"/>
  <c r="H44" i="13" s="1"/>
  <c r="F55" i="11"/>
  <c r="P49" i="11"/>
  <c r="H47" i="13" s="1"/>
  <c r="N55" i="11"/>
  <c r="G55" i="11"/>
  <c r="O55" i="11"/>
  <c r="P26" i="11"/>
  <c r="H24" i="13" s="1"/>
  <c r="H27" i="13"/>
  <c r="D55" i="12"/>
  <c r="D55" i="11"/>
  <c r="E21" i="5"/>
  <c r="F21" i="5"/>
  <c r="G21" i="5"/>
  <c r="H21" i="5"/>
  <c r="I21" i="5"/>
  <c r="K21" i="5"/>
  <c r="M21" i="5"/>
  <c r="N21" i="5"/>
  <c r="O21" i="5"/>
  <c r="E22" i="5"/>
  <c r="F22" i="5"/>
  <c r="G22" i="5"/>
  <c r="H22" i="5"/>
  <c r="I22" i="5"/>
  <c r="J22" i="5"/>
  <c r="K22" i="5"/>
  <c r="L22" i="5"/>
  <c r="M22" i="5"/>
  <c r="N22" i="5"/>
  <c r="O22" i="5"/>
  <c r="E26" i="5"/>
  <c r="F26" i="5"/>
  <c r="G26" i="5"/>
  <c r="H26" i="5"/>
  <c r="I26" i="5"/>
  <c r="J26" i="5"/>
  <c r="K26" i="5"/>
  <c r="L26" i="5"/>
  <c r="M26" i="5"/>
  <c r="N26" i="5"/>
  <c r="O26" i="5"/>
  <c r="E27" i="5"/>
  <c r="F27" i="5"/>
  <c r="G27" i="5"/>
  <c r="H27" i="5"/>
  <c r="I27" i="5"/>
  <c r="J27" i="5"/>
  <c r="K27" i="5"/>
  <c r="L27" i="5"/>
  <c r="M27" i="5"/>
  <c r="N27" i="5"/>
  <c r="O27" i="5"/>
  <c r="E29" i="5"/>
  <c r="F29" i="5"/>
  <c r="G29" i="5"/>
  <c r="H29" i="5"/>
  <c r="I29" i="5"/>
  <c r="J29" i="5"/>
  <c r="K29" i="5"/>
  <c r="L29" i="5"/>
  <c r="M29" i="5"/>
  <c r="N29" i="5"/>
  <c r="O29" i="5"/>
  <c r="E33" i="5"/>
  <c r="F33" i="5"/>
  <c r="G33" i="5"/>
  <c r="H33" i="5"/>
  <c r="I33" i="5"/>
  <c r="J33" i="5"/>
  <c r="K33" i="5"/>
  <c r="L33" i="5"/>
  <c r="M33" i="5"/>
  <c r="N33" i="5"/>
  <c r="O33" i="5"/>
  <c r="E41" i="5"/>
  <c r="F41" i="5"/>
  <c r="G41" i="5"/>
  <c r="H41" i="5"/>
  <c r="I41" i="5"/>
  <c r="J41" i="5"/>
  <c r="K41" i="5"/>
  <c r="L41" i="5"/>
  <c r="M41" i="5"/>
  <c r="N41" i="5"/>
  <c r="E45" i="5"/>
  <c r="F45" i="5"/>
  <c r="G45" i="5"/>
  <c r="H45" i="5"/>
  <c r="I45" i="5"/>
  <c r="J45" i="5"/>
  <c r="K45" i="5"/>
  <c r="L45" i="5"/>
  <c r="M45" i="5"/>
  <c r="N45" i="5"/>
  <c r="O45" i="5"/>
  <c r="E46" i="5"/>
  <c r="F46" i="5"/>
  <c r="G46" i="5"/>
  <c r="H46" i="5"/>
  <c r="I46" i="5"/>
  <c r="J46" i="5"/>
  <c r="K46" i="5"/>
  <c r="L46" i="5"/>
  <c r="M46" i="5"/>
  <c r="N46" i="5"/>
  <c r="O46" i="5"/>
  <c r="E51" i="5"/>
  <c r="F51" i="5"/>
  <c r="G51" i="5"/>
  <c r="H51" i="5"/>
  <c r="I51" i="5"/>
  <c r="J51" i="5"/>
  <c r="K51" i="5"/>
  <c r="L51" i="5"/>
  <c r="M51" i="5"/>
  <c r="N51" i="5"/>
  <c r="O51" i="5"/>
  <c r="D51" i="5"/>
  <c r="D46" i="5"/>
  <c r="D45" i="5"/>
  <c r="D41" i="5"/>
  <c r="D33" i="5"/>
  <c r="D29" i="5"/>
  <c r="D27" i="5"/>
  <c r="D26" i="5"/>
  <c r="D22" i="5"/>
  <c r="D21" i="5"/>
  <c r="N51" i="3"/>
  <c r="M51" i="3"/>
  <c r="L51" i="3"/>
  <c r="K51" i="3"/>
  <c r="J51" i="3"/>
  <c r="H51" i="3"/>
  <c r="G51" i="3"/>
  <c r="E51" i="3"/>
  <c r="O46" i="3"/>
  <c r="N46" i="3"/>
  <c r="M46" i="3"/>
  <c r="L46" i="3"/>
  <c r="K46" i="3"/>
  <c r="J46" i="3"/>
  <c r="H46" i="3"/>
  <c r="G46" i="3"/>
  <c r="E46" i="3"/>
  <c r="O45" i="3"/>
  <c r="N45" i="3"/>
  <c r="L45" i="3"/>
  <c r="K45" i="3"/>
  <c r="J45" i="3"/>
  <c r="I45" i="3"/>
  <c r="H45" i="3"/>
  <c r="G45" i="3"/>
  <c r="F45" i="3"/>
  <c r="E45" i="3"/>
  <c r="N41" i="3"/>
  <c r="M41" i="3"/>
  <c r="L41" i="3"/>
  <c r="K41" i="3"/>
  <c r="J41" i="3"/>
  <c r="I41" i="3"/>
  <c r="H41" i="3"/>
  <c r="G41" i="3"/>
  <c r="F41" i="3"/>
  <c r="E41" i="3"/>
  <c r="O33" i="3"/>
  <c r="N33" i="3"/>
  <c r="M33" i="3"/>
  <c r="L33" i="3"/>
  <c r="K33" i="3"/>
  <c r="J33" i="3"/>
  <c r="I33" i="3"/>
  <c r="H33" i="3"/>
  <c r="G33" i="3"/>
  <c r="F33" i="3"/>
  <c r="E33" i="3"/>
  <c r="O29" i="3"/>
  <c r="N29" i="3"/>
  <c r="M29" i="3"/>
  <c r="L29" i="3"/>
  <c r="K29" i="3"/>
  <c r="J29" i="3"/>
  <c r="I29" i="3"/>
  <c r="H29" i="3"/>
  <c r="G29" i="3"/>
  <c r="F29" i="3"/>
  <c r="E29" i="3"/>
  <c r="D51" i="3"/>
  <c r="D46" i="3"/>
  <c r="D45" i="3"/>
  <c r="D41" i="3"/>
  <c r="D33" i="3"/>
  <c r="D29" i="3"/>
  <c r="O28" i="1" l="1"/>
  <c r="N28" i="1"/>
  <c r="M28" i="1"/>
  <c r="M55" i="11" s="1"/>
  <c r="L28" i="1"/>
  <c r="J28" i="1"/>
  <c r="I28" i="1"/>
  <c r="H28" i="1"/>
  <c r="G28" i="1"/>
  <c r="F28" i="1"/>
  <c r="L21" i="12" l="1"/>
  <c r="L21" i="5"/>
  <c r="P28" i="11"/>
  <c r="L55" i="11"/>
  <c r="O23" i="1"/>
  <c r="N23" i="1"/>
  <c r="M23" i="1"/>
  <c r="L23" i="1"/>
  <c r="I23" i="1"/>
  <c r="H23" i="1"/>
  <c r="G23" i="1"/>
  <c r="L55" i="12" l="1"/>
  <c r="P21" i="12"/>
  <c r="H26" i="13"/>
  <c r="H52" i="13" s="1"/>
  <c r="P55" i="11"/>
  <c r="H18" i="4" l="1"/>
  <c r="H51" i="4" s="1"/>
  <c r="P55" i="12"/>
  <c r="P18" i="10"/>
  <c r="P17" i="10"/>
  <c r="P16" i="10"/>
  <c r="A16" i="10"/>
  <c r="A17" i="10" s="1"/>
  <c r="A18" i="10" s="1"/>
  <c r="A20" i="10" s="1"/>
  <c r="B8" i="10"/>
  <c r="B6" i="10"/>
  <c r="A17" i="9"/>
  <c r="A18" i="9" s="1"/>
  <c r="A20" i="9" s="1"/>
  <c r="C20" i="9"/>
  <c r="A16" i="9"/>
  <c r="B8" i="9"/>
  <c r="M55" i="5"/>
  <c r="I55" i="5"/>
  <c r="E55" i="5"/>
  <c r="P52" i="5"/>
  <c r="G49" i="4" s="1"/>
  <c r="P51" i="5"/>
  <c r="P50" i="5"/>
  <c r="G47" i="4" s="1"/>
  <c r="P49" i="5"/>
  <c r="G46" i="4" s="1"/>
  <c r="P48" i="5"/>
  <c r="P47" i="5"/>
  <c r="P46" i="5"/>
  <c r="G43" i="4" s="1"/>
  <c r="P45" i="5"/>
  <c r="G42" i="4" s="1"/>
  <c r="P44" i="5"/>
  <c r="P43" i="5"/>
  <c r="P42" i="5"/>
  <c r="P41" i="5"/>
  <c r="P40" i="5"/>
  <c r="P39" i="5"/>
  <c r="P38" i="5"/>
  <c r="P37" i="5"/>
  <c r="P36" i="5"/>
  <c r="P35" i="5"/>
  <c r="P34" i="5"/>
  <c r="P33" i="5"/>
  <c r="G30" i="4" s="1"/>
  <c r="P32" i="5"/>
  <c r="P31" i="5"/>
  <c r="P30" i="5"/>
  <c r="P29" i="5"/>
  <c r="G26" i="4" s="1"/>
  <c r="P27" i="5"/>
  <c r="P26" i="5"/>
  <c r="G23" i="4" s="1"/>
  <c r="P25" i="5"/>
  <c r="P24" i="5"/>
  <c r="P23" i="5"/>
  <c r="P22" i="5"/>
  <c r="P21" i="5"/>
  <c r="G18" i="4" s="1"/>
  <c r="P20" i="5"/>
  <c r="P19" i="5"/>
  <c r="P18" i="5"/>
  <c r="P17" i="5"/>
  <c r="P16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O55" i="5"/>
  <c r="N55" i="5"/>
  <c r="L55" i="5"/>
  <c r="K55" i="5"/>
  <c r="J55" i="5"/>
  <c r="H55" i="5"/>
  <c r="G55" i="5"/>
  <c r="F55" i="5"/>
  <c r="D55" i="5"/>
  <c r="B8" i="5"/>
  <c r="B6" i="5"/>
  <c r="M55" i="2"/>
  <c r="I55" i="2"/>
  <c r="E55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N55" i="2"/>
  <c r="J55" i="2"/>
  <c r="F55" i="2"/>
  <c r="P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O55" i="2"/>
  <c r="L55" i="2"/>
  <c r="K55" i="2"/>
  <c r="H55" i="2"/>
  <c r="G55" i="2"/>
  <c r="D55" i="2"/>
  <c r="B8" i="2"/>
  <c r="B6" i="2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18" i="4"/>
  <c r="A17" i="4"/>
  <c r="B8" i="4"/>
  <c r="B6" i="4"/>
  <c r="M55" i="3"/>
  <c r="I55" i="3"/>
  <c r="E55" i="3"/>
  <c r="P52" i="3"/>
  <c r="P51" i="3"/>
  <c r="G49" i="13" s="1"/>
  <c r="P50" i="3"/>
  <c r="P49" i="3"/>
  <c r="G47" i="13" s="1"/>
  <c r="P48" i="3"/>
  <c r="P47" i="3"/>
  <c r="P46" i="3"/>
  <c r="G44" i="13" s="1"/>
  <c r="P45" i="3"/>
  <c r="G43" i="13" s="1"/>
  <c r="P44" i="3"/>
  <c r="P43" i="3"/>
  <c r="P42" i="3"/>
  <c r="P41" i="3"/>
  <c r="P40" i="3"/>
  <c r="P39" i="3"/>
  <c r="P38" i="3"/>
  <c r="P37" i="3"/>
  <c r="P36" i="3"/>
  <c r="P35" i="3"/>
  <c r="P34" i="3"/>
  <c r="P33" i="3"/>
  <c r="G31" i="13" s="1"/>
  <c r="P32" i="3"/>
  <c r="P31" i="3"/>
  <c r="P30" i="3"/>
  <c r="P29" i="3"/>
  <c r="G27" i="13" s="1"/>
  <c r="P28" i="3"/>
  <c r="P27" i="3"/>
  <c r="P26" i="3"/>
  <c r="G24" i="13" s="1"/>
  <c r="P25" i="3"/>
  <c r="P24" i="3"/>
  <c r="P23" i="3"/>
  <c r="P22" i="3"/>
  <c r="G20" i="13" s="1"/>
  <c r="P21" i="3"/>
  <c r="G19" i="13" s="1"/>
  <c r="P20" i="3"/>
  <c r="P19" i="3"/>
  <c r="P18" i="3"/>
  <c r="P17" i="3"/>
  <c r="P16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O55" i="3"/>
  <c r="N55" i="3"/>
  <c r="L55" i="3"/>
  <c r="K55" i="3"/>
  <c r="J55" i="3"/>
  <c r="H55" i="3"/>
  <c r="G55" i="3"/>
  <c r="F55" i="3"/>
  <c r="D55" i="3"/>
  <c r="B8" i="3"/>
  <c r="B6" i="3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3" i="1"/>
  <c r="P32" i="1"/>
  <c r="P31" i="1"/>
  <c r="P30" i="1"/>
  <c r="P29" i="1"/>
  <c r="P28" i="1"/>
  <c r="E78" i="3" s="1"/>
  <c r="P27" i="1"/>
  <c r="P26" i="1"/>
  <c r="P25" i="1"/>
  <c r="P24" i="1"/>
  <c r="E77" i="3"/>
  <c r="P22" i="1"/>
  <c r="P20" i="1"/>
  <c r="P19" i="1"/>
  <c r="P18" i="1"/>
  <c r="P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M55" i="1"/>
  <c r="I55" i="1"/>
  <c r="E55" i="1"/>
  <c r="P16" i="1"/>
  <c r="A16" i="1"/>
  <c r="O55" i="1"/>
  <c r="N55" i="1"/>
  <c r="L55" i="1"/>
  <c r="K55" i="1"/>
  <c r="J55" i="1"/>
  <c r="H55" i="1"/>
  <c r="G55" i="1"/>
  <c r="F55" i="1"/>
  <c r="D55" i="1"/>
  <c r="D15" i="9" s="1"/>
  <c r="B8" i="1"/>
  <c r="B6" i="1"/>
  <c r="G52" i="13" l="1"/>
  <c r="E15" i="9"/>
  <c r="F15" i="9" s="1"/>
  <c r="G15" i="9" s="1"/>
  <c r="H15" i="9" s="1"/>
  <c r="I15" i="9" s="1"/>
  <c r="J15" i="9" s="1"/>
  <c r="P17" i="9"/>
  <c r="D20" i="9"/>
  <c r="P18" i="9"/>
  <c r="E51" i="4"/>
  <c r="G51" i="4"/>
  <c r="P15" i="5"/>
  <c r="P55" i="5" s="1"/>
  <c r="P15" i="2"/>
  <c r="P55" i="2" s="1"/>
  <c r="P15" i="3"/>
  <c r="P55" i="3" s="1"/>
  <c r="P15" i="1"/>
  <c r="P55" i="1" s="1"/>
  <c r="E20" i="9" l="1"/>
  <c r="I20" i="9"/>
  <c r="G20" i="9"/>
  <c r="H20" i="9"/>
  <c r="F20" i="9"/>
  <c r="K15" i="9"/>
  <c r="L15" i="9" s="1"/>
  <c r="M15" i="9" s="1"/>
  <c r="N15" i="9" s="1"/>
  <c r="O15" i="9" s="1"/>
  <c r="C15" i="10" s="1"/>
  <c r="D15" i="10" s="1"/>
  <c r="E15" i="10" s="1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O20" i="10" s="1"/>
  <c r="J20" i="9"/>
  <c r="M20" i="9" l="1"/>
  <c r="L20" i="9"/>
  <c r="O20" i="9"/>
  <c r="N20" i="9"/>
  <c r="F20" i="10"/>
  <c r="J20" i="10"/>
  <c r="C20" i="10"/>
  <c r="D20" i="10"/>
  <c r="P15" i="9"/>
  <c r="P20" i="9" s="1"/>
  <c r="G20" i="10"/>
  <c r="K20" i="9"/>
  <c r="H20" i="10"/>
  <c r="I20" i="10"/>
  <c r="N20" i="10"/>
  <c r="E20" i="10"/>
  <c r="L20" i="10"/>
  <c r="P15" i="10"/>
  <c r="P20" i="10" s="1"/>
  <c r="M20" i="10"/>
  <c r="K20" i="10"/>
</calcChain>
</file>

<file path=xl/sharedStrings.xml><?xml version="1.0" encoding="utf-8"?>
<sst xmlns="http://schemas.openxmlformats.org/spreadsheetml/2006/main" count="965" uniqueCount="167">
  <si>
    <t>Schedule</t>
  </si>
  <si>
    <t>G-1</t>
  </si>
  <si>
    <t>Monthly Plant Additions</t>
  </si>
  <si>
    <t>Page 24 of 28</t>
  </si>
  <si>
    <t/>
  </si>
  <si>
    <t>Florida Public Service Commission</t>
  </si>
  <si>
    <t xml:space="preserve">Explanation: </t>
  </si>
  <si>
    <t>Provide the monthly plant additions by</t>
  </si>
  <si>
    <t>Type of Data Shown:</t>
  </si>
  <si>
    <t>account for the historic base year + 1.</t>
  </si>
  <si>
    <t>Historic Base Year + 1:     12/31/2022</t>
  </si>
  <si>
    <t>Company:</t>
  </si>
  <si>
    <t xml:space="preserve">Witness: </t>
  </si>
  <si>
    <t>Docket No.:</t>
  </si>
  <si>
    <t xml:space="preserve"> </t>
  </si>
  <si>
    <t>Line</t>
  </si>
  <si>
    <t>A/C</t>
  </si>
  <si>
    <t>No.</t>
  </si>
  <si>
    <t>Description</t>
  </si>
  <si>
    <t>TOTAL</t>
  </si>
  <si>
    <t>301</t>
  </si>
  <si>
    <t>ORGANIZATION</t>
  </si>
  <si>
    <t>302</t>
  </si>
  <si>
    <t>FRANCHISES &amp; CONSENTS</t>
  </si>
  <si>
    <t>MISC INTAGIBLE PLANT</t>
  </si>
  <si>
    <t>STRUCTURES &amp; IMPROVEMENTS</t>
  </si>
  <si>
    <t>374</t>
  </si>
  <si>
    <t>LAND &amp; LAND RIGHTS</t>
  </si>
  <si>
    <t>375</t>
  </si>
  <si>
    <t>MAINS - PLASTICS</t>
  </si>
  <si>
    <t>MAINS - STEEL</t>
  </si>
  <si>
    <t>376G</t>
  </si>
  <si>
    <t>MAINS - GRIP</t>
  </si>
  <si>
    <t>378</t>
  </si>
  <si>
    <t>MEAS &amp; REG STATION EQUIP-GEN</t>
  </si>
  <si>
    <t>379</t>
  </si>
  <si>
    <t>MEAS &amp; REG STATION EQUIP-GATE</t>
  </si>
  <si>
    <t>SERVICES - PLASTIC</t>
  </si>
  <si>
    <t>SERVICES - OTHER</t>
  </si>
  <si>
    <t>380G</t>
  </si>
  <si>
    <t>SERVICES - GRIP</t>
  </si>
  <si>
    <t>381</t>
  </si>
  <si>
    <t>METERS</t>
  </si>
  <si>
    <t>METERS - AMR EQUIPMENT</t>
  </si>
  <si>
    <t>382</t>
  </si>
  <si>
    <t>METER &amp; REGULATOR INST.</t>
  </si>
  <si>
    <t>METER INSTALLATIONS - MTU/DCU</t>
  </si>
  <si>
    <t>383</t>
  </si>
  <si>
    <t>HOUSE REGULATORS</t>
  </si>
  <si>
    <t>384</t>
  </si>
  <si>
    <t>HOUSE REG-INST</t>
  </si>
  <si>
    <t>385</t>
  </si>
  <si>
    <t>IND MEAS &amp; REG STAT EQUIP</t>
  </si>
  <si>
    <t>387</t>
  </si>
  <si>
    <t>OTHER EQUIPMENT</t>
  </si>
  <si>
    <t>389</t>
  </si>
  <si>
    <t>390</t>
  </si>
  <si>
    <t>OFFICE FURN &amp; EQUIPMENT</t>
  </si>
  <si>
    <t>COMPUTER AND PERIPHERY</t>
  </si>
  <si>
    <t>COMPUTER HARDWARE</t>
  </si>
  <si>
    <t>FURNITURE AND FIXTURES</t>
  </si>
  <si>
    <t>SYSTEM SOFTWARE</t>
  </si>
  <si>
    <t>TRANSPORTATION EQUIPMENT</t>
  </si>
  <si>
    <t>AUTOS &amp; TRUCKS (UP TO 1/2 TON)</t>
  </si>
  <si>
    <t>AUTOS &amp; TRUCKS</t>
  </si>
  <si>
    <t>TRANSPORTATION - OTHER</t>
  </si>
  <si>
    <t>393</t>
  </si>
  <si>
    <t>STORES EQUIP</t>
  </si>
  <si>
    <t>394</t>
  </si>
  <si>
    <t>TOOLS, SHOP, GARAGE EQUIP</t>
  </si>
  <si>
    <t>396</t>
  </si>
  <si>
    <t>POWER OPERATED EQUIPMENT</t>
  </si>
  <si>
    <t>397</t>
  </si>
  <si>
    <t>COMMUNICATION EQUIPMENT</t>
  </si>
  <si>
    <t>398</t>
  </si>
  <si>
    <t>MISC EQUIP</t>
  </si>
  <si>
    <t>TOTAL ADDITIONS</t>
  </si>
  <si>
    <t>Supporting Schedules:  G-6 p.1</t>
  </si>
  <si>
    <t>Recap Schedules:  G-1 p.23</t>
  </si>
  <si>
    <t>Monthly Plant Retirements</t>
  </si>
  <si>
    <t>Page 25 of 28</t>
  </si>
  <si>
    <t>Explanation:</t>
  </si>
  <si>
    <t>Provide the monthly plant retirements</t>
  </si>
  <si>
    <t>by account for the historic base year + 1.</t>
  </si>
  <si>
    <t>TOTAL RETIREMENTS</t>
  </si>
  <si>
    <t>Calculation of The Projected Test Year - Rate Base</t>
  </si>
  <si>
    <t>Page 26 of 28</t>
  </si>
  <si>
    <t>Provide a detailed construction</t>
  </si>
  <si>
    <t>budget for the projected test year.</t>
  </si>
  <si>
    <t>Projected Test Year:       12/31/2023</t>
  </si>
  <si>
    <t>Witness:</t>
  </si>
  <si>
    <t>Date of Proposed</t>
  </si>
  <si>
    <t>Date of Related</t>
  </si>
  <si>
    <t>Retirement Amount</t>
  </si>
  <si>
    <t>Removal Costs</t>
  </si>
  <si>
    <t>Acct.</t>
  </si>
  <si>
    <t>Description of Proposed Purchases</t>
  </si>
  <si>
    <t xml:space="preserve"> Purchase or Constr.</t>
  </si>
  <si>
    <t>Purchase Price</t>
  </si>
  <si>
    <t>Retirement</t>
  </si>
  <si>
    <t>of Related</t>
  </si>
  <si>
    <t>and / or Construction Projects</t>
  </si>
  <si>
    <t>(12/31/23)</t>
  </si>
  <si>
    <t>or Construction Cost</t>
  </si>
  <si>
    <t>12 months ended 12/31/23</t>
  </si>
  <si>
    <t>Supporting Schedules:  G-1 p.27-28, G-6 p.1</t>
  </si>
  <si>
    <t>Recap Schedules:  G-1 p.10</t>
  </si>
  <si>
    <t>Page 27 of 28</t>
  </si>
  <si>
    <t>Provide the monthly plant additions</t>
  </si>
  <si>
    <t>by account for the projected test year.</t>
  </si>
  <si>
    <t>Projected Test Year:      12/31/2023</t>
  </si>
  <si>
    <t>Recap Schedules:  G-1 p.26</t>
  </si>
  <si>
    <t xml:space="preserve">G-1 </t>
  </si>
  <si>
    <t>Page 28 of 28</t>
  </si>
  <si>
    <t>G1-5</t>
  </si>
  <si>
    <t>Calculation of The Projected Test Year - Balance Sheet</t>
  </si>
  <si>
    <t>Page 5 of 28</t>
  </si>
  <si>
    <t>Provide a schedule calculating a 13-month average</t>
  </si>
  <si>
    <t>balance sheet for the historic base year + 1.</t>
  </si>
  <si>
    <t>Historic Base YR + 1:     12/31/2022</t>
  </si>
  <si>
    <t xml:space="preserve">Company:  </t>
  </si>
  <si>
    <t>Florida Public Utilities Company Consolidated Gas Direct</t>
  </si>
  <si>
    <t xml:space="preserve">Docket No.:  </t>
  </si>
  <si>
    <t>Beg.  Balance</t>
  </si>
  <si>
    <t>13 Month</t>
  </si>
  <si>
    <t>Assets</t>
  </si>
  <si>
    <t>Average</t>
  </si>
  <si>
    <t>REFERENCE</t>
  </si>
  <si>
    <t>GAS PLANT IN SERV.</t>
  </si>
  <si>
    <t>RATE BASE</t>
  </si>
  <si>
    <t>PLANT HELD FOR FUT.USE</t>
  </si>
  <si>
    <t>CWIP</t>
  </si>
  <si>
    <t>GAS PLANT ACQ. ADJ.</t>
  </si>
  <si>
    <t>GROSS UTILITY PLANT</t>
  </si>
  <si>
    <t>Page 7 of 28</t>
  </si>
  <si>
    <t>balance sheet for the projected test year.</t>
  </si>
  <si>
    <t>Projected Test Year:  12/31/2023</t>
  </si>
  <si>
    <t>Florida Public Utilities</t>
  </si>
  <si>
    <t>Large Project Adjustments</t>
  </si>
  <si>
    <t>376 Mains Plastic</t>
  </si>
  <si>
    <t>376 Mains GRIP</t>
  </si>
  <si>
    <t>378 M&amp;R Station Eq - General</t>
  </si>
  <si>
    <t>380 Services GRIP</t>
  </si>
  <si>
    <t>389 Land and Land Rights</t>
  </si>
  <si>
    <t>390 Structures and Improvements</t>
  </si>
  <si>
    <t>3-3761 - Mains PL</t>
  </si>
  <si>
    <t>3-3762 - Mains ST</t>
  </si>
  <si>
    <t>3-3801 - Services PL</t>
  </si>
  <si>
    <t>3-3802 - Services ST</t>
  </si>
  <si>
    <t>3-3810 - Meters</t>
  </si>
  <si>
    <t>3-3830 - House Reg</t>
  </si>
  <si>
    <t>3-3912 - Comp Hdwr</t>
  </si>
  <si>
    <t>3-3921 - Cars</t>
  </si>
  <si>
    <t>3-3922 - Lt Truck/Van</t>
  </si>
  <si>
    <t>3-3940 - Tools/Shop Eq</t>
  </si>
  <si>
    <t>3-3970 - Comm Eq</t>
  </si>
  <si>
    <t>Monthly Cost of Removal</t>
  </si>
  <si>
    <t>Monthy Cost of Removal</t>
  </si>
  <si>
    <t>GRIP Retirement</t>
  </si>
  <si>
    <t>Mains</t>
  </si>
  <si>
    <t>Service</t>
  </si>
  <si>
    <t>Total</t>
  </si>
  <si>
    <t>(12/31/22)</t>
  </si>
  <si>
    <t>12 months ended 12/31/22</t>
  </si>
  <si>
    <t>379 M&amp;R Station City Gate</t>
  </si>
  <si>
    <t>3-3850</t>
  </si>
  <si>
    <t>To G1-28 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</si>
</sst>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409]mmm\-yy;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_)"/>
    <numFmt numFmtId="169" formatCode="0.000_)"/>
    <numFmt numFmtId="170" formatCode="0.00_)"/>
    <numFmt numFmtId="171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</font>
    <font>
      <sz val="12"/>
      <name val="Arial"/>
      <family val="2"/>
    </font>
    <font>
      <sz val="12"/>
      <color rgb="FFFF0000"/>
      <name val="Arial"/>
      <family val="2"/>
    </font>
    <font>
      <sz val="12"/>
      <name val="TimesNewRomanPS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0" fontId="2" fillId="0" borderId="0"/>
    <xf numFmtId="5" fontId="2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164" fontId="3" fillId="0" borderId="0" xfId="3" applyFont="1" applyAlignment="1" applyProtection="1">
      <alignment horizontal="left"/>
    </xf>
    <xf numFmtId="164" fontId="3" fillId="0" borderId="0" xfId="3" applyFont="1"/>
    <xf numFmtId="0" fontId="3" fillId="0" borderId="0" xfId="0" applyFont="1" applyAlignment="1">
      <alignment vertical="center"/>
    </xf>
    <xf numFmtId="164" fontId="3" fillId="0" borderId="0" xfId="3" applyFont="1" applyAlignment="1">
      <alignment horizontal="left"/>
    </xf>
    <xf numFmtId="164" fontId="3" fillId="0" borderId="0" xfId="3" applyFont="1" applyAlignment="1" applyProtection="1">
      <alignment horizontal="right"/>
    </xf>
    <xf numFmtId="164" fontId="3" fillId="0" borderId="1" xfId="3" applyFont="1" applyBorder="1" applyAlignment="1" applyProtection="1">
      <alignment horizontal="left"/>
    </xf>
    <xf numFmtId="164" fontId="3" fillId="0" borderId="1" xfId="3" applyFont="1" applyBorder="1" applyAlignment="1" applyProtection="1">
      <alignment horizontal="fill"/>
    </xf>
    <xf numFmtId="164" fontId="3" fillId="0" borderId="0" xfId="3" applyFont="1" applyBorder="1" applyAlignment="1" applyProtection="1">
      <alignment horizontal="left"/>
    </xf>
    <xf numFmtId="164" fontId="3" fillId="0" borderId="0" xfId="3" applyFont="1" applyBorder="1" applyAlignment="1" applyProtection="1">
      <alignment horizontal="fill"/>
    </xf>
    <xf numFmtId="164" fontId="3" fillId="0" borderId="0" xfId="3" quotePrefix="1" applyFont="1" applyAlignment="1" applyProtection="1">
      <alignment horizontal="left"/>
    </xf>
    <xf numFmtId="37" fontId="3" fillId="0" borderId="0" xfId="4" applyNumberFormat="1" applyFont="1" applyProtection="1"/>
    <xf numFmtId="164" fontId="3" fillId="0" borderId="0" xfId="3" quotePrefix="1" applyFont="1" applyAlignment="1">
      <alignment horizontal="left"/>
    </xf>
    <xf numFmtId="164" fontId="3" fillId="0" borderId="0" xfId="3" applyFont="1" applyAlignment="1" applyProtection="1">
      <alignment horizontal="left"/>
      <protection locked="0"/>
    </xf>
    <xf numFmtId="164" fontId="3" fillId="0" borderId="0" xfId="3" applyFont="1" applyAlignment="1" applyProtection="1">
      <alignment horizontal="center"/>
    </xf>
    <xf numFmtId="5" fontId="3" fillId="0" borderId="0" xfId="5" applyFont="1" applyBorder="1" applyAlignment="1" applyProtection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6" fontId="3" fillId="0" borderId="0" xfId="2" applyNumberFormat="1" applyFont="1" applyProtection="1">
      <protection locked="0"/>
    </xf>
    <xf numFmtId="166" fontId="3" fillId="0" borderId="0" xfId="2" applyNumberFormat="1" applyFont="1" applyProtection="1"/>
    <xf numFmtId="167" fontId="3" fillId="0" borderId="0" xfId="1" applyNumberFormat="1" applyFont="1" applyProtection="1">
      <protection locked="0"/>
    </xf>
    <xf numFmtId="167" fontId="3" fillId="0" borderId="0" xfId="1" applyNumberFormat="1" applyFont="1" applyProtection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3" applyNumberFormat="1" applyFont="1" applyAlignment="1" applyProtection="1">
      <alignment horizontal="left"/>
    </xf>
    <xf numFmtId="0" fontId="3" fillId="0" borderId="0" xfId="3" applyNumberFormat="1" applyFont="1" applyBorder="1" applyAlignment="1">
      <alignment horizontal="center"/>
    </xf>
    <xf numFmtId="37" fontId="3" fillId="0" borderId="0" xfId="3" applyNumberFormat="1" applyFont="1" applyProtection="1">
      <protection locked="0"/>
    </xf>
    <xf numFmtId="37" fontId="3" fillId="0" borderId="0" xfId="3" applyNumberFormat="1" applyFont="1" applyProtection="1"/>
    <xf numFmtId="37" fontId="3" fillId="0" borderId="0" xfId="3" applyNumberFormat="1" applyFont="1" applyAlignment="1" applyProtection="1">
      <alignment horizontal="fill"/>
    </xf>
    <xf numFmtId="166" fontId="3" fillId="0" borderId="2" xfId="2" applyNumberFormat="1" applyFont="1" applyBorder="1" applyProtection="1">
      <protection locked="0"/>
    </xf>
    <xf numFmtId="164" fontId="3" fillId="0" borderId="0" xfId="3" applyFont="1" applyAlignment="1" applyProtection="1">
      <alignment horizontal="fill"/>
    </xf>
    <xf numFmtId="37" fontId="3" fillId="0" borderId="0" xfId="3" applyNumberFormat="1" applyFont="1" applyAlignment="1" applyProtection="1">
      <alignment horizontal="left"/>
    </xf>
    <xf numFmtId="164" fontId="3" fillId="0" borderId="0" xfId="3" applyNumberFormat="1" applyFont="1" applyAlignment="1" applyProtection="1">
      <alignment horizontal="left"/>
    </xf>
    <xf numFmtId="0" fontId="4" fillId="0" borderId="0" xfId="3" quotePrefix="1" applyNumberFormat="1" applyFont="1" applyAlignment="1">
      <alignment horizontal="left"/>
    </xf>
    <xf numFmtId="164" fontId="3" fillId="0" borderId="0" xfId="3" quotePrefix="1" applyFont="1" applyAlignment="1" applyProtection="1">
      <alignment horizontal="center"/>
    </xf>
    <xf numFmtId="168" fontId="3" fillId="0" borderId="0" xfId="3" applyNumberFormat="1" applyFont="1"/>
    <xf numFmtId="169" fontId="3" fillId="0" borderId="0" xfId="3" applyNumberFormat="1" applyFont="1"/>
    <xf numFmtId="170" fontId="3" fillId="0" borderId="0" xfId="3" applyNumberFormat="1" applyFont="1"/>
    <xf numFmtId="164" fontId="3" fillId="2" borderId="0" xfId="3" applyFont="1" applyFill="1" applyAlignment="1" applyProtection="1">
      <alignment horizontal="left"/>
    </xf>
    <xf numFmtId="5" fontId="3" fillId="0" borderId="0" xfId="5" applyFont="1" applyAlignment="1" applyProtection="1">
      <alignment horizontal="left"/>
    </xf>
    <xf numFmtId="5" fontId="3" fillId="0" borderId="0" xfId="5" applyFont="1"/>
    <xf numFmtId="0" fontId="3" fillId="0" borderId="0" xfId="0" applyFont="1" applyAlignment="1">
      <alignment horizontal="left" vertical="center" indent="11"/>
    </xf>
    <xf numFmtId="5" fontId="3" fillId="0" borderId="0" xfId="5" applyFont="1" applyAlignment="1" applyProtection="1">
      <alignment horizontal="center"/>
    </xf>
    <xf numFmtId="5" fontId="3" fillId="0" borderId="1" xfId="5" applyFont="1" applyBorder="1" applyAlignment="1" applyProtection="1">
      <alignment horizontal="left"/>
    </xf>
    <xf numFmtId="5" fontId="3" fillId="0" borderId="1" xfId="5" applyFont="1" applyBorder="1"/>
    <xf numFmtId="5" fontId="3" fillId="0" borderId="0" xfId="5" applyFont="1" applyBorder="1" applyAlignment="1" applyProtection="1">
      <alignment horizontal="left"/>
    </xf>
    <xf numFmtId="5" fontId="3" fillId="0" borderId="0" xfId="5" applyFont="1" applyBorder="1"/>
    <xf numFmtId="5" fontId="3" fillId="0" borderId="0" xfId="5" applyFont="1" applyAlignment="1" applyProtection="1">
      <alignment horizontal="right"/>
    </xf>
    <xf numFmtId="5" fontId="3" fillId="0" borderId="0" xfId="5" applyFont="1" applyAlignment="1">
      <alignment horizontal="left"/>
    </xf>
    <xf numFmtId="0" fontId="3" fillId="0" borderId="0" xfId="0" applyFont="1" applyAlignment="1">
      <alignment horizontal="left" vertical="center"/>
    </xf>
    <xf numFmtId="5" fontId="3" fillId="0" borderId="0" xfId="5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" fontId="3" fillId="0" borderId="0" xfId="5" quotePrefix="1" applyFont="1" applyBorder="1" applyAlignment="1" applyProtection="1">
      <alignment horizontal="center"/>
    </xf>
    <xf numFmtId="5" fontId="3" fillId="0" borderId="1" xfId="5" applyFont="1" applyBorder="1" applyAlignment="1" applyProtection="1">
      <alignment horizontal="center"/>
    </xf>
    <xf numFmtId="0" fontId="3" fillId="0" borderId="1" xfId="0" applyFont="1" applyBorder="1" applyAlignment="1">
      <alignment horizontal="center" vertical="center"/>
    </xf>
    <xf numFmtId="5" fontId="3" fillId="0" borderId="1" xfId="5" quotePrefix="1" applyFont="1" applyBorder="1" applyAlignment="1" applyProtection="1">
      <alignment horizontal="center"/>
    </xf>
    <xf numFmtId="37" fontId="3" fillId="0" borderId="0" xfId="5" applyNumberFormat="1" applyFont="1" applyAlignment="1">
      <alignment horizontal="left"/>
    </xf>
    <xf numFmtId="5" fontId="3" fillId="0" borderId="0" xfId="5" quotePrefix="1" applyFont="1" applyAlignment="1">
      <alignment horizontal="center"/>
    </xf>
    <xf numFmtId="166" fontId="3" fillId="0" borderId="0" xfId="2" applyNumberFormat="1" applyFont="1"/>
    <xf numFmtId="167" fontId="3" fillId="0" borderId="0" xfId="1" applyNumberFormat="1" applyFont="1"/>
    <xf numFmtId="37" fontId="3" fillId="0" borderId="0" xfId="5" applyNumberFormat="1" applyFont="1" applyProtection="1"/>
    <xf numFmtId="0" fontId="3" fillId="0" borderId="0" xfId="3" quotePrefix="1" applyNumberFormat="1" applyFont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170" fontId="3" fillId="0" borderId="0" xfId="3" quotePrefix="1" applyNumberFormat="1" applyFont="1" applyFill="1" applyAlignment="1" applyProtection="1">
      <alignment horizontal="center"/>
    </xf>
    <xf numFmtId="0" fontId="5" fillId="0" borderId="0" xfId="5" applyNumberFormat="1" applyFont="1" applyBorder="1" applyAlignment="1">
      <alignment horizontal="left"/>
    </xf>
    <xf numFmtId="37" fontId="3" fillId="0" borderId="0" xfId="5" applyNumberFormat="1" applyFont="1" applyAlignment="1" applyProtection="1">
      <alignment horizontal="center"/>
    </xf>
    <xf numFmtId="37" fontId="3" fillId="0" borderId="0" xfId="5" applyNumberFormat="1" applyFont="1" applyAlignment="1" applyProtection="1">
      <alignment horizontal="right"/>
    </xf>
    <xf numFmtId="166" fontId="3" fillId="0" borderId="2" xfId="2" applyNumberFormat="1" applyFont="1" applyBorder="1" applyProtection="1"/>
    <xf numFmtId="166" fontId="3" fillId="0" borderId="0" xfId="2" applyNumberFormat="1" applyFont="1" applyFill="1" applyProtection="1">
      <protection locked="0"/>
    </xf>
    <xf numFmtId="167" fontId="3" fillId="0" borderId="0" xfId="1" applyNumberFormat="1" applyFont="1" applyFill="1" applyProtection="1">
      <protection locked="0"/>
    </xf>
    <xf numFmtId="37" fontId="3" fillId="0" borderId="0" xfId="3" applyNumberFormat="1" applyFont="1" applyFill="1" applyProtection="1">
      <protection locked="0"/>
    </xf>
    <xf numFmtId="167" fontId="3" fillId="0" borderId="0" xfId="1" applyNumberFormat="1" applyFont="1" applyAlignment="1" applyProtection="1"/>
    <xf numFmtId="0" fontId="3" fillId="2" borderId="0" xfId="0" applyFont="1" applyFill="1" applyAlignment="1">
      <alignment vertical="center"/>
    </xf>
    <xf numFmtId="164" fontId="3" fillId="2" borderId="0" xfId="3" applyFont="1" applyFill="1"/>
    <xf numFmtId="164" fontId="3" fillId="0" borderId="1" xfId="3" applyFont="1" applyBorder="1" applyAlignment="1" applyProtection="1">
      <alignment horizontal="center"/>
    </xf>
    <xf numFmtId="164" fontId="3" fillId="0" borderId="0" xfId="3" applyFont="1" applyBorder="1" applyAlignment="1" applyProtection="1">
      <alignment horizontal="center"/>
    </xf>
    <xf numFmtId="0" fontId="3" fillId="3" borderId="0" xfId="0" applyFont="1" applyFill="1" applyAlignment="1"/>
    <xf numFmtId="167" fontId="3" fillId="3" borderId="0" xfId="1" applyNumberFormat="1" applyFont="1" applyFill="1" applyProtection="1">
      <protection locked="0"/>
    </xf>
    <xf numFmtId="167" fontId="3" fillId="3" borderId="0" xfId="1" applyNumberFormat="1" applyFont="1" applyFill="1" applyProtection="1"/>
    <xf numFmtId="0" fontId="3" fillId="4" borderId="0" xfId="0" applyFont="1" applyFill="1" applyAlignment="1"/>
    <xf numFmtId="167" fontId="3" fillId="4" borderId="0" xfId="1" applyNumberFormat="1" applyFont="1" applyFill="1" applyProtection="1">
      <protection locked="0"/>
    </xf>
    <xf numFmtId="167" fontId="3" fillId="4" borderId="0" xfId="1" applyNumberFormat="1" applyFont="1" applyFill="1" applyProtection="1"/>
    <xf numFmtId="171" fontId="3" fillId="0" borderId="0" xfId="6" applyNumberFormat="1" applyFont="1"/>
    <xf numFmtId="171" fontId="3" fillId="0" borderId="0" xfId="6" applyNumberFormat="1" applyFont="1" applyFill="1"/>
    <xf numFmtId="5" fontId="3" fillId="0" borderId="0" xfId="3" applyNumberFormat="1" applyFont="1"/>
    <xf numFmtId="5" fontId="3" fillId="0" borderId="0" xfId="5" applyFont="1" applyFill="1" applyAlignment="1" applyProtection="1">
      <alignment horizontal="left"/>
    </xf>
    <xf numFmtId="0" fontId="3" fillId="0" borderId="0" xfId="0" applyFont="1" applyFill="1" applyAlignment="1">
      <alignment horizontal="left" vertical="center" indent="1"/>
    </xf>
    <xf numFmtId="0" fontId="0" fillId="0" borderId="0" xfId="0" applyFill="1"/>
    <xf numFmtId="5" fontId="3" fillId="0" borderId="1" xfId="5" applyFont="1" applyFill="1" applyBorder="1" applyAlignment="1" applyProtection="1">
      <alignment horizontal="left"/>
    </xf>
    <xf numFmtId="5" fontId="3" fillId="0" borderId="1" xfId="5" applyFont="1" applyFill="1" applyBorder="1"/>
    <xf numFmtId="5" fontId="3" fillId="0" borderId="0" xfId="5" applyFont="1" applyFill="1" applyBorder="1" applyAlignment="1" applyProtection="1">
      <alignment horizontal="left"/>
    </xf>
    <xf numFmtId="5" fontId="3" fillId="0" borderId="0" xfId="5" applyFont="1" applyFill="1" applyBorder="1"/>
    <xf numFmtId="5" fontId="3" fillId="0" borderId="0" xfId="5" applyFont="1" applyFill="1" applyAlignment="1" applyProtection="1">
      <alignment horizontal="right"/>
    </xf>
    <xf numFmtId="0" fontId="3" fillId="0" borderId="0" xfId="0" applyFont="1" applyFill="1" applyAlignment="1">
      <alignment vertical="center"/>
    </xf>
    <xf numFmtId="5" fontId="3" fillId="0" borderId="0" xfId="5" applyFont="1" applyFill="1" applyAlignment="1">
      <alignment horizontal="left"/>
    </xf>
    <xf numFmtId="5" fontId="3" fillId="0" borderId="0" xfId="5" quotePrefix="1" applyFont="1" applyFill="1" applyAlignment="1" applyProtection="1">
      <alignment horizontal="left"/>
    </xf>
    <xf numFmtId="0" fontId="3" fillId="0" borderId="0" xfId="0" applyNumberFormat="1" applyFont="1" applyFill="1" applyAlignment="1"/>
    <xf numFmtId="37" fontId="3" fillId="0" borderId="0" xfId="4" applyNumberFormat="1" applyFont="1" applyFill="1" applyProtection="1"/>
    <xf numFmtId="5" fontId="3" fillId="0" borderId="1" xfId="5" applyFont="1" applyFill="1" applyBorder="1" applyAlignment="1">
      <alignment horizontal="left"/>
    </xf>
    <xf numFmtId="5" fontId="3" fillId="0" borderId="0" xfId="5" applyFont="1" applyFill="1" applyBorder="1" applyAlignment="1" applyProtection="1">
      <alignment horizontal="fill"/>
    </xf>
    <xf numFmtId="5" fontId="3" fillId="0" borderId="0" xfId="5" applyFont="1" applyFill="1" applyAlignment="1" applyProtection="1">
      <alignment horizontal="center"/>
    </xf>
    <xf numFmtId="5" fontId="3" fillId="0" borderId="0" xfId="5" applyFont="1" applyFill="1" applyBorder="1" applyAlignment="1" applyProtection="1">
      <alignment horizontal="center"/>
    </xf>
    <xf numFmtId="5" fontId="3" fillId="0" borderId="0" xfId="5" quotePrefix="1" applyFont="1" applyFill="1" applyAlignment="1" applyProtection="1">
      <alignment horizontal="center"/>
    </xf>
    <xf numFmtId="165" fontId="3" fillId="0" borderId="0" xfId="0" applyNumberFormat="1" applyFont="1" applyFill="1" applyAlignment="1">
      <alignment horizontal="center"/>
    </xf>
    <xf numFmtId="5" fontId="3" fillId="0" borderId="1" xfId="5" applyFont="1" applyFill="1" applyBorder="1" applyAlignment="1" applyProtection="1">
      <alignment horizontal="center"/>
    </xf>
    <xf numFmtId="17" fontId="3" fillId="0" borderId="1" xfId="5" applyNumberFormat="1" applyFont="1" applyFill="1" applyBorder="1" applyAlignment="1" applyProtection="1">
      <alignment horizontal="center"/>
    </xf>
    <xf numFmtId="17" fontId="3" fillId="0" borderId="1" xfId="5" quotePrefix="1" applyNumberFormat="1" applyFont="1" applyFill="1" applyBorder="1" applyAlignment="1" applyProtection="1">
      <alignment horizontal="center"/>
    </xf>
    <xf numFmtId="5" fontId="3" fillId="0" borderId="0" xfId="5" applyFont="1" applyFill="1" applyAlignment="1" applyProtection="1">
      <alignment horizontal="fill"/>
    </xf>
    <xf numFmtId="0" fontId="3" fillId="0" borderId="0" xfId="5" applyNumberFormat="1" applyFont="1" applyFill="1" applyAlignment="1" applyProtection="1">
      <alignment horizontal="left"/>
    </xf>
    <xf numFmtId="166" fontId="3" fillId="0" borderId="0" xfId="2" applyNumberFormat="1" applyFont="1" applyFill="1" applyProtection="1"/>
    <xf numFmtId="0" fontId="3" fillId="0" borderId="0" xfId="0" applyNumberFormat="1" applyFont="1" applyFill="1" applyAlignment="1">
      <alignment horizontal="center"/>
    </xf>
    <xf numFmtId="167" fontId="3" fillId="0" borderId="0" xfId="2" applyNumberFormat="1" applyFont="1" applyFill="1" applyProtection="1"/>
    <xf numFmtId="167" fontId="3" fillId="0" borderId="0" xfId="2" applyNumberFormat="1" applyFont="1" applyFill="1" applyBorder="1" applyProtection="1"/>
    <xf numFmtId="166" fontId="3" fillId="0" borderId="3" xfId="2" applyNumberFormat="1" applyFont="1" applyFill="1" applyBorder="1" applyAlignment="1" applyProtection="1">
      <alignment horizontal="fill"/>
    </xf>
    <xf numFmtId="167" fontId="4" fillId="0" borderId="0" xfId="1" applyNumberFormat="1" applyFont="1" applyFill="1" applyProtection="1">
      <protection locked="0"/>
    </xf>
    <xf numFmtId="167" fontId="4" fillId="0" borderId="0" xfId="1" applyNumberFormat="1" applyFont="1"/>
    <xf numFmtId="167" fontId="3" fillId="0" borderId="0" xfId="1" applyNumberFormat="1" applyFont="1" applyFill="1" applyProtection="1"/>
    <xf numFmtId="166" fontId="3" fillId="2" borderId="2" xfId="2" applyNumberFormat="1" applyFont="1" applyFill="1" applyBorder="1" applyProtection="1">
      <protection locked="0"/>
    </xf>
    <xf numFmtId="164" fontId="3" fillId="0" borderId="0" xfId="3" applyFont="1" applyFill="1" applyAlignment="1" applyProtection="1">
      <alignment horizontal="left"/>
    </xf>
    <xf numFmtId="166" fontId="3" fillId="2" borderId="2" xfId="2" applyNumberFormat="1" applyFont="1" applyFill="1" applyBorder="1" applyProtection="1"/>
    <xf numFmtId="164" fontId="3" fillId="0" borderId="0" xfId="3" quotePrefix="1" applyFont="1"/>
  </cellXfs>
  <cellStyles count="7">
    <cellStyle name="Comma" xfId="1" builtinId="3"/>
    <cellStyle name="Currency" xfId="2" builtinId="4"/>
    <cellStyle name="Normal" xfId="0" builtinId="0"/>
    <cellStyle name="Normal 2" xfId="4"/>
    <cellStyle name="Normal 4" xfId="5"/>
    <cellStyle name="Normal 5" xfId="3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styles" Target="styles.xml" Id="rId13" /><Relationship Type="http://schemas.openxmlformats.org/officeDocument/2006/relationships/customXml" Target="../customXml/item3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theme" Target="theme/theme1.xml" Id="rId12" /><Relationship Type="http://schemas.openxmlformats.org/officeDocument/2006/relationships/customXml" Target="../customXml/item2.xml" Id="rId17" /><Relationship Type="http://schemas.openxmlformats.org/officeDocument/2006/relationships/worksheet" Target="worksheets/sheet2.xml" Id="rId2" /><Relationship Type="http://schemas.openxmlformats.org/officeDocument/2006/relationships/customXml" Target="../customXml/item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externalLink" Target="externalLinks/externalLink1.xml" Id="rId11" /><Relationship Type="http://schemas.openxmlformats.org/officeDocument/2006/relationships/worksheet" Target="worksheets/sheet5.xml" Id="rId5" /><Relationship Type="http://schemas.openxmlformats.org/officeDocument/2006/relationships/calcChain" Target="calcChain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sharedStrings" Target="sharedStrings.xml" Id="rId14" /><Relationship Type="http://schemas.openxmlformats.org/officeDocument/2006/relationships/customXml" Target="/customXML/item4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G-1%20Schedules%20Proforma%20rate%20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1"/>
      <sheetName val="G1-1 FN"/>
      <sheetName val="G1-1 CF"/>
      <sheetName val="G1-1 FI"/>
      <sheetName val="G1-1 FT"/>
      <sheetName val="G1-2 "/>
      <sheetName val="G1-2 FC a and b"/>
      <sheetName val="G1-2 FC c 2022"/>
      <sheetName val="G1-2 FC d 2023"/>
      <sheetName val="G1-2 FN"/>
      <sheetName val="G1-2 CF"/>
      <sheetName val="G1-2 FI"/>
      <sheetName val="G1-2 FT"/>
      <sheetName val="G1-3"/>
      <sheetName val="G1-3 FC a and b"/>
      <sheetName val="G1-3 FC c 2022"/>
      <sheetName val="G1-3 FC d 2023"/>
      <sheetName val="G1-3 FN"/>
      <sheetName val="G1-3 CF"/>
      <sheetName val="G1-3 FI"/>
      <sheetName val="G1-3 FT"/>
      <sheetName val="G1-4"/>
      <sheetName val="G1-4 FN"/>
      <sheetName val="G1-4 CF"/>
      <sheetName val="G1-4 FI"/>
      <sheetName val="G1-4 FT"/>
      <sheetName val="G1-4 a"/>
      <sheetName val="G1-4 FN a"/>
      <sheetName val="G1-4 CF a"/>
      <sheetName val="G1-4 FI a "/>
      <sheetName val="G1-4 FT a"/>
      <sheetName val="G1-5 "/>
      <sheetName val="G1-5a FC"/>
      <sheetName val="G1-5 FN"/>
      <sheetName val="G1-5 CF"/>
      <sheetName val="G1-5 FI"/>
      <sheetName val="G1-5 FT"/>
      <sheetName val="G1-6 "/>
      <sheetName val="G1-6b FC"/>
      <sheetName val="G1-6 FN"/>
      <sheetName val="G1-6 CF"/>
      <sheetName val="G1-6 FI"/>
      <sheetName val="G1-6 FT"/>
      <sheetName val="G1-7  "/>
      <sheetName val="G1-7 FC"/>
      <sheetName val="G1-7 FN"/>
      <sheetName val="G1-7 CF"/>
      <sheetName val="G1-7 FI"/>
      <sheetName val="G1-7 FT"/>
      <sheetName val="G1-8"/>
      <sheetName val="G1-8 FC"/>
      <sheetName val="G1-8 FN"/>
      <sheetName val="G1-8 CF"/>
      <sheetName val="G1-8 FI"/>
      <sheetName val="G1-8 FT"/>
      <sheetName val="G1-9"/>
      <sheetName val="G1-9 FN"/>
      <sheetName val="G1-9 CF"/>
      <sheetName val="G1-9 FI"/>
      <sheetName val="G1-9 FT"/>
      <sheetName val="G1-10"/>
      <sheetName val="G1-10 FN"/>
      <sheetName val="G1-10 CF"/>
      <sheetName val="G1-10 FI"/>
      <sheetName val="G1-10 FT"/>
      <sheetName val="G1-11"/>
      <sheetName val="G1-11 FN"/>
      <sheetName val="G1-11 FN Cost of Removal"/>
      <sheetName val="G1-11 FN Salvage"/>
      <sheetName val="G1-11 CF"/>
      <sheetName val="G1-11 CF Cost of Removal"/>
      <sheetName val="G1-11 CF Salvage "/>
      <sheetName val="G1-11 FI"/>
      <sheetName val="G1-11 FI Cost of Removal"/>
      <sheetName val="G1-11 FI Salvage "/>
      <sheetName val="G1-11 FT"/>
      <sheetName val="G1-11 FT Cost of Removal"/>
      <sheetName val="G1-11 FT Salvage "/>
      <sheetName val="G1-12"/>
      <sheetName val="G1-12 FN"/>
      <sheetName val="G1-12 FN Cost of Removal"/>
      <sheetName val="G1-12 FN Salvage "/>
      <sheetName val="G1-12 CF"/>
      <sheetName val="G1-12 CF Cost of Removal"/>
      <sheetName val="G1-12 CF Salvage"/>
      <sheetName val="G1-12 FI"/>
      <sheetName val="G1-12 FI Cost of Removal"/>
      <sheetName val="G1-12 FI Salvage"/>
      <sheetName val="G1-12 FT"/>
      <sheetName val="G1-12 FT Cost of Removal"/>
      <sheetName val="G1-12 FT Salvage"/>
      <sheetName val="G1-13"/>
      <sheetName val="G1-13 FN"/>
      <sheetName val="G1-13 CF"/>
      <sheetName val="G1-13 FI"/>
      <sheetName val="G1-13 FT"/>
      <sheetName val="G1-14"/>
      <sheetName val="G1-14 FN"/>
      <sheetName val="G1-14 CF"/>
      <sheetName val="G1-14 FI"/>
      <sheetName val="G1-14 FT"/>
      <sheetName val="G1-15a FC Common"/>
      <sheetName val="G1-15b Corp"/>
      <sheetName val="G1-16a FC Common"/>
      <sheetName val="G1-16b Corp"/>
      <sheetName val="G1-17"/>
      <sheetName val="G1-18a FC Common"/>
      <sheetName val="G1-18b Corp "/>
      <sheetName val="G1-19a FC"/>
      <sheetName val="G1-19b Corp"/>
      <sheetName val="G1-20"/>
      <sheetName val="G1-21a FC"/>
      <sheetName val="G1-21b Corp"/>
      <sheetName val="G1-22a FC"/>
      <sheetName val="G1-22b CORP"/>
      <sheetName val="G1-23"/>
      <sheetName val="G1-23 FN"/>
      <sheetName val="G1-23 CF"/>
      <sheetName val="G1-23 FI"/>
      <sheetName val="G1-23 FT"/>
      <sheetName val="G1-24"/>
      <sheetName val="G1-24 FN"/>
      <sheetName val="G1-24 CF"/>
      <sheetName val="G1-24 FI"/>
      <sheetName val="G1-24 FT"/>
      <sheetName val="G1-25"/>
      <sheetName val="G1-25 FN"/>
      <sheetName val="G1-25 CF"/>
      <sheetName val="G1-25 FI"/>
      <sheetName val="G1-25 FT"/>
      <sheetName val="G1-26"/>
      <sheetName val="G1-26 FN"/>
      <sheetName val="G1-26 CF"/>
      <sheetName val="G1-26 FI"/>
      <sheetName val="G1-26 FT"/>
      <sheetName val="G1-27"/>
      <sheetName val="G1-27 FN"/>
      <sheetName val="G1-27 CF"/>
      <sheetName val="G1-27 FI"/>
      <sheetName val="G1-27 FT"/>
      <sheetName val="G1-28"/>
      <sheetName val="G1-28 FN"/>
      <sheetName val="G1-28 CF"/>
      <sheetName val="G1-28 FI"/>
      <sheetName val="G1-28 FT"/>
    </sheetNames>
    <sheetDataSet>
      <sheetData sheetId="0">
        <row r="6">
          <cell r="B6" t="str">
            <v>Florida Public Utilities Company Consolidated 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opLeftCell="B38" workbookViewId="0">
      <selection activeCell="P55" sqref="D55:P55"/>
    </sheetView>
  </sheetViews>
  <sheetFormatPr defaultColWidth="14.42578125" defaultRowHeight="15"/>
  <cols>
    <col min="1" max="1" width="11.42578125" style="4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>
      <c r="A1" s="1" t="s">
        <v>0</v>
      </c>
      <c r="B1" s="2" t="s">
        <v>1</v>
      </c>
      <c r="F1" s="3" t="s">
        <v>2</v>
      </c>
      <c r="G1" s="4"/>
      <c r="H1" s="4"/>
      <c r="I1" s="1"/>
      <c r="J1" s="4"/>
      <c r="K1" s="4"/>
      <c r="L1" s="4"/>
      <c r="M1" s="1" t="s">
        <v>3</v>
      </c>
      <c r="P1" s="5" t="s">
        <v>4</v>
      </c>
    </row>
    <row r="2" spans="1:16" ht="15.75" thickBot="1">
      <c r="A2" s="6"/>
      <c r="B2" s="7"/>
      <c r="C2" s="7"/>
      <c r="D2" s="7"/>
      <c r="E2" s="7"/>
      <c r="F2" s="6"/>
      <c r="G2" s="6"/>
      <c r="H2" s="6"/>
      <c r="I2" s="6"/>
      <c r="J2" s="6"/>
      <c r="K2" s="6"/>
      <c r="L2" s="6"/>
      <c r="M2" s="6"/>
      <c r="N2" s="7"/>
      <c r="O2" s="7"/>
      <c r="P2" s="7"/>
    </row>
    <row r="3" spans="1:16">
      <c r="A3" s="8"/>
      <c r="B3" s="9"/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9"/>
      <c r="O3" s="9"/>
      <c r="P3" s="9"/>
    </row>
    <row r="4" spans="1:16">
      <c r="A4" s="1" t="s">
        <v>5</v>
      </c>
      <c r="F4" s="4" t="s">
        <v>6</v>
      </c>
      <c r="G4" s="3" t="s">
        <v>7</v>
      </c>
      <c r="H4" s="4"/>
      <c r="I4" s="1"/>
      <c r="J4" s="4"/>
      <c r="K4" s="4"/>
      <c r="L4" s="4"/>
      <c r="M4" s="3" t="s">
        <v>8</v>
      </c>
      <c r="N4" s="1"/>
    </row>
    <row r="5" spans="1:16">
      <c r="F5" s="4"/>
      <c r="G5" s="3" t="s">
        <v>9</v>
      </c>
      <c r="H5" s="4"/>
      <c r="I5" s="1"/>
      <c r="J5" s="4"/>
      <c r="K5" s="4"/>
      <c r="L5" s="4"/>
      <c r="M5" s="3" t="s">
        <v>10</v>
      </c>
      <c r="N5" s="10"/>
    </row>
    <row r="6" spans="1:16">
      <c r="A6" s="1" t="s">
        <v>11</v>
      </c>
      <c r="B6" s="11" t="str">
        <f>'[1]G1-1'!B6</f>
        <v>Florida Public Utilities Company Consolidated Gas</v>
      </c>
      <c r="C6" s="1"/>
      <c r="F6" s="4"/>
      <c r="G6" s="4"/>
      <c r="H6" s="4"/>
      <c r="I6" s="4"/>
      <c r="J6" s="4"/>
      <c r="K6" s="4"/>
      <c r="L6" s="4"/>
      <c r="M6" s="3" t="s">
        <v>12</v>
      </c>
      <c r="N6" s="1"/>
      <c r="O6" s="12"/>
    </row>
    <row r="7" spans="1:16">
      <c r="B7" s="11"/>
    </row>
    <row r="8" spans="1:16">
      <c r="A8" s="1" t="s">
        <v>13</v>
      </c>
      <c r="B8" s="11">
        <f>'[1]G1-1'!B8</f>
        <v>0</v>
      </c>
      <c r="C8" s="35" t="s">
        <v>137</v>
      </c>
    </row>
    <row r="9" spans="1:16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G10" s="1" t="s">
        <v>14</v>
      </c>
      <c r="H10" s="1" t="s">
        <v>14</v>
      </c>
      <c r="I10" s="1" t="s">
        <v>14</v>
      </c>
      <c r="J10" s="1" t="s">
        <v>14</v>
      </c>
      <c r="K10" s="13" t="s">
        <v>14</v>
      </c>
      <c r="N10" s="1" t="s">
        <v>14</v>
      </c>
    </row>
    <row r="11" spans="1:16">
      <c r="A11" s="1" t="s">
        <v>15</v>
      </c>
      <c r="B11" s="14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>
      <c r="A12" s="1" t="s">
        <v>17</v>
      </c>
      <c r="B12" s="14" t="s">
        <v>17</v>
      </c>
      <c r="C12" s="14" t="s">
        <v>18</v>
      </c>
      <c r="D12" s="16">
        <v>44562</v>
      </c>
      <c r="E12" s="16">
        <v>44593</v>
      </c>
      <c r="F12" s="16">
        <v>44621</v>
      </c>
      <c r="G12" s="16">
        <v>44652</v>
      </c>
      <c r="H12" s="16">
        <v>44682</v>
      </c>
      <c r="I12" s="16">
        <v>44713</v>
      </c>
      <c r="J12" s="16">
        <v>44743</v>
      </c>
      <c r="K12" s="16">
        <v>44774</v>
      </c>
      <c r="L12" s="16">
        <v>44805</v>
      </c>
      <c r="M12" s="16">
        <v>44835</v>
      </c>
      <c r="N12" s="16">
        <v>44866</v>
      </c>
      <c r="O12" s="16">
        <v>44896</v>
      </c>
      <c r="P12" s="14" t="s">
        <v>19</v>
      </c>
    </row>
    <row r="13" spans="1:16" ht="15.75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A15" s="17">
        <v>1</v>
      </c>
      <c r="B15" s="18" t="s">
        <v>20</v>
      </c>
      <c r="C15" s="19" t="s">
        <v>21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1">
        <f t="shared" ref="P15:P52" si="0">SUM(D15:O15)</f>
        <v>0</v>
      </c>
    </row>
    <row r="16" spans="1:16">
      <c r="A16" s="17">
        <f>+A15+1</f>
        <v>2</v>
      </c>
      <c r="B16" s="18" t="s">
        <v>22</v>
      </c>
      <c r="C16" s="19" t="s">
        <v>23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3">
        <f t="shared" si="0"/>
        <v>0</v>
      </c>
    </row>
    <row r="17" spans="1:17">
      <c r="A17" s="17">
        <f t="shared" ref="A17:A52" si="1">+A16+1</f>
        <v>3</v>
      </c>
      <c r="B17" s="18">
        <v>303</v>
      </c>
      <c r="C17" s="19" t="s">
        <v>24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3">
        <f t="shared" si="0"/>
        <v>0</v>
      </c>
    </row>
    <row r="18" spans="1:17">
      <c r="A18" s="17">
        <f t="shared" si="1"/>
        <v>4</v>
      </c>
      <c r="B18" s="18">
        <v>305</v>
      </c>
      <c r="C18" s="19" t="s">
        <v>25</v>
      </c>
      <c r="D18" s="22">
        <v>0</v>
      </c>
      <c r="E18" s="22">
        <v>0</v>
      </c>
      <c r="F18" s="22">
        <v>21687.489999999998</v>
      </c>
      <c r="G18" s="22">
        <v>0</v>
      </c>
      <c r="H18" s="22">
        <v>0</v>
      </c>
      <c r="I18" s="22">
        <v>21687.48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3">
        <f t="shared" si="0"/>
        <v>43374.97</v>
      </c>
    </row>
    <row r="19" spans="1:17">
      <c r="A19" s="17">
        <f t="shared" si="1"/>
        <v>5</v>
      </c>
      <c r="B19" s="18" t="s">
        <v>26</v>
      </c>
      <c r="C19" s="19" t="s">
        <v>27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3">
        <f t="shared" si="0"/>
        <v>0</v>
      </c>
    </row>
    <row r="20" spans="1:17">
      <c r="A20" s="17">
        <f t="shared" si="1"/>
        <v>6</v>
      </c>
      <c r="B20" s="18" t="s">
        <v>28</v>
      </c>
      <c r="C20" s="19" t="s">
        <v>25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3">
        <f t="shared" si="0"/>
        <v>0</v>
      </c>
    </row>
    <row r="21" spans="1:17">
      <c r="A21" s="17">
        <f t="shared" si="1"/>
        <v>7</v>
      </c>
      <c r="B21" s="24">
        <v>3761</v>
      </c>
      <c r="C21" s="25" t="s">
        <v>29</v>
      </c>
      <c r="D21" s="22">
        <f>(380326.050000012+D63)+0</f>
        <v>142428.630000012</v>
      </c>
      <c r="E21" s="22">
        <f>(507101.399999991+E63)+0</f>
        <v>189904.839999991</v>
      </c>
      <c r="F21" s="22">
        <f>(633876.75+F63)+2020697.36</f>
        <v>2258078.41</v>
      </c>
      <c r="G21" s="22">
        <f>(1014202.8+G63)+0</f>
        <v>379809.68000000005</v>
      </c>
      <c r="H21" s="22">
        <f>(1014202.80000001+H63)+0</f>
        <v>379809.68000000995</v>
      </c>
      <c r="I21" s="22">
        <f>(1014202.8+I63)+1440563.13</f>
        <v>1820372.81</v>
      </c>
      <c r="J21" s="22">
        <f>(1140978.14999999+J63)+0</f>
        <v>427285.88999998989</v>
      </c>
      <c r="K21" s="22">
        <f>(1140978.15000001+K63)+0</f>
        <v>427285.89000000991</v>
      </c>
      <c r="L21" s="22">
        <f>(1140978.15000001+L63)+58369.89</f>
        <v>485655.78000000992</v>
      </c>
      <c r="M21" s="22">
        <f>(1140978.14999999+M63)+0</f>
        <v>427285.88999998989</v>
      </c>
      <c r="N21" s="22">
        <f>(1014202.8+N63)+0</f>
        <v>379809.68000000005</v>
      </c>
      <c r="O21" s="22">
        <f>(2535507+O63)+58369.89</f>
        <v>1007894.09</v>
      </c>
      <c r="P21" s="119">
        <f>SUM(D21:O21)</f>
        <v>8325621.2700000126</v>
      </c>
    </row>
    <row r="22" spans="1:17">
      <c r="A22" s="17">
        <f t="shared" si="1"/>
        <v>8</v>
      </c>
      <c r="B22" s="24">
        <v>3762</v>
      </c>
      <c r="C22" s="25" t="s">
        <v>30</v>
      </c>
      <c r="D22" s="22">
        <v>0</v>
      </c>
      <c r="E22" s="22">
        <v>0</v>
      </c>
      <c r="F22" s="22">
        <v>174444.22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3">
        <f t="shared" si="0"/>
        <v>174444.22</v>
      </c>
    </row>
    <row r="23" spans="1:17">
      <c r="A23" s="17">
        <f t="shared" si="1"/>
        <v>9</v>
      </c>
      <c r="B23" s="24" t="s">
        <v>31</v>
      </c>
      <c r="C23" s="25" t="s">
        <v>32</v>
      </c>
      <c r="D23" s="22">
        <v>879049</v>
      </c>
      <c r="E23" s="22">
        <v>966348</v>
      </c>
      <c r="F23" s="22">
        <v>1718500</v>
      </c>
      <c r="G23" s="22">
        <f>1807600+G64</f>
        <v>755000</v>
      </c>
      <c r="H23" s="22">
        <f>1807600+H64</f>
        <v>540000</v>
      </c>
      <c r="I23" s="22">
        <f>327600+I64</f>
        <v>265000</v>
      </c>
      <c r="J23" s="22">
        <f>368550+J64</f>
        <v>250000</v>
      </c>
      <c r="K23" s="22">
        <f>368550+K64</f>
        <v>0</v>
      </c>
      <c r="L23" s="22">
        <f>368550+L64</f>
        <v>0</v>
      </c>
      <c r="M23" s="22">
        <f>368550+M64</f>
        <v>0</v>
      </c>
      <c r="N23" s="72">
        <f>327600+N64</f>
        <v>0</v>
      </c>
      <c r="O23" s="22">
        <f>819000+O64</f>
        <v>0</v>
      </c>
      <c r="P23" s="23">
        <f>SUM(D23:O23)</f>
        <v>5373897</v>
      </c>
      <c r="Q23" s="23">
        <f>11600000-P23</f>
        <v>6226103</v>
      </c>
    </row>
    <row r="24" spans="1:17">
      <c r="A24" s="17">
        <f t="shared" si="1"/>
        <v>10</v>
      </c>
      <c r="B24" s="18" t="s">
        <v>33</v>
      </c>
      <c r="C24" s="19" t="s">
        <v>34</v>
      </c>
      <c r="D24" s="22">
        <v>0</v>
      </c>
      <c r="E24" s="22">
        <v>0</v>
      </c>
      <c r="F24" s="22">
        <v>40250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1052999.9999999998</v>
      </c>
      <c r="P24" s="23">
        <f t="shared" si="0"/>
        <v>1093249.9999999998</v>
      </c>
    </row>
    <row r="25" spans="1:17">
      <c r="A25" s="17">
        <f t="shared" si="1"/>
        <v>11</v>
      </c>
      <c r="B25" s="18" t="s">
        <v>35</v>
      </c>
      <c r="C25" s="19" t="s">
        <v>36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3">
        <f t="shared" si="0"/>
        <v>0</v>
      </c>
    </row>
    <row r="26" spans="1:17">
      <c r="A26" s="17">
        <f t="shared" si="1"/>
        <v>12</v>
      </c>
      <c r="B26" s="18">
        <v>3801</v>
      </c>
      <c r="C26" s="19" t="s">
        <v>37</v>
      </c>
      <c r="D26" s="72">
        <v>83150.644889968331</v>
      </c>
      <c r="E26" s="72">
        <v>110867.52651995778</v>
      </c>
      <c r="F26" s="72">
        <v>138584.40814994724</v>
      </c>
      <c r="G26" s="72">
        <v>221735.05303991557</v>
      </c>
      <c r="H26" s="72">
        <v>221735.05303991557</v>
      </c>
      <c r="I26" s="72">
        <v>221735.05303991557</v>
      </c>
      <c r="J26" s="72">
        <v>249451.93466990499</v>
      </c>
      <c r="K26" s="72">
        <v>249451.93466990499</v>
      </c>
      <c r="L26" s="72">
        <v>249451.93466990499</v>
      </c>
      <c r="M26" s="72">
        <v>249451.93466990499</v>
      </c>
      <c r="N26" s="72">
        <v>221735.05303991557</v>
      </c>
      <c r="O26" s="72">
        <v>554337.63259978895</v>
      </c>
      <c r="P26" s="23">
        <f t="shared" si="0"/>
        <v>2771688.1629989445</v>
      </c>
    </row>
    <row r="27" spans="1:17">
      <c r="A27" s="17">
        <f t="shared" si="1"/>
        <v>13</v>
      </c>
      <c r="B27" s="18">
        <v>3802</v>
      </c>
      <c r="C27" s="19" t="s">
        <v>38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23">
        <f t="shared" si="0"/>
        <v>0</v>
      </c>
    </row>
    <row r="28" spans="1:17">
      <c r="A28" s="17">
        <f t="shared" si="1"/>
        <v>14</v>
      </c>
      <c r="B28" s="18" t="s">
        <v>39</v>
      </c>
      <c r="C28" s="19" t="s">
        <v>40</v>
      </c>
      <c r="D28" s="72">
        <v>192112</v>
      </c>
      <c r="E28" s="72">
        <v>218573</v>
      </c>
      <c r="F28" s="72">
        <f>607750+F66</f>
        <v>1050000</v>
      </c>
      <c r="G28" s="72">
        <f>660400+G66</f>
        <v>550000</v>
      </c>
      <c r="H28" s="72">
        <f>660400+H66</f>
        <v>550000</v>
      </c>
      <c r="I28" s="72">
        <f>140400+I66</f>
        <v>450000</v>
      </c>
      <c r="J28" s="72">
        <f>157950+J66</f>
        <v>400000</v>
      </c>
      <c r="K28" s="72">
        <f>157950+K66</f>
        <v>300000</v>
      </c>
      <c r="L28" s="72">
        <f>157950+L66</f>
        <v>300000</v>
      </c>
      <c r="M28" s="72">
        <f>157950+M66</f>
        <v>100000</v>
      </c>
      <c r="N28" s="72">
        <f>140400+N66</f>
        <v>0</v>
      </c>
      <c r="O28" s="72">
        <f>351000+O66</f>
        <v>0</v>
      </c>
      <c r="P28" s="23">
        <f t="shared" si="0"/>
        <v>4110685</v>
      </c>
    </row>
    <row r="29" spans="1:17">
      <c r="A29" s="17">
        <f t="shared" si="1"/>
        <v>15</v>
      </c>
      <c r="B29" s="18" t="s">
        <v>41</v>
      </c>
      <c r="C29" s="19" t="s">
        <v>42</v>
      </c>
      <c r="D29" s="72">
        <v>24061.210769600519</v>
      </c>
      <c r="E29" s="72">
        <v>32081.614359467654</v>
      </c>
      <c r="F29" s="72">
        <v>40102.017949334346</v>
      </c>
      <c r="G29" s="72">
        <v>64163.228718935308</v>
      </c>
      <c r="H29" s="72">
        <v>64163.228718934857</v>
      </c>
      <c r="I29" s="72">
        <v>64163.228718935308</v>
      </c>
      <c r="J29" s="72">
        <v>72183.632308802</v>
      </c>
      <c r="K29" s="72">
        <v>72183.632308802</v>
      </c>
      <c r="L29" s="72">
        <v>72183.632308801563</v>
      </c>
      <c r="M29" s="72">
        <v>72183.632308802436</v>
      </c>
      <c r="N29" s="72">
        <v>64163.228718935308</v>
      </c>
      <c r="O29" s="72">
        <v>160408.071797337</v>
      </c>
      <c r="P29" s="23">
        <f t="shared" si="0"/>
        <v>802040.3589866882</v>
      </c>
    </row>
    <row r="30" spans="1:17">
      <c r="A30" s="17">
        <f t="shared" si="1"/>
        <v>16</v>
      </c>
      <c r="B30" s="18">
        <v>3811</v>
      </c>
      <c r="C30" s="19" t="s">
        <v>43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23">
        <f t="shared" si="0"/>
        <v>0</v>
      </c>
    </row>
    <row r="31" spans="1:17">
      <c r="A31" s="17">
        <f t="shared" si="1"/>
        <v>17</v>
      </c>
      <c r="B31" s="18" t="s">
        <v>44</v>
      </c>
      <c r="C31" s="19" t="s">
        <v>45</v>
      </c>
      <c r="D31" s="72">
        <v>5985.2229607679419</v>
      </c>
      <c r="E31" s="72">
        <v>7980.2972810239962</v>
      </c>
      <c r="F31" s="72">
        <v>9975.3716012799396</v>
      </c>
      <c r="G31" s="72">
        <v>15960.594562047992</v>
      </c>
      <c r="H31" s="72">
        <v>15960.594562047881</v>
      </c>
      <c r="I31" s="72">
        <v>15960.594562047992</v>
      </c>
      <c r="J31" s="72">
        <v>17955.668882303937</v>
      </c>
      <c r="K31" s="72">
        <v>17955.668882303937</v>
      </c>
      <c r="L31" s="72">
        <v>17955.668882303828</v>
      </c>
      <c r="M31" s="72">
        <v>17955.668882304046</v>
      </c>
      <c r="N31" s="72">
        <v>15960.594562047992</v>
      </c>
      <c r="O31" s="72">
        <v>39901.486405119758</v>
      </c>
      <c r="P31" s="23">
        <f t="shared" si="0"/>
        <v>199507.43202559926</v>
      </c>
    </row>
    <row r="32" spans="1:17">
      <c r="A32" s="17">
        <f t="shared" si="1"/>
        <v>18</v>
      </c>
      <c r="B32" s="18">
        <v>3821</v>
      </c>
      <c r="C32" s="25" t="s">
        <v>46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23">
        <f t="shared" si="0"/>
        <v>0</v>
      </c>
    </row>
    <row r="33" spans="1:16">
      <c r="A33" s="17">
        <f t="shared" si="1"/>
        <v>19</v>
      </c>
      <c r="B33" s="18" t="s">
        <v>47</v>
      </c>
      <c r="C33" s="19" t="s">
        <v>48</v>
      </c>
      <c r="D33" s="72">
        <v>4099.1366402218719</v>
      </c>
      <c r="E33" s="72">
        <v>5465.5155202960941</v>
      </c>
      <c r="F33" s="72">
        <v>6831.8944003699189</v>
      </c>
      <c r="G33" s="72">
        <v>10931.03104059179</v>
      </c>
      <c r="H33" s="72">
        <v>10931.03104059179</v>
      </c>
      <c r="I33" s="72">
        <v>10931.03104059179</v>
      </c>
      <c r="J33" s="72">
        <v>12297.409920666012</v>
      </c>
      <c r="K33" s="72">
        <v>12297.409920666012</v>
      </c>
      <c r="L33" s="72">
        <v>12297.409920665614</v>
      </c>
      <c r="M33" s="72">
        <v>12297.409920666012</v>
      </c>
      <c r="N33" s="72">
        <v>10931.03104059179</v>
      </c>
      <c r="O33" s="72">
        <v>27327.577601479676</v>
      </c>
      <c r="P33" s="23">
        <f t="shared" si="0"/>
        <v>136637.88800739837</v>
      </c>
    </row>
    <row r="34" spans="1:16">
      <c r="A34" s="17">
        <f t="shared" si="1"/>
        <v>20</v>
      </c>
      <c r="B34" s="18" t="s">
        <v>49</v>
      </c>
      <c r="C34" s="19" t="s">
        <v>50</v>
      </c>
      <c r="D34" s="72">
        <v>665.02477341814495</v>
      </c>
      <c r="E34" s="72">
        <v>886.69969789090271</v>
      </c>
      <c r="F34" s="72">
        <v>1108.374622363596</v>
      </c>
      <c r="G34" s="72">
        <v>1773.3993957817408</v>
      </c>
      <c r="H34" s="72">
        <v>1773.3993957817408</v>
      </c>
      <c r="I34" s="72">
        <v>1773.3993957817408</v>
      </c>
      <c r="J34" s="72">
        <v>1995.0743202544986</v>
      </c>
      <c r="K34" s="72">
        <v>1995.0743202544986</v>
      </c>
      <c r="L34" s="72">
        <v>1995.074320254434</v>
      </c>
      <c r="M34" s="72">
        <v>1995.0743202544986</v>
      </c>
      <c r="N34" s="72">
        <v>1773.3993957817408</v>
      </c>
      <c r="O34" s="72">
        <v>4433.4984894543841</v>
      </c>
      <c r="P34" s="23">
        <f t="shared" si="0"/>
        <v>22167.492447271921</v>
      </c>
    </row>
    <row r="35" spans="1:16">
      <c r="A35" s="17">
        <f t="shared" si="1"/>
        <v>21</v>
      </c>
      <c r="B35" s="18" t="s">
        <v>51</v>
      </c>
      <c r="C35" s="19" t="s">
        <v>52</v>
      </c>
      <c r="D35" s="72">
        <v>20489.61</v>
      </c>
      <c r="E35" s="72">
        <v>27319.479999999981</v>
      </c>
      <c r="F35" s="72">
        <v>37718</v>
      </c>
      <c r="G35" s="72">
        <v>54638.960000000021</v>
      </c>
      <c r="H35" s="72">
        <v>54638.960000000021</v>
      </c>
      <c r="I35" s="72">
        <v>58208</v>
      </c>
      <c r="J35" s="72">
        <v>61468.829999999958</v>
      </c>
      <c r="K35" s="72">
        <v>61468.830000000016</v>
      </c>
      <c r="L35" s="72">
        <v>61468.829999999958</v>
      </c>
      <c r="M35" s="72">
        <v>61468.830000000075</v>
      </c>
      <c r="N35" s="72">
        <v>54638.959999999963</v>
      </c>
      <c r="O35" s="72">
        <v>136597.40000000002</v>
      </c>
      <c r="P35" s="23">
        <f t="shared" si="0"/>
        <v>690124.69000000006</v>
      </c>
    </row>
    <row r="36" spans="1:16">
      <c r="A36" s="17">
        <f t="shared" si="1"/>
        <v>22</v>
      </c>
      <c r="B36" s="18" t="s">
        <v>53</v>
      </c>
      <c r="C36" s="19" t="s">
        <v>54</v>
      </c>
      <c r="D36" s="72">
        <v>17238</v>
      </c>
      <c r="E36" s="72">
        <v>22984</v>
      </c>
      <c r="F36" s="72">
        <v>28730</v>
      </c>
      <c r="G36" s="72">
        <v>45968</v>
      </c>
      <c r="H36" s="72">
        <v>45968</v>
      </c>
      <c r="I36" s="72">
        <v>45968</v>
      </c>
      <c r="J36" s="72">
        <v>51714</v>
      </c>
      <c r="K36" s="72">
        <v>51714</v>
      </c>
      <c r="L36" s="72">
        <v>51714</v>
      </c>
      <c r="M36" s="72">
        <v>51714</v>
      </c>
      <c r="N36" s="72">
        <v>45968</v>
      </c>
      <c r="O36" s="72">
        <v>114920</v>
      </c>
      <c r="P36" s="23">
        <f t="shared" si="0"/>
        <v>574600</v>
      </c>
    </row>
    <row r="37" spans="1:16">
      <c r="A37" s="17">
        <f t="shared" si="1"/>
        <v>23</v>
      </c>
      <c r="B37" s="18" t="s">
        <v>55</v>
      </c>
      <c r="C37" s="19" t="s">
        <v>27</v>
      </c>
      <c r="D37" s="22">
        <v>38333</v>
      </c>
      <c r="E37" s="22">
        <v>38333</v>
      </c>
      <c r="F37" s="22">
        <v>38333</v>
      </c>
      <c r="G37" s="22">
        <v>38333</v>
      </c>
      <c r="H37" s="22">
        <v>38333</v>
      </c>
      <c r="I37" s="22">
        <v>38333</v>
      </c>
      <c r="J37" s="22">
        <v>38333</v>
      </c>
      <c r="K37" s="22">
        <v>38333</v>
      </c>
      <c r="L37" s="22">
        <v>38334</v>
      </c>
      <c r="M37" s="22">
        <v>38334</v>
      </c>
      <c r="N37" s="22">
        <v>38334</v>
      </c>
      <c r="O37" s="22">
        <v>38334</v>
      </c>
      <c r="P37" s="23">
        <f t="shared" si="0"/>
        <v>460000</v>
      </c>
    </row>
    <row r="38" spans="1:16">
      <c r="A38" s="17">
        <f t="shared" si="1"/>
        <v>24</v>
      </c>
      <c r="B38" s="18" t="s">
        <v>56</v>
      </c>
      <c r="C38" s="19" t="s">
        <v>25</v>
      </c>
      <c r="D38" s="22">
        <v>0</v>
      </c>
      <c r="E38" s="22">
        <v>0</v>
      </c>
      <c r="F38" s="22">
        <v>153394.22</v>
      </c>
      <c r="G38" s="22">
        <v>0</v>
      </c>
      <c r="H38" s="22">
        <v>0</v>
      </c>
      <c r="I38" s="22">
        <v>153394.23000000001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f>(0+O68)+0</f>
        <v>1800000</v>
      </c>
      <c r="P38" s="23">
        <f t="shared" si="0"/>
        <v>2106788.4500000002</v>
      </c>
    </row>
    <row r="39" spans="1:16">
      <c r="A39" s="17">
        <f t="shared" si="1"/>
        <v>25</v>
      </c>
      <c r="B39" s="18">
        <v>3910</v>
      </c>
      <c r="C39" s="79" t="s">
        <v>57</v>
      </c>
      <c r="D39" s="80">
        <v>2550</v>
      </c>
      <c r="E39" s="80">
        <v>3400</v>
      </c>
      <c r="F39" s="80">
        <v>4250</v>
      </c>
      <c r="G39" s="80">
        <v>6800</v>
      </c>
      <c r="H39" s="80">
        <v>1020176</v>
      </c>
      <c r="I39" s="80">
        <v>6800</v>
      </c>
      <c r="J39" s="80">
        <v>7650</v>
      </c>
      <c r="K39" s="80">
        <v>7650</v>
      </c>
      <c r="L39" s="80">
        <v>7650</v>
      </c>
      <c r="M39" s="80">
        <v>7650</v>
      </c>
      <c r="N39" s="80">
        <v>6800</v>
      </c>
      <c r="O39" s="80">
        <v>17000</v>
      </c>
      <c r="P39" s="81">
        <f t="shared" si="0"/>
        <v>1098376</v>
      </c>
    </row>
    <row r="40" spans="1:16">
      <c r="A40" s="17">
        <f t="shared" si="1"/>
        <v>26</v>
      </c>
      <c r="B40" s="18">
        <v>3911</v>
      </c>
      <c r="C40" s="79" t="s">
        <v>58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1">
        <f t="shared" si="0"/>
        <v>0</v>
      </c>
    </row>
    <row r="41" spans="1:16">
      <c r="A41" s="17">
        <f t="shared" si="1"/>
        <v>27</v>
      </c>
      <c r="B41" s="18">
        <v>3912</v>
      </c>
      <c r="C41" s="79" t="s">
        <v>59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1">
        <f t="shared" si="0"/>
        <v>0</v>
      </c>
    </row>
    <row r="42" spans="1:16">
      <c r="A42" s="17">
        <f t="shared" si="1"/>
        <v>28</v>
      </c>
      <c r="B42" s="18">
        <v>3913</v>
      </c>
      <c r="C42" s="79" t="s">
        <v>60</v>
      </c>
      <c r="D42" s="80">
        <v>3000</v>
      </c>
      <c r="E42" s="80">
        <v>4000</v>
      </c>
      <c r="F42" s="80">
        <v>5000</v>
      </c>
      <c r="G42" s="80">
        <v>8000</v>
      </c>
      <c r="H42" s="80">
        <v>8000</v>
      </c>
      <c r="I42" s="80">
        <v>8000</v>
      </c>
      <c r="J42" s="80">
        <v>9000</v>
      </c>
      <c r="K42" s="80">
        <v>9000</v>
      </c>
      <c r="L42" s="80">
        <v>9000</v>
      </c>
      <c r="M42" s="80">
        <v>9000</v>
      </c>
      <c r="N42" s="80">
        <v>8000</v>
      </c>
      <c r="O42" s="80">
        <v>20000</v>
      </c>
      <c r="P42" s="81">
        <f t="shared" si="0"/>
        <v>100000</v>
      </c>
    </row>
    <row r="43" spans="1:16">
      <c r="A43" s="17">
        <f t="shared" si="1"/>
        <v>29</v>
      </c>
      <c r="B43" s="18">
        <v>3914</v>
      </c>
      <c r="C43" s="79" t="s">
        <v>61</v>
      </c>
      <c r="D43" s="80">
        <v>2595</v>
      </c>
      <c r="E43" s="80">
        <v>3460</v>
      </c>
      <c r="F43" s="80">
        <v>4325</v>
      </c>
      <c r="G43" s="80">
        <v>6920</v>
      </c>
      <c r="H43" s="80">
        <v>6920</v>
      </c>
      <c r="I43" s="80">
        <v>6920</v>
      </c>
      <c r="J43" s="80">
        <v>7785</v>
      </c>
      <c r="K43" s="80">
        <v>7785</v>
      </c>
      <c r="L43" s="80">
        <v>7785</v>
      </c>
      <c r="M43" s="80">
        <v>7785</v>
      </c>
      <c r="N43" s="80">
        <v>6920</v>
      </c>
      <c r="O43" s="80">
        <v>17300</v>
      </c>
      <c r="P43" s="81">
        <f t="shared" si="0"/>
        <v>86500</v>
      </c>
    </row>
    <row r="44" spans="1:16">
      <c r="A44" s="17">
        <f t="shared" si="1"/>
        <v>30</v>
      </c>
      <c r="B44" s="18">
        <v>392</v>
      </c>
      <c r="C44" s="82" t="s">
        <v>62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4">
        <f t="shared" si="0"/>
        <v>0</v>
      </c>
    </row>
    <row r="45" spans="1:16">
      <c r="A45" s="17">
        <f t="shared" si="1"/>
        <v>31</v>
      </c>
      <c r="B45" s="18">
        <v>3921</v>
      </c>
      <c r="C45" s="82" t="s">
        <v>63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215000</v>
      </c>
      <c r="N45" s="83">
        <v>0</v>
      </c>
      <c r="O45" s="83">
        <v>0</v>
      </c>
      <c r="P45" s="84">
        <f t="shared" si="0"/>
        <v>215000</v>
      </c>
    </row>
    <row r="46" spans="1:16">
      <c r="A46" s="17">
        <f t="shared" si="1"/>
        <v>32</v>
      </c>
      <c r="B46" s="18">
        <v>3922</v>
      </c>
      <c r="C46" s="82" t="s">
        <v>64</v>
      </c>
      <c r="D46" s="83">
        <v>0</v>
      </c>
      <c r="E46" s="83">
        <v>0</v>
      </c>
      <c r="F46" s="83">
        <v>22587.200000000004</v>
      </c>
      <c r="G46" s="83">
        <v>0</v>
      </c>
      <c r="H46" s="83">
        <v>0</v>
      </c>
      <c r="I46" s="83">
        <v>6066.42</v>
      </c>
      <c r="J46" s="83">
        <v>0</v>
      </c>
      <c r="K46" s="83">
        <v>0</v>
      </c>
      <c r="L46" s="83">
        <v>0</v>
      </c>
      <c r="M46" s="83">
        <v>561750</v>
      </c>
      <c r="N46" s="83">
        <v>0</v>
      </c>
      <c r="O46" s="83">
        <v>0</v>
      </c>
      <c r="P46" s="84">
        <f t="shared" si="0"/>
        <v>590403.62</v>
      </c>
    </row>
    <row r="47" spans="1:16">
      <c r="A47" s="17">
        <f t="shared" si="1"/>
        <v>33</v>
      </c>
      <c r="B47" s="18">
        <v>3924</v>
      </c>
      <c r="C47" s="82" t="s">
        <v>65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4">
        <f t="shared" si="0"/>
        <v>0</v>
      </c>
    </row>
    <row r="48" spans="1:16">
      <c r="A48" s="17">
        <f t="shared" si="1"/>
        <v>34</v>
      </c>
      <c r="B48" s="18" t="s">
        <v>66</v>
      </c>
      <c r="C48" s="19" t="s">
        <v>67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3">
        <f t="shared" si="0"/>
        <v>0</v>
      </c>
    </row>
    <row r="49" spans="1:16">
      <c r="A49" s="17">
        <f t="shared" si="1"/>
        <v>35</v>
      </c>
      <c r="B49" s="18" t="s">
        <v>68</v>
      </c>
      <c r="C49" s="19" t="s">
        <v>69</v>
      </c>
      <c r="D49" s="72">
        <v>6582</v>
      </c>
      <c r="E49" s="72">
        <v>8776</v>
      </c>
      <c r="F49" s="72">
        <v>19022</v>
      </c>
      <c r="G49" s="72">
        <v>17552</v>
      </c>
      <c r="H49" s="72">
        <v>17552</v>
      </c>
      <c r="I49" s="72">
        <v>25603.67</v>
      </c>
      <c r="J49" s="72">
        <v>19746</v>
      </c>
      <c r="K49" s="72">
        <v>19746</v>
      </c>
      <c r="L49" s="72">
        <v>19746</v>
      </c>
      <c r="M49" s="72">
        <v>19746</v>
      </c>
      <c r="N49" s="72">
        <v>17552</v>
      </c>
      <c r="O49" s="72">
        <v>43880</v>
      </c>
      <c r="P49" s="23">
        <f t="shared" si="0"/>
        <v>235503.66999999998</v>
      </c>
    </row>
    <row r="50" spans="1:16">
      <c r="A50" s="17">
        <f t="shared" si="1"/>
        <v>36</v>
      </c>
      <c r="B50" s="18" t="s">
        <v>70</v>
      </c>
      <c r="C50" s="19" t="s">
        <v>71</v>
      </c>
      <c r="D50" s="22">
        <v>0</v>
      </c>
      <c r="E50" s="22">
        <v>0</v>
      </c>
      <c r="F50" s="22">
        <v>43597.270000000004</v>
      </c>
      <c r="G50" s="22">
        <v>0</v>
      </c>
      <c r="H50" s="22">
        <v>0</v>
      </c>
      <c r="I50" s="22">
        <v>43597.29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3">
        <f t="shared" si="0"/>
        <v>87194.559999999998</v>
      </c>
    </row>
    <row r="51" spans="1:16">
      <c r="A51" s="17">
        <f t="shared" si="1"/>
        <v>37</v>
      </c>
      <c r="B51" s="18" t="s">
        <v>72</v>
      </c>
      <c r="C51" s="19" t="s">
        <v>73</v>
      </c>
      <c r="D51" s="22">
        <v>0</v>
      </c>
      <c r="E51" s="22">
        <v>0</v>
      </c>
      <c r="F51" s="22">
        <v>5500.01</v>
      </c>
      <c r="G51" s="22">
        <v>0</v>
      </c>
      <c r="H51" s="22">
        <v>0</v>
      </c>
      <c r="I51" s="22">
        <v>5499.99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3">
        <f t="shared" si="0"/>
        <v>11000</v>
      </c>
    </row>
    <row r="52" spans="1:16">
      <c r="A52" s="17">
        <f t="shared" si="1"/>
        <v>38</v>
      </c>
      <c r="B52" s="18" t="s">
        <v>74</v>
      </c>
      <c r="C52" s="19" t="s">
        <v>75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3">
        <f t="shared" si="0"/>
        <v>0</v>
      </c>
    </row>
    <row r="53" spans="1:16">
      <c r="A53" s="26"/>
      <c r="B53" s="27"/>
      <c r="C53" s="4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</row>
    <row r="54" spans="1:16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5.75" thickBot="1">
      <c r="A55" s="26">
        <v>39</v>
      </c>
      <c r="C55" s="1" t="s">
        <v>76</v>
      </c>
      <c r="D55" s="31">
        <f t="shared" ref="D55:O55" si="2">SUM(D15:D54)</f>
        <v>1422338.4800339891</v>
      </c>
      <c r="E55" s="31">
        <f t="shared" si="2"/>
        <v>1640379.9733786276</v>
      </c>
      <c r="F55" s="31">
        <f t="shared" si="2"/>
        <v>5822018.8867232958</v>
      </c>
      <c r="G55" s="31">
        <f t="shared" si="2"/>
        <v>2177584.9467572728</v>
      </c>
      <c r="H55" s="31">
        <f t="shared" si="2"/>
        <v>2975960.9467572821</v>
      </c>
      <c r="I55" s="31">
        <f t="shared" si="2"/>
        <v>3270014.1967572724</v>
      </c>
      <c r="J55" s="31">
        <f t="shared" si="2"/>
        <v>1626866.4401019211</v>
      </c>
      <c r="K55" s="31">
        <f t="shared" si="2"/>
        <v>1276866.4401019413</v>
      </c>
      <c r="L55" s="31">
        <f t="shared" si="2"/>
        <v>1335237.3301019403</v>
      </c>
      <c r="M55" s="31">
        <f t="shared" si="2"/>
        <v>1853617.440101922</v>
      </c>
      <c r="N55" s="31">
        <f t="shared" si="2"/>
        <v>872585.94675727224</v>
      </c>
      <c r="O55" s="31">
        <f t="shared" si="2"/>
        <v>5035333.7568931794</v>
      </c>
      <c r="P55" s="120">
        <f>SUM(P15:P54)</f>
        <v>29308804.784465916</v>
      </c>
    </row>
    <row r="56" spans="1:16" ht="15.75" thickTop="1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.75" thickBo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1" t="s">
        <v>77</v>
      </c>
      <c r="D58" s="29"/>
      <c r="E58" s="29"/>
      <c r="F58" s="29"/>
      <c r="G58" s="29"/>
      <c r="H58" s="29"/>
      <c r="I58" s="29"/>
      <c r="J58" s="33" t="s">
        <v>78</v>
      </c>
      <c r="K58" s="29"/>
      <c r="L58" s="29"/>
      <c r="M58" s="29"/>
      <c r="N58" s="29"/>
      <c r="P58" s="29"/>
    </row>
    <row r="59" spans="1:16">
      <c r="A59" s="3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2" spans="1:16">
      <c r="A62" s="4" t="s">
        <v>138</v>
      </c>
    </row>
    <row r="63" spans="1:16">
      <c r="C63" s="2" t="s">
        <v>139</v>
      </c>
      <c r="D63" s="22">
        <v>-237897.41999999998</v>
      </c>
      <c r="E63" s="22">
        <v>-317196.56</v>
      </c>
      <c r="F63" s="22">
        <v>-396495.7</v>
      </c>
      <c r="G63" s="22">
        <v>-634393.12</v>
      </c>
      <c r="H63" s="22">
        <v>-634393.12</v>
      </c>
      <c r="I63" s="22">
        <v>-634393.12</v>
      </c>
      <c r="J63" s="22">
        <v>-713692.26</v>
      </c>
      <c r="K63" s="22">
        <v>-713692.26</v>
      </c>
      <c r="L63" s="22">
        <v>-713692.26</v>
      </c>
      <c r="M63" s="22">
        <v>-713692.26</v>
      </c>
      <c r="N63" s="22">
        <v>-634393.12</v>
      </c>
      <c r="O63" s="22">
        <v>-1585982.8</v>
      </c>
    </row>
    <row r="64" spans="1:16">
      <c r="C64" s="2" t="s">
        <v>140</v>
      </c>
      <c r="D64" s="22">
        <v>-1028350</v>
      </c>
      <c r="E64" s="22">
        <v>-782799</v>
      </c>
      <c r="F64" s="22">
        <v>28250</v>
      </c>
      <c r="G64" s="22">
        <v>-1052600</v>
      </c>
      <c r="H64" s="22">
        <v>-1267600</v>
      </c>
      <c r="I64" s="22">
        <v>-62600</v>
      </c>
      <c r="J64" s="22">
        <f>988367-1106917</f>
        <v>-118550</v>
      </c>
      <c r="K64" s="22">
        <f>738367-1106917</f>
        <v>-368550</v>
      </c>
      <c r="L64" s="22">
        <f>738367-1106917</f>
        <v>-368550</v>
      </c>
      <c r="M64" s="22">
        <f>738367-1106917</f>
        <v>-368550</v>
      </c>
      <c r="N64" s="22">
        <f>779317-1106917</f>
        <v>-327600</v>
      </c>
      <c r="O64" s="22">
        <f>287914-1106914</f>
        <v>-819000</v>
      </c>
    </row>
    <row r="65" spans="3:15">
      <c r="C65" s="2" t="s">
        <v>141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</row>
    <row r="66" spans="3:15">
      <c r="C66" s="2" t="s">
        <v>142</v>
      </c>
      <c r="D66" s="22">
        <v>-302650</v>
      </c>
      <c r="E66" s="22">
        <v>-310200</v>
      </c>
      <c r="F66" s="22">
        <v>442250</v>
      </c>
      <c r="G66" s="22">
        <v>-110400</v>
      </c>
      <c r="H66" s="22">
        <v>-110400</v>
      </c>
      <c r="I66" s="22">
        <v>309600</v>
      </c>
      <c r="J66" s="22">
        <v>242050</v>
      </c>
      <c r="K66" s="22">
        <f>142050</f>
        <v>142050</v>
      </c>
      <c r="L66" s="22">
        <f>142050</f>
        <v>142050</v>
      </c>
      <c r="M66" s="22">
        <f>-57950</f>
        <v>-57950</v>
      </c>
      <c r="N66" s="22">
        <v>-140400</v>
      </c>
      <c r="O66" s="22">
        <v>-351000</v>
      </c>
    </row>
    <row r="67" spans="3:15">
      <c r="C67" s="2" t="s">
        <v>143</v>
      </c>
      <c r="D67" s="22">
        <v>-118800</v>
      </c>
      <c r="E67" s="22">
        <v>-158400</v>
      </c>
      <c r="F67" s="22">
        <v>-198000</v>
      </c>
      <c r="G67" s="22">
        <v>-316800</v>
      </c>
      <c r="H67" s="22">
        <v>-316800</v>
      </c>
      <c r="I67" s="22">
        <v>-316800</v>
      </c>
      <c r="J67" s="22">
        <v>-356400</v>
      </c>
      <c r="K67" s="22">
        <v>-356400</v>
      </c>
      <c r="L67" s="22">
        <v>-356400</v>
      </c>
      <c r="M67" s="22">
        <v>-356400</v>
      </c>
      <c r="N67" s="22">
        <v>-316800</v>
      </c>
      <c r="O67" s="22">
        <v>-2592000</v>
      </c>
    </row>
    <row r="68" spans="3:15">
      <c r="C68" s="2" t="s">
        <v>144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1800000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H1" workbookViewId="0">
      <selection activeCell="S16" sqref="S16"/>
    </sheetView>
  </sheetViews>
  <sheetFormatPr defaultColWidth="18.7109375" defaultRowHeight="15"/>
  <cols>
    <col min="1" max="1" width="13.7109375" style="90" customWidth="1"/>
    <col min="2" max="2" width="47.140625" style="90" customWidth="1"/>
    <col min="3" max="16384" width="18.7109375" style="90"/>
  </cols>
  <sheetData>
    <row r="1" spans="1:17" ht="15.75">
      <c r="A1" s="88" t="s">
        <v>0</v>
      </c>
      <c r="B1" s="52" t="s">
        <v>1</v>
      </c>
      <c r="C1" s="52"/>
      <c r="D1" s="52"/>
      <c r="E1" s="52" t="s">
        <v>14</v>
      </c>
      <c r="F1" s="89" t="s">
        <v>115</v>
      </c>
      <c r="G1" s="88"/>
      <c r="H1" s="52"/>
      <c r="I1" s="52"/>
      <c r="J1" s="52"/>
      <c r="K1" s="52"/>
      <c r="L1" s="52"/>
      <c r="M1" s="88" t="s">
        <v>134</v>
      </c>
      <c r="N1" s="52"/>
      <c r="O1" s="52"/>
      <c r="P1" s="88"/>
      <c r="Q1" s="52"/>
    </row>
    <row r="2" spans="1:17" ht="16.5" thickBot="1">
      <c r="A2" s="91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1"/>
    </row>
    <row r="3" spans="1:17" ht="15.75">
      <c r="A3" s="93"/>
      <c r="B3" s="93"/>
      <c r="C3" s="94"/>
      <c r="D3" s="94"/>
      <c r="E3" s="52"/>
      <c r="F3" s="94"/>
      <c r="G3" s="94"/>
      <c r="H3" s="94"/>
      <c r="I3" s="94"/>
      <c r="J3" s="94"/>
      <c r="K3" s="94"/>
      <c r="L3" s="52"/>
      <c r="M3" s="94"/>
      <c r="N3" s="94"/>
      <c r="O3" s="94"/>
      <c r="P3" s="94"/>
      <c r="Q3" s="93"/>
    </row>
    <row r="4" spans="1:17" ht="15.75">
      <c r="A4" s="88" t="s">
        <v>5</v>
      </c>
      <c r="B4" s="52"/>
      <c r="C4" s="52"/>
      <c r="D4" s="52"/>
      <c r="E4" s="52"/>
      <c r="F4" s="95" t="s">
        <v>81</v>
      </c>
      <c r="G4" s="96" t="s">
        <v>117</v>
      </c>
      <c r="H4" s="52"/>
      <c r="I4" s="52"/>
      <c r="J4" s="52"/>
      <c r="K4" s="52"/>
      <c r="L4" s="52"/>
      <c r="M4" s="88" t="s">
        <v>8</v>
      </c>
      <c r="N4" s="52"/>
      <c r="O4" s="52"/>
      <c r="P4" s="88"/>
      <c r="Q4" s="52"/>
    </row>
    <row r="5" spans="1:17" ht="15.75">
      <c r="A5" s="97"/>
      <c r="B5" s="52"/>
      <c r="C5" s="52"/>
      <c r="D5" s="52"/>
      <c r="E5" s="52"/>
      <c r="F5" s="52"/>
      <c r="G5" s="96" t="s">
        <v>135</v>
      </c>
      <c r="H5" s="52"/>
      <c r="I5" s="52"/>
      <c r="J5" s="52"/>
      <c r="K5" s="52"/>
      <c r="L5" s="52"/>
      <c r="M5" s="98" t="s">
        <v>136</v>
      </c>
      <c r="N5" s="52"/>
      <c r="O5" s="52"/>
      <c r="P5" s="98"/>
      <c r="Q5" s="52"/>
    </row>
    <row r="6" spans="1:17" ht="15.75">
      <c r="A6" s="98" t="s">
        <v>11</v>
      </c>
      <c r="B6" s="100" t="str">
        <f>'[1]G1-1'!B6</f>
        <v>Florida Public Utilities Company Consolidated Gas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98" t="s">
        <v>90</v>
      </c>
      <c r="N6" s="52"/>
      <c r="O6" s="52"/>
      <c r="P6" s="98"/>
      <c r="Q6" s="52"/>
    </row>
    <row r="7" spans="1:17" ht="15.75">
      <c r="A7" s="97"/>
      <c r="B7" s="10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15.75">
      <c r="A8" s="98" t="s">
        <v>13</v>
      </c>
      <c r="B8" s="100">
        <f>'[1]G1-1'!B8</f>
        <v>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16.5" thickBot="1">
      <c r="A9" s="10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7" ht="15.7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102"/>
      <c r="L10" s="93"/>
      <c r="M10" s="94"/>
      <c r="N10" s="94"/>
      <c r="O10" s="94"/>
      <c r="P10" s="94"/>
      <c r="Q10" s="93"/>
    </row>
    <row r="11" spans="1:17" ht="15.75">
      <c r="A11" s="88" t="s">
        <v>15</v>
      </c>
      <c r="B11" s="52"/>
      <c r="C11" s="103" t="s">
        <v>123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 t="s">
        <v>124</v>
      </c>
      <c r="Q11" s="52"/>
    </row>
    <row r="12" spans="1:17" ht="15.75">
      <c r="A12" s="93" t="s">
        <v>17</v>
      </c>
      <c r="B12" s="104" t="s">
        <v>125</v>
      </c>
      <c r="C12" s="106">
        <v>44896</v>
      </c>
      <c r="D12" s="106">
        <v>44927</v>
      </c>
      <c r="E12" s="106">
        <v>44958</v>
      </c>
      <c r="F12" s="106">
        <v>44986</v>
      </c>
      <c r="G12" s="106">
        <v>45017</v>
      </c>
      <c r="H12" s="106">
        <v>45047</v>
      </c>
      <c r="I12" s="106">
        <v>45078</v>
      </c>
      <c r="J12" s="106">
        <v>45108</v>
      </c>
      <c r="K12" s="106">
        <v>45139</v>
      </c>
      <c r="L12" s="106">
        <v>45170</v>
      </c>
      <c r="M12" s="106">
        <v>45200</v>
      </c>
      <c r="N12" s="106">
        <v>45231</v>
      </c>
      <c r="O12" s="106">
        <v>45261</v>
      </c>
      <c r="P12" s="104" t="s">
        <v>126</v>
      </c>
      <c r="Q12" s="104" t="s">
        <v>127</v>
      </c>
    </row>
    <row r="13" spans="1:17" ht="16.5" thickBot="1">
      <c r="A13" s="91"/>
      <c r="B13" s="91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  <c r="O13" s="108"/>
      <c r="P13" s="107"/>
      <c r="Q13" s="107"/>
    </row>
    <row r="14" spans="1:17" ht="15.75">
      <c r="A14" s="88"/>
      <c r="B14" s="88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10"/>
    </row>
    <row r="15" spans="1:17" ht="15.75">
      <c r="A15" s="111">
        <v>1</v>
      </c>
      <c r="B15" s="88" t="s">
        <v>128</v>
      </c>
      <c r="C15" s="112">
        <f>'2022 BS with CWIP'!O15</f>
        <v>404058058.78446579</v>
      </c>
      <c r="D15" s="112">
        <f>C15+'2023 plant additions'!D55</f>
        <v>404406653.6918577</v>
      </c>
      <c r="E15" s="112">
        <f>D15+'2023 plant additions'!E55</f>
        <v>404857560.22504693</v>
      </c>
      <c r="F15" s="112">
        <f>E15+'2023 plant additions'!F55</f>
        <v>405410775.39403343</v>
      </c>
      <c r="G15" s="112">
        <f>F15+'2023 plant additions'!G55</f>
        <v>406270919.45041186</v>
      </c>
      <c r="H15" s="112">
        <f>G15+'2023 plant additions'!H55</f>
        <v>407131064.50679028</v>
      </c>
      <c r="I15" s="112">
        <f>H15+'2023 plant additions'!I55</f>
        <v>407991208.5631687</v>
      </c>
      <c r="J15" s="112">
        <f>I15+'2023 plant additions'!J55</f>
        <v>409830964.76534444</v>
      </c>
      <c r="K15" s="112">
        <f>J15+'2023 plant additions'!K55</f>
        <v>410793419.46752018</v>
      </c>
      <c r="L15" s="112">
        <f>K15+'2023 plant additions'!L55</f>
        <v>413861873.16969585</v>
      </c>
      <c r="M15" s="112">
        <f>L15+'2023 plant additions'!M55</f>
        <v>414824326.87187159</v>
      </c>
      <c r="N15" s="112">
        <f>M15+'2023 plant additions'!N55</f>
        <v>415684470.92825001</v>
      </c>
      <c r="O15" s="112">
        <f>N15+'2023 plant additions'!O55</f>
        <v>420578333.57419604</v>
      </c>
      <c r="P15" s="112">
        <f>(SUM(C15:O15))/13</f>
        <v>409669202.26097333</v>
      </c>
      <c r="Q15" s="113"/>
    </row>
    <row r="16" spans="1:17" ht="15.75">
      <c r="A16" s="111">
        <f>A15+1</f>
        <v>2</v>
      </c>
      <c r="B16" s="88" t="s">
        <v>130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f>(SUM(C16:O16))/13</f>
        <v>0</v>
      </c>
      <c r="Q16" s="113"/>
    </row>
    <row r="17" spans="1:17" ht="15.75">
      <c r="A17" s="111">
        <f>A16+1</f>
        <v>3</v>
      </c>
      <c r="B17" s="88" t="s">
        <v>131</v>
      </c>
      <c r="C17" s="114">
        <f>'2022 BS with CWIP'!O17</f>
        <v>5245310.9999999888</v>
      </c>
      <c r="D17" s="114">
        <v>5537644.3899999866</v>
      </c>
      <c r="E17" s="114">
        <v>5829975.9099999825</v>
      </c>
      <c r="F17" s="114">
        <v>6122308.5599999763</v>
      </c>
      <c r="G17" s="114">
        <v>6414641.5999999801</v>
      </c>
      <c r="H17" s="114">
        <v>6706973.6399999838</v>
      </c>
      <c r="I17" s="114">
        <v>6999306.6799999876</v>
      </c>
      <c r="J17" s="114">
        <v>7291639.8499999763</v>
      </c>
      <c r="K17" s="114">
        <v>7583972.0199999809</v>
      </c>
      <c r="L17" s="114">
        <v>5770305.1899999846</v>
      </c>
      <c r="M17" s="114">
        <v>6062638.3599999873</v>
      </c>
      <c r="N17" s="114">
        <v>6354971.3999999762</v>
      </c>
      <c r="O17" s="114">
        <v>3841302.9999999767</v>
      </c>
      <c r="P17" s="114">
        <f>(SUM(C17:O17))/13</f>
        <v>6135460.8923076736</v>
      </c>
      <c r="Q17" s="113"/>
    </row>
    <row r="18" spans="1:17" ht="15.75">
      <c r="A18" s="111">
        <f>A17+1</f>
        <v>4</v>
      </c>
      <c r="B18" s="88" t="s">
        <v>132</v>
      </c>
      <c r="C18" s="114">
        <f>'2022 BS with CWIP'!O18</f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5">
        <f>(SUM(C18:O18))/13</f>
        <v>0</v>
      </c>
      <c r="Q18" s="113"/>
    </row>
    <row r="19" spans="1:17" ht="15.75">
      <c r="A19" s="97"/>
      <c r="B19" s="52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52"/>
    </row>
    <row r="20" spans="1:17" ht="15.75">
      <c r="A20" s="111">
        <f>A18+1</f>
        <v>5</v>
      </c>
      <c r="B20" s="88" t="s">
        <v>133</v>
      </c>
      <c r="C20" s="112">
        <f t="shared" ref="C20:P20" si="0">SUM(C15:C18)</f>
        <v>409303369.78446579</v>
      </c>
      <c r="D20" s="112">
        <f t="shared" si="0"/>
        <v>409944298.08185768</v>
      </c>
      <c r="E20" s="112">
        <f t="shared" si="0"/>
        <v>410687536.1350469</v>
      </c>
      <c r="F20" s="112">
        <f t="shared" si="0"/>
        <v>411533083.95403343</v>
      </c>
      <c r="G20" s="112">
        <f t="shared" si="0"/>
        <v>412685561.05041182</v>
      </c>
      <c r="H20" s="112">
        <f t="shared" si="0"/>
        <v>413838038.14679027</v>
      </c>
      <c r="I20" s="112">
        <f t="shared" si="0"/>
        <v>414990515.24316871</v>
      </c>
      <c r="J20" s="112">
        <f t="shared" si="0"/>
        <v>417122604.61534441</v>
      </c>
      <c r="K20" s="112">
        <f t="shared" si="0"/>
        <v>418377391.48752016</v>
      </c>
      <c r="L20" s="112">
        <f t="shared" si="0"/>
        <v>419632178.35969585</v>
      </c>
      <c r="M20" s="112">
        <f t="shared" si="0"/>
        <v>420886965.2318716</v>
      </c>
      <c r="N20" s="112">
        <f t="shared" si="0"/>
        <v>422039442.32824999</v>
      </c>
      <c r="O20" s="112">
        <f t="shared" si="0"/>
        <v>424419636.57419604</v>
      </c>
      <c r="P20" s="112">
        <f t="shared" si="0"/>
        <v>415804663.15328103</v>
      </c>
      <c r="Q20" s="1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opLeftCell="G1" workbookViewId="0">
      <selection activeCell="R15" sqref="R15"/>
    </sheetView>
  </sheetViews>
  <sheetFormatPr defaultColWidth="14.42578125" defaultRowHeight="15"/>
  <cols>
    <col min="1" max="1" width="11.42578125" style="4" customWidth="1"/>
    <col min="2" max="2" width="11.42578125" style="2" customWidth="1"/>
    <col min="3" max="3" width="47.85546875" style="2" customWidth="1"/>
    <col min="4" max="12" width="14.42578125" style="2"/>
    <col min="13" max="13" width="15.28515625" style="2" customWidth="1"/>
    <col min="14" max="29" width="14.42578125" style="2"/>
    <col min="30" max="30" width="16" style="2" customWidth="1"/>
    <col min="31" max="256" width="14.42578125" style="2"/>
    <col min="257" max="258" width="11.42578125" style="2" customWidth="1"/>
    <col min="259" max="259" width="47.85546875" style="2" customWidth="1"/>
    <col min="260" max="512" width="14.42578125" style="2"/>
    <col min="513" max="514" width="11.42578125" style="2" customWidth="1"/>
    <col min="515" max="515" width="47.85546875" style="2" customWidth="1"/>
    <col min="516" max="768" width="14.42578125" style="2"/>
    <col min="769" max="770" width="11.42578125" style="2" customWidth="1"/>
    <col min="771" max="771" width="47.85546875" style="2" customWidth="1"/>
    <col min="772" max="1024" width="14.42578125" style="2"/>
    <col min="1025" max="1026" width="11.42578125" style="2" customWidth="1"/>
    <col min="1027" max="1027" width="47.85546875" style="2" customWidth="1"/>
    <col min="1028" max="1280" width="14.42578125" style="2"/>
    <col min="1281" max="1282" width="11.42578125" style="2" customWidth="1"/>
    <col min="1283" max="1283" width="47.85546875" style="2" customWidth="1"/>
    <col min="1284" max="1536" width="14.42578125" style="2"/>
    <col min="1537" max="1538" width="11.42578125" style="2" customWidth="1"/>
    <col min="1539" max="1539" width="47.85546875" style="2" customWidth="1"/>
    <col min="1540" max="1792" width="14.42578125" style="2"/>
    <col min="1793" max="1794" width="11.42578125" style="2" customWidth="1"/>
    <col min="1795" max="1795" width="47.85546875" style="2" customWidth="1"/>
    <col min="1796" max="2048" width="14.42578125" style="2"/>
    <col min="2049" max="2050" width="11.42578125" style="2" customWidth="1"/>
    <col min="2051" max="2051" width="47.85546875" style="2" customWidth="1"/>
    <col min="2052" max="2304" width="14.42578125" style="2"/>
    <col min="2305" max="2306" width="11.42578125" style="2" customWidth="1"/>
    <col min="2307" max="2307" width="47.85546875" style="2" customWidth="1"/>
    <col min="2308" max="2560" width="14.42578125" style="2"/>
    <col min="2561" max="2562" width="11.42578125" style="2" customWidth="1"/>
    <col min="2563" max="2563" width="47.85546875" style="2" customWidth="1"/>
    <col min="2564" max="2816" width="14.42578125" style="2"/>
    <col min="2817" max="2818" width="11.42578125" style="2" customWidth="1"/>
    <col min="2819" max="2819" width="47.85546875" style="2" customWidth="1"/>
    <col min="2820" max="3072" width="14.42578125" style="2"/>
    <col min="3073" max="3074" width="11.42578125" style="2" customWidth="1"/>
    <col min="3075" max="3075" width="47.85546875" style="2" customWidth="1"/>
    <col min="3076" max="3328" width="14.42578125" style="2"/>
    <col min="3329" max="3330" width="11.42578125" style="2" customWidth="1"/>
    <col min="3331" max="3331" width="47.85546875" style="2" customWidth="1"/>
    <col min="3332" max="3584" width="14.42578125" style="2"/>
    <col min="3585" max="3586" width="11.42578125" style="2" customWidth="1"/>
    <col min="3587" max="3587" width="47.85546875" style="2" customWidth="1"/>
    <col min="3588" max="3840" width="14.42578125" style="2"/>
    <col min="3841" max="3842" width="11.42578125" style="2" customWidth="1"/>
    <col min="3843" max="3843" width="47.85546875" style="2" customWidth="1"/>
    <col min="3844" max="4096" width="14.42578125" style="2"/>
    <col min="4097" max="4098" width="11.42578125" style="2" customWidth="1"/>
    <col min="4099" max="4099" width="47.85546875" style="2" customWidth="1"/>
    <col min="4100" max="4352" width="14.42578125" style="2"/>
    <col min="4353" max="4354" width="11.42578125" style="2" customWidth="1"/>
    <col min="4355" max="4355" width="47.85546875" style="2" customWidth="1"/>
    <col min="4356" max="4608" width="14.42578125" style="2"/>
    <col min="4609" max="4610" width="11.42578125" style="2" customWidth="1"/>
    <col min="4611" max="4611" width="47.85546875" style="2" customWidth="1"/>
    <col min="4612" max="4864" width="14.42578125" style="2"/>
    <col min="4865" max="4866" width="11.42578125" style="2" customWidth="1"/>
    <col min="4867" max="4867" width="47.85546875" style="2" customWidth="1"/>
    <col min="4868" max="5120" width="14.42578125" style="2"/>
    <col min="5121" max="5122" width="11.42578125" style="2" customWidth="1"/>
    <col min="5123" max="5123" width="47.85546875" style="2" customWidth="1"/>
    <col min="5124" max="5376" width="14.42578125" style="2"/>
    <col min="5377" max="5378" width="11.42578125" style="2" customWidth="1"/>
    <col min="5379" max="5379" width="47.85546875" style="2" customWidth="1"/>
    <col min="5380" max="5632" width="14.42578125" style="2"/>
    <col min="5633" max="5634" width="11.42578125" style="2" customWidth="1"/>
    <col min="5635" max="5635" width="47.85546875" style="2" customWidth="1"/>
    <col min="5636" max="5888" width="14.42578125" style="2"/>
    <col min="5889" max="5890" width="11.42578125" style="2" customWidth="1"/>
    <col min="5891" max="5891" width="47.85546875" style="2" customWidth="1"/>
    <col min="5892" max="6144" width="14.42578125" style="2"/>
    <col min="6145" max="6146" width="11.42578125" style="2" customWidth="1"/>
    <col min="6147" max="6147" width="47.85546875" style="2" customWidth="1"/>
    <col min="6148" max="6400" width="14.42578125" style="2"/>
    <col min="6401" max="6402" width="11.42578125" style="2" customWidth="1"/>
    <col min="6403" max="6403" width="47.85546875" style="2" customWidth="1"/>
    <col min="6404" max="6656" width="14.42578125" style="2"/>
    <col min="6657" max="6658" width="11.42578125" style="2" customWidth="1"/>
    <col min="6659" max="6659" width="47.85546875" style="2" customWidth="1"/>
    <col min="6660" max="6912" width="14.42578125" style="2"/>
    <col min="6913" max="6914" width="11.42578125" style="2" customWidth="1"/>
    <col min="6915" max="6915" width="47.85546875" style="2" customWidth="1"/>
    <col min="6916" max="7168" width="14.42578125" style="2"/>
    <col min="7169" max="7170" width="11.42578125" style="2" customWidth="1"/>
    <col min="7171" max="7171" width="47.85546875" style="2" customWidth="1"/>
    <col min="7172" max="7424" width="14.42578125" style="2"/>
    <col min="7425" max="7426" width="11.42578125" style="2" customWidth="1"/>
    <col min="7427" max="7427" width="47.85546875" style="2" customWidth="1"/>
    <col min="7428" max="7680" width="14.42578125" style="2"/>
    <col min="7681" max="7682" width="11.42578125" style="2" customWidth="1"/>
    <col min="7683" max="7683" width="47.85546875" style="2" customWidth="1"/>
    <col min="7684" max="7936" width="14.42578125" style="2"/>
    <col min="7937" max="7938" width="11.42578125" style="2" customWidth="1"/>
    <col min="7939" max="7939" width="47.85546875" style="2" customWidth="1"/>
    <col min="7940" max="8192" width="14.42578125" style="2"/>
    <col min="8193" max="8194" width="11.42578125" style="2" customWidth="1"/>
    <col min="8195" max="8195" width="47.85546875" style="2" customWidth="1"/>
    <col min="8196" max="8448" width="14.42578125" style="2"/>
    <col min="8449" max="8450" width="11.42578125" style="2" customWidth="1"/>
    <col min="8451" max="8451" width="47.85546875" style="2" customWidth="1"/>
    <col min="8452" max="8704" width="14.42578125" style="2"/>
    <col min="8705" max="8706" width="11.42578125" style="2" customWidth="1"/>
    <col min="8707" max="8707" width="47.85546875" style="2" customWidth="1"/>
    <col min="8708" max="8960" width="14.42578125" style="2"/>
    <col min="8961" max="8962" width="11.42578125" style="2" customWidth="1"/>
    <col min="8963" max="8963" width="47.85546875" style="2" customWidth="1"/>
    <col min="8964" max="9216" width="14.42578125" style="2"/>
    <col min="9217" max="9218" width="11.42578125" style="2" customWidth="1"/>
    <col min="9219" max="9219" width="47.85546875" style="2" customWidth="1"/>
    <col min="9220" max="9472" width="14.42578125" style="2"/>
    <col min="9473" max="9474" width="11.42578125" style="2" customWidth="1"/>
    <col min="9475" max="9475" width="47.85546875" style="2" customWidth="1"/>
    <col min="9476" max="9728" width="14.42578125" style="2"/>
    <col min="9729" max="9730" width="11.42578125" style="2" customWidth="1"/>
    <col min="9731" max="9731" width="47.85546875" style="2" customWidth="1"/>
    <col min="9732" max="9984" width="14.42578125" style="2"/>
    <col min="9985" max="9986" width="11.42578125" style="2" customWidth="1"/>
    <col min="9987" max="9987" width="47.85546875" style="2" customWidth="1"/>
    <col min="9988" max="10240" width="14.42578125" style="2"/>
    <col min="10241" max="10242" width="11.42578125" style="2" customWidth="1"/>
    <col min="10243" max="10243" width="47.85546875" style="2" customWidth="1"/>
    <col min="10244" max="10496" width="14.42578125" style="2"/>
    <col min="10497" max="10498" width="11.42578125" style="2" customWidth="1"/>
    <col min="10499" max="10499" width="47.85546875" style="2" customWidth="1"/>
    <col min="10500" max="10752" width="14.42578125" style="2"/>
    <col min="10753" max="10754" width="11.42578125" style="2" customWidth="1"/>
    <col min="10755" max="10755" width="47.85546875" style="2" customWidth="1"/>
    <col min="10756" max="11008" width="14.42578125" style="2"/>
    <col min="11009" max="11010" width="11.42578125" style="2" customWidth="1"/>
    <col min="11011" max="11011" width="47.85546875" style="2" customWidth="1"/>
    <col min="11012" max="11264" width="14.42578125" style="2"/>
    <col min="11265" max="11266" width="11.42578125" style="2" customWidth="1"/>
    <col min="11267" max="11267" width="47.85546875" style="2" customWidth="1"/>
    <col min="11268" max="11520" width="14.42578125" style="2"/>
    <col min="11521" max="11522" width="11.42578125" style="2" customWidth="1"/>
    <col min="11523" max="11523" width="47.85546875" style="2" customWidth="1"/>
    <col min="11524" max="11776" width="14.42578125" style="2"/>
    <col min="11777" max="11778" width="11.42578125" style="2" customWidth="1"/>
    <col min="11779" max="11779" width="47.85546875" style="2" customWidth="1"/>
    <col min="11780" max="12032" width="14.42578125" style="2"/>
    <col min="12033" max="12034" width="11.42578125" style="2" customWidth="1"/>
    <col min="12035" max="12035" width="47.85546875" style="2" customWidth="1"/>
    <col min="12036" max="12288" width="14.42578125" style="2"/>
    <col min="12289" max="12290" width="11.42578125" style="2" customWidth="1"/>
    <col min="12291" max="12291" width="47.85546875" style="2" customWidth="1"/>
    <col min="12292" max="12544" width="14.42578125" style="2"/>
    <col min="12545" max="12546" width="11.42578125" style="2" customWidth="1"/>
    <col min="12547" max="12547" width="47.85546875" style="2" customWidth="1"/>
    <col min="12548" max="12800" width="14.42578125" style="2"/>
    <col min="12801" max="12802" width="11.42578125" style="2" customWidth="1"/>
    <col min="12803" max="12803" width="47.85546875" style="2" customWidth="1"/>
    <col min="12804" max="13056" width="14.42578125" style="2"/>
    <col min="13057" max="13058" width="11.42578125" style="2" customWidth="1"/>
    <col min="13059" max="13059" width="47.85546875" style="2" customWidth="1"/>
    <col min="13060" max="13312" width="14.42578125" style="2"/>
    <col min="13313" max="13314" width="11.42578125" style="2" customWidth="1"/>
    <col min="13315" max="13315" width="47.85546875" style="2" customWidth="1"/>
    <col min="13316" max="13568" width="14.42578125" style="2"/>
    <col min="13569" max="13570" width="11.42578125" style="2" customWidth="1"/>
    <col min="13571" max="13571" width="47.85546875" style="2" customWidth="1"/>
    <col min="13572" max="13824" width="14.42578125" style="2"/>
    <col min="13825" max="13826" width="11.42578125" style="2" customWidth="1"/>
    <col min="13827" max="13827" width="47.85546875" style="2" customWidth="1"/>
    <col min="13828" max="14080" width="14.42578125" style="2"/>
    <col min="14081" max="14082" width="11.42578125" style="2" customWidth="1"/>
    <col min="14083" max="14083" width="47.85546875" style="2" customWidth="1"/>
    <col min="14084" max="14336" width="14.42578125" style="2"/>
    <col min="14337" max="14338" width="11.42578125" style="2" customWidth="1"/>
    <col min="14339" max="14339" width="47.85546875" style="2" customWidth="1"/>
    <col min="14340" max="14592" width="14.42578125" style="2"/>
    <col min="14593" max="14594" width="11.42578125" style="2" customWidth="1"/>
    <col min="14595" max="14595" width="47.85546875" style="2" customWidth="1"/>
    <col min="14596" max="14848" width="14.42578125" style="2"/>
    <col min="14849" max="14850" width="11.42578125" style="2" customWidth="1"/>
    <col min="14851" max="14851" width="47.85546875" style="2" customWidth="1"/>
    <col min="14852" max="15104" width="14.42578125" style="2"/>
    <col min="15105" max="15106" width="11.42578125" style="2" customWidth="1"/>
    <col min="15107" max="15107" width="47.85546875" style="2" customWidth="1"/>
    <col min="15108" max="15360" width="14.42578125" style="2"/>
    <col min="15361" max="15362" width="11.42578125" style="2" customWidth="1"/>
    <col min="15363" max="15363" width="47.85546875" style="2" customWidth="1"/>
    <col min="15364" max="15616" width="14.42578125" style="2"/>
    <col min="15617" max="15618" width="11.42578125" style="2" customWidth="1"/>
    <col min="15619" max="15619" width="47.85546875" style="2" customWidth="1"/>
    <col min="15620" max="15872" width="14.42578125" style="2"/>
    <col min="15873" max="15874" width="11.42578125" style="2" customWidth="1"/>
    <col min="15875" max="15875" width="47.85546875" style="2" customWidth="1"/>
    <col min="15876" max="16128" width="14.42578125" style="2"/>
    <col min="16129" max="16130" width="11.42578125" style="2" customWidth="1"/>
    <col min="16131" max="16131" width="47.85546875" style="2" customWidth="1"/>
    <col min="16132" max="16384" width="14.42578125" style="2"/>
  </cols>
  <sheetData>
    <row r="1" spans="1:30">
      <c r="A1" s="1" t="s">
        <v>0</v>
      </c>
      <c r="B1" s="2" t="s">
        <v>1</v>
      </c>
      <c r="E1" s="3" t="s">
        <v>79</v>
      </c>
      <c r="I1" s="36"/>
      <c r="L1" s="10" t="s">
        <v>80</v>
      </c>
      <c r="P1" s="5" t="s">
        <v>4</v>
      </c>
    </row>
    <row r="2" spans="1:30" ht="15.75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30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30">
      <c r="A4" s="1" t="s">
        <v>5</v>
      </c>
      <c r="E4" s="2" t="s">
        <v>81</v>
      </c>
      <c r="F4" s="3" t="s">
        <v>82</v>
      </c>
      <c r="I4" s="10"/>
      <c r="L4" s="3" t="s">
        <v>8</v>
      </c>
      <c r="N4" s="1"/>
    </row>
    <row r="5" spans="1:30">
      <c r="F5" s="3" t="s">
        <v>83</v>
      </c>
      <c r="I5" s="1"/>
      <c r="L5" s="3" t="s">
        <v>10</v>
      </c>
      <c r="N5" s="10"/>
    </row>
    <row r="6" spans="1:30">
      <c r="A6" s="1" t="s">
        <v>11</v>
      </c>
      <c r="B6" s="11" t="str">
        <f>'[1]G1-1'!B6</f>
        <v>Florida Public Utilities Company Consolidated Gas</v>
      </c>
      <c r="C6" s="1"/>
      <c r="L6" s="3" t="s">
        <v>12</v>
      </c>
      <c r="N6" s="1"/>
      <c r="O6" s="12"/>
    </row>
    <row r="7" spans="1:30">
      <c r="B7" s="11"/>
      <c r="L7" s="3"/>
    </row>
    <row r="8" spans="1:30">
      <c r="A8" s="1" t="s">
        <v>13</v>
      </c>
      <c r="B8" s="11">
        <f>'[1]G1-1'!B8</f>
        <v>0</v>
      </c>
      <c r="C8" s="35" t="s">
        <v>137</v>
      </c>
    </row>
    <row r="9" spans="1:30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30">
      <c r="G10" s="1" t="s">
        <v>14</v>
      </c>
      <c r="H10" s="1" t="s">
        <v>14</v>
      </c>
      <c r="I10" s="1" t="s">
        <v>14</v>
      </c>
      <c r="J10" s="1" t="s">
        <v>14</v>
      </c>
      <c r="K10" s="13" t="s">
        <v>14</v>
      </c>
      <c r="N10" s="1" t="s">
        <v>14</v>
      </c>
    </row>
    <row r="11" spans="1:30">
      <c r="A11" s="1" t="s">
        <v>15</v>
      </c>
      <c r="B11" s="14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30">
      <c r="A12" s="1" t="s">
        <v>17</v>
      </c>
      <c r="B12" s="14" t="s">
        <v>17</v>
      </c>
      <c r="C12" s="14" t="s">
        <v>18</v>
      </c>
      <c r="D12" s="16">
        <v>44562</v>
      </c>
      <c r="E12" s="16">
        <v>44593</v>
      </c>
      <c r="F12" s="16">
        <v>44621</v>
      </c>
      <c r="G12" s="16">
        <v>44652</v>
      </c>
      <c r="H12" s="16">
        <v>44682</v>
      </c>
      <c r="I12" s="16">
        <v>44713</v>
      </c>
      <c r="J12" s="16">
        <v>44743</v>
      </c>
      <c r="K12" s="16">
        <v>44774</v>
      </c>
      <c r="L12" s="16">
        <v>44805</v>
      </c>
      <c r="M12" s="16">
        <v>44835</v>
      </c>
      <c r="N12" s="16">
        <v>44866</v>
      </c>
      <c r="O12" s="16">
        <v>44896</v>
      </c>
      <c r="P12" s="14" t="s">
        <v>19</v>
      </c>
      <c r="R12" s="16">
        <v>44562</v>
      </c>
      <c r="S12" s="16">
        <v>44593</v>
      </c>
      <c r="T12" s="16">
        <v>44621</v>
      </c>
      <c r="U12" s="16">
        <v>44652</v>
      </c>
      <c r="V12" s="16">
        <v>44682</v>
      </c>
      <c r="W12" s="16">
        <v>44713</v>
      </c>
      <c r="X12" s="16">
        <v>44743</v>
      </c>
      <c r="Y12" s="16">
        <v>44774</v>
      </c>
      <c r="Z12" s="16">
        <v>44805</v>
      </c>
      <c r="AA12" s="16">
        <v>44835</v>
      </c>
      <c r="AB12" s="16">
        <v>44866</v>
      </c>
      <c r="AC12" s="16">
        <v>44896</v>
      </c>
      <c r="AD12" s="14" t="s">
        <v>19</v>
      </c>
    </row>
    <row r="13" spans="1:30" ht="15.75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30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30">
      <c r="A15" s="17">
        <v>1</v>
      </c>
      <c r="B15" s="18" t="s">
        <v>20</v>
      </c>
      <c r="C15" s="19" t="s">
        <v>21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1">
        <f t="shared" ref="P15:P52" si="0">SUM(D15:O15)</f>
        <v>0</v>
      </c>
      <c r="R15" s="2">
        <f>-D15</f>
        <v>0</v>
      </c>
      <c r="S15" s="2">
        <f t="shared" ref="S15:S52" si="1">-E15</f>
        <v>0</v>
      </c>
      <c r="T15" s="2">
        <f t="shared" ref="T15:T52" si="2">-F15</f>
        <v>0</v>
      </c>
      <c r="U15" s="2">
        <f t="shared" ref="U15:U52" si="3">-G15</f>
        <v>0</v>
      </c>
      <c r="V15" s="2">
        <f t="shared" ref="V15:V52" si="4">-H15</f>
        <v>0</v>
      </c>
      <c r="W15" s="2">
        <f t="shared" ref="W15:W52" si="5">-I15</f>
        <v>0</v>
      </c>
      <c r="X15" s="2">
        <f t="shared" ref="X15:X52" si="6">-J15</f>
        <v>0</v>
      </c>
      <c r="Y15" s="2">
        <f t="shared" ref="Y15:Y52" si="7">-K15</f>
        <v>0</v>
      </c>
      <c r="Z15" s="2">
        <f t="shared" ref="Z15:Z52" si="8">-L15</f>
        <v>0</v>
      </c>
      <c r="AA15" s="2">
        <f t="shared" ref="AA15:AA52" si="9">-M15</f>
        <v>0</v>
      </c>
      <c r="AB15" s="2">
        <f t="shared" ref="AB15:AB52" si="10">-N15</f>
        <v>0</v>
      </c>
      <c r="AC15" s="2">
        <f t="shared" ref="AC15:AC52" si="11">-O15</f>
        <v>0</v>
      </c>
      <c r="AD15" s="2">
        <f>+SUM(R15:AC15)</f>
        <v>0</v>
      </c>
    </row>
    <row r="16" spans="1:30">
      <c r="A16" s="17">
        <f>+A15+1</f>
        <v>2</v>
      </c>
      <c r="B16" s="18" t="s">
        <v>22</v>
      </c>
      <c r="C16" s="19" t="s">
        <v>23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3">
        <f t="shared" si="0"/>
        <v>0</v>
      </c>
      <c r="R16" s="2">
        <f t="shared" ref="R16:R52" si="12">-D16</f>
        <v>0</v>
      </c>
      <c r="S16" s="2">
        <f t="shared" si="1"/>
        <v>0</v>
      </c>
      <c r="T16" s="2">
        <f t="shared" si="2"/>
        <v>0</v>
      </c>
      <c r="U16" s="2">
        <f t="shared" si="3"/>
        <v>0</v>
      </c>
      <c r="V16" s="2">
        <f t="shared" si="4"/>
        <v>0</v>
      </c>
      <c r="W16" s="2">
        <f t="shared" si="5"/>
        <v>0</v>
      </c>
      <c r="X16" s="2">
        <f t="shared" si="6"/>
        <v>0</v>
      </c>
      <c r="Y16" s="2">
        <f t="shared" si="7"/>
        <v>0</v>
      </c>
      <c r="Z16" s="2">
        <f t="shared" si="8"/>
        <v>0</v>
      </c>
      <c r="AA16" s="2">
        <f t="shared" si="9"/>
        <v>0</v>
      </c>
      <c r="AB16" s="2">
        <f t="shared" si="10"/>
        <v>0</v>
      </c>
      <c r="AC16" s="2">
        <f t="shared" si="11"/>
        <v>0</v>
      </c>
      <c r="AD16" s="2">
        <f t="shared" ref="AD16:AD52" si="13">+SUM(R16:AC16)</f>
        <v>0</v>
      </c>
    </row>
    <row r="17" spans="1:30">
      <c r="A17" s="17">
        <f t="shared" ref="A17:A52" si="14">+A16+1</f>
        <v>3</v>
      </c>
      <c r="B17" s="18">
        <v>303</v>
      </c>
      <c r="C17" s="19" t="s">
        <v>24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3">
        <f t="shared" si="0"/>
        <v>0</v>
      </c>
      <c r="R17" s="2">
        <f t="shared" si="12"/>
        <v>0</v>
      </c>
      <c r="S17" s="2">
        <f t="shared" si="1"/>
        <v>0</v>
      </c>
      <c r="T17" s="2">
        <f t="shared" si="2"/>
        <v>0</v>
      </c>
      <c r="U17" s="2">
        <f t="shared" si="3"/>
        <v>0</v>
      </c>
      <c r="V17" s="2">
        <f t="shared" si="4"/>
        <v>0</v>
      </c>
      <c r="W17" s="2">
        <f t="shared" si="5"/>
        <v>0</v>
      </c>
      <c r="X17" s="2">
        <f t="shared" si="6"/>
        <v>0</v>
      </c>
      <c r="Y17" s="2">
        <f t="shared" si="7"/>
        <v>0</v>
      </c>
      <c r="Z17" s="2">
        <f t="shared" si="8"/>
        <v>0</v>
      </c>
      <c r="AA17" s="2">
        <f t="shared" si="9"/>
        <v>0</v>
      </c>
      <c r="AB17" s="2">
        <f t="shared" si="10"/>
        <v>0</v>
      </c>
      <c r="AC17" s="2">
        <f t="shared" si="11"/>
        <v>0</v>
      </c>
      <c r="AD17" s="2">
        <f t="shared" si="13"/>
        <v>0</v>
      </c>
    </row>
    <row r="18" spans="1:30">
      <c r="A18" s="17">
        <f t="shared" si="14"/>
        <v>4</v>
      </c>
      <c r="B18" s="18">
        <v>305</v>
      </c>
      <c r="C18" s="19" t="s">
        <v>25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3">
        <f t="shared" si="0"/>
        <v>0</v>
      </c>
      <c r="Q18" s="37"/>
      <c r="R18" s="2">
        <f t="shared" si="12"/>
        <v>0</v>
      </c>
      <c r="S18" s="2">
        <f t="shared" si="1"/>
        <v>0</v>
      </c>
      <c r="T18" s="2">
        <f t="shared" si="2"/>
        <v>0</v>
      </c>
      <c r="U18" s="2">
        <f t="shared" si="3"/>
        <v>0</v>
      </c>
      <c r="V18" s="2">
        <f t="shared" si="4"/>
        <v>0</v>
      </c>
      <c r="W18" s="2">
        <f t="shared" si="5"/>
        <v>0</v>
      </c>
      <c r="X18" s="2">
        <f t="shared" si="6"/>
        <v>0</v>
      </c>
      <c r="Y18" s="2">
        <f t="shared" si="7"/>
        <v>0</v>
      </c>
      <c r="Z18" s="2">
        <f t="shared" si="8"/>
        <v>0</v>
      </c>
      <c r="AA18" s="2">
        <f t="shared" si="9"/>
        <v>0</v>
      </c>
      <c r="AB18" s="2">
        <f t="shared" si="10"/>
        <v>0</v>
      </c>
      <c r="AC18" s="2">
        <f t="shared" si="11"/>
        <v>0</v>
      </c>
      <c r="AD18" s="2">
        <f t="shared" si="13"/>
        <v>0</v>
      </c>
    </row>
    <row r="19" spans="1:30">
      <c r="A19" s="17">
        <f t="shared" si="14"/>
        <v>5</v>
      </c>
      <c r="B19" s="18" t="s">
        <v>26</v>
      </c>
      <c r="C19" s="19" t="s">
        <v>27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3">
        <f t="shared" si="0"/>
        <v>0</v>
      </c>
      <c r="R19" s="2">
        <f t="shared" si="12"/>
        <v>0</v>
      </c>
      <c r="S19" s="2">
        <f t="shared" si="1"/>
        <v>0</v>
      </c>
      <c r="T19" s="2">
        <f t="shared" si="2"/>
        <v>0</v>
      </c>
      <c r="U19" s="2">
        <f t="shared" si="3"/>
        <v>0</v>
      </c>
      <c r="V19" s="2">
        <f t="shared" si="4"/>
        <v>0</v>
      </c>
      <c r="W19" s="2">
        <f t="shared" si="5"/>
        <v>0</v>
      </c>
      <c r="X19" s="2">
        <f t="shared" si="6"/>
        <v>0</v>
      </c>
      <c r="Y19" s="2">
        <f t="shared" si="7"/>
        <v>0</v>
      </c>
      <c r="Z19" s="2">
        <f t="shared" si="8"/>
        <v>0</v>
      </c>
      <c r="AA19" s="2">
        <f t="shared" si="9"/>
        <v>0</v>
      </c>
      <c r="AB19" s="2">
        <f t="shared" si="10"/>
        <v>0</v>
      </c>
      <c r="AC19" s="2">
        <f t="shared" si="11"/>
        <v>0</v>
      </c>
      <c r="AD19" s="2">
        <f t="shared" si="13"/>
        <v>0</v>
      </c>
    </row>
    <row r="20" spans="1:30">
      <c r="A20" s="17">
        <f t="shared" si="14"/>
        <v>6</v>
      </c>
      <c r="B20" s="18" t="s">
        <v>28</v>
      </c>
      <c r="C20" s="19" t="s">
        <v>25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3">
        <f t="shared" si="0"/>
        <v>0</v>
      </c>
      <c r="R20" s="2">
        <f t="shared" si="12"/>
        <v>0</v>
      </c>
      <c r="S20" s="2">
        <f t="shared" si="1"/>
        <v>0</v>
      </c>
      <c r="T20" s="2">
        <f t="shared" si="2"/>
        <v>0</v>
      </c>
      <c r="U20" s="2">
        <f t="shared" si="3"/>
        <v>0</v>
      </c>
      <c r="V20" s="2">
        <f t="shared" si="4"/>
        <v>0</v>
      </c>
      <c r="W20" s="2">
        <f t="shared" si="5"/>
        <v>0</v>
      </c>
      <c r="X20" s="2">
        <f t="shared" si="6"/>
        <v>0</v>
      </c>
      <c r="Y20" s="2">
        <f t="shared" si="7"/>
        <v>0</v>
      </c>
      <c r="Z20" s="2">
        <f t="shared" si="8"/>
        <v>0</v>
      </c>
      <c r="AA20" s="2">
        <f t="shared" si="9"/>
        <v>0</v>
      </c>
      <c r="AB20" s="2">
        <f t="shared" si="10"/>
        <v>0</v>
      </c>
      <c r="AC20" s="2">
        <f t="shared" si="11"/>
        <v>0</v>
      </c>
      <c r="AD20" s="2">
        <f t="shared" si="13"/>
        <v>0</v>
      </c>
    </row>
    <row r="21" spans="1:30">
      <c r="A21" s="17">
        <f t="shared" si="14"/>
        <v>7</v>
      </c>
      <c r="B21" s="24">
        <v>3761</v>
      </c>
      <c r="C21" s="25" t="s">
        <v>29</v>
      </c>
      <c r="D21" s="22">
        <f>ROUND('2022 plant additions'!D21*'2022 plant retirements'!$D$61,0)</f>
        <v>14385</v>
      </c>
      <c r="E21" s="22">
        <f>ROUND('2022 plant additions'!E21*'2022 plant retirements'!$D$61,0)</f>
        <v>19180</v>
      </c>
      <c r="F21" s="22">
        <f>ROUND('2022 plant additions'!F21*'2022 plant retirements'!$D$61,0)</f>
        <v>228066</v>
      </c>
      <c r="G21" s="22">
        <f>ROUND('2022 plant additions'!G21*'2022 plant retirements'!$D$61,0)</f>
        <v>38361</v>
      </c>
      <c r="H21" s="22">
        <f>ROUND('2022 plant additions'!H21*'2022 plant retirements'!$D$61,0)</f>
        <v>38361</v>
      </c>
      <c r="I21" s="22">
        <f>ROUND('2022 plant additions'!I21*'2022 plant retirements'!$D$61,0)</f>
        <v>183858</v>
      </c>
      <c r="J21" s="22">
        <f>ROUND('2022 plant additions'!J21*'2022 plant retirements'!$D$61,0)</f>
        <v>43156</v>
      </c>
      <c r="K21" s="22">
        <f>ROUND('2022 plant additions'!K21*'2022 plant retirements'!$D$61,0)</f>
        <v>43156</v>
      </c>
      <c r="L21" s="22">
        <f>ROUND('2022 plant additions'!L21*'2022 plant retirements'!$D$61,0)</f>
        <v>49051</v>
      </c>
      <c r="M21" s="22">
        <f>ROUND('2022 plant additions'!M21*'2022 plant retirements'!$D$61,0)</f>
        <v>43156</v>
      </c>
      <c r="N21" s="22">
        <f>ROUND('2022 plant additions'!N21*'2022 plant retirements'!$D$61,0)</f>
        <v>38361</v>
      </c>
      <c r="O21" s="22">
        <f>ROUND('2022 plant additions'!O21*'2022 plant retirements'!$D$61,0)</f>
        <v>101797</v>
      </c>
      <c r="P21" s="23">
        <f t="shared" si="0"/>
        <v>840888</v>
      </c>
      <c r="R21" s="2">
        <f t="shared" si="12"/>
        <v>-14385</v>
      </c>
      <c r="S21" s="2">
        <f t="shared" si="1"/>
        <v>-19180</v>
      </c>
      <c r="T21" s="2">
        <f t="shared" si="2"/>
        <v>-228066</v>
      </c>
      <c r="U21" s="2">
        <f t="shared" si="3"/>
        <v>-38361</v>
      </c>
      <c r="V21" s="2">
        <f t="shared" si="4"/>
        <v>-38361</v>
      </c>
      <c r="W21" s="2">
        <f t="shared" si="5"/>
        <v>-183858</v>
      </c>
      <c r="X21" s="2">
        <f t="shared" si="6"/>
        <v>-43156</v>
      </c>
      <c r="Y21" s="2">
        <f t="shared" si="7"/>
        <v>-43156</v>
      </c>
      <c r="Z21" s="2">
        <f t="shared" si="8"/>
        <v>-49051</v>
      </c>
      <c r="AA21" s="2">
        <f t="shared" si="9"/>
        <v>-43156</v>
      </c>
      <c r="AB21" s="2">
        <f t="shared" si="10"/>
        <v>-38361</v>
      </c>
      <c r="AC21" s="2">
        <f t="shared" si="11"/>
        <v>-101797</v>
      </c>
      <c r="AD21" s="2">
        <f t="shared" si="13"/>
        <v>-840888</v>
      </c>
    </row>
    <row r="22" spans="1:30">
      <c r="A22" s="17">
        <f t="shared" si="14"/>
        <v>8</v>
      </c>
      <c r="B22" s="24">
        <v>3762</v>
      </c>
      <c r="C22" s="25" t="s">
        <v>30</v>
      </c>
      <c r="D22" s="22">
        <f>ROUND('2022 plant additions'!D22*'2022 plant retirements'!$D$62,0)+ROUND('2022 plant additions'!D23*'2022 plant retirements'!$D$77,0)</f>
        <v>88784</v>
      </c>
      <c r="E22" s="22">
        <f>ROUND('2022 plant additions'!E22*'2022 plant retirements'!$D$62,0)+ROUND('2022 plant additions'!E23*'2022 plant retirements'!$D$77,0)</f>
        <v>97601</v>
      </c>
      <c r="F22" s="22">
        <f>ROUND('2022 plant additions'!F22*'2022 plant retirements'!$D$62,0)+ROUND('2022 plant additions'!F23*'2022 plant retirements'!$D$77,0)</f>
        <v>191188</v>
      </c>
      <c r="G22" s="22">
        <f>ROUND('2022 plant additions'!G22*'2022 plant retirements'!$D$62,0)+ROUND('2022 plant additions'!G23*'2022 plant retirements'!$D$77,0)</f>
        <v>76255</v>
      </c>
      <c r="H22" s="22">
        <f>ROUND('2022 plant additions'!H22*'2022 plant retirements'!$D$62,0)+ROUND('2022 plant additions'!H23*'2022 plant retirements'!$D$77,0)</f>
        <v>54540</v>
      </c>
      <c r="I22" s="22">
        <f>ROUND('2022 plant additions'!I22*'2022 plant retirements'!$D$62,0)+ROUND('2022 plant additions'!I23*'2022 plant retirements'!$D$77,0)</f>
        <v>26765</v>
      </c>
      <c r="J22" s="22">
        <f>ROUND('2022 plant additions'!J22*'2022 plant retirements'!$D$62,0)+ROUND('2022 plant additions'!J23*'2022 plant retirements'!$D$77,0)</f>
        <v>25250</v>
      </c>
      <c r="K22" s="22">
        <f>ROUND('2022 plant additions'!K22*'2022 plant retirements'!$D$62,0)+ROUND('2022 plant additions'!K23*'2022 plant retirements'!$D$77,0)</f>
        <v>0</v>
      </c>
      <c r="L22" s="22">
        <f>ROUND('2022 plant additions'!L22*'2022 plant retirements'!$D$62,0)+ROUND('2022 plant additions'!L23*'2022 plant retirements'!$D$77,0)</f>
        <v>0</v>
      </c>
      <c r="M22" s="22">
        <f>ROUND('2022 plant additions'!M22*'2022 plant retirements'!$D$62,0)+ROUND('2022 plant additions'!M23*'2022 plant retirements'!$D$77,0)</f>
        <v>0</v>
      </c>
      <c r="N22" s="22">
        <f>ROUND('2022 plant additions'!N22*'2022 plant retirements'!$D$62,0)+ROUND('2022 plant additions'!N23*'2022 plant retirements'!$D$77,0)</f>
        <v>0</v>
      </c>
      <c r="O22" s="22">
        <f>ROUND('2022 plant additions'!O22*'2022 plant retirements'!$D$62,0)+ROUND('2022 plant additions'!O23*'2022 plant retirements'!$D$77,0)</f>
        <v>0</v>
      </c>
      <c r="P22" s="23">
        <f t="shared" si="0"/>
        <v>560383</v>
      </c>
      <c r="Q22" s="38"/>
      <c r="R22" s="2">
        <f t="shared" si="12"/>
        <v>-88784</v>
      </c>
      <c r="S22" s="2">
        <f t="shared" si="1"/>
        <v>-97601</v>
      </c>
      <c r="T22" s="2">
        <f t="shared" si="2"/>
        <v>-191188</v>
      </c>
      <c r="U22" s="2">
        <f t="shared" si="3"/>
        <v>-76255</v>
      </c>
      <c r="V22" s="2">
        <f t="shared" si="4"/>
        <v>-54540</v>
      </c>
      <c r="W22" s="2">
        <f t="shared" si="5"/>
        <v>-26765</v>
      </c>
      <c r="X22" s="2">
        <f t="shared" si="6"/>
        <v>-25250</v>
      </c>
      <c r="Y22" s="2">
        <f t="shared" si="7"/>
        <v>0</v>
      </c>
      <c r="Z22" s="2">
        <f t="shared" si="8"/>
        <v>0</v>
      </c>
      <c r="AA22" s="2">
        <f t="shared" si="9"/>
        <v>0</v>
      </c>
      <c r="AB22" s="2">
        <f t="shared" si="10"/>
        <v>0</v>
      </c>
      <c r="AC22" s="2">
        <f t="shared" si="11"/>
        <v>0</v>
      </c>
      <c r="AD22" s="2">
        <f t="shared" si="13"/>
        <v>-560383</v>
      </c>
    </row>
    <row r="23" spans="1:30">
      <c r="A23" s="17">
        <f t="shared" si="14"/>
        <v>9</v>
      </c>
      <c r="B23" s="24" t="s">
        <v>31</v>
      </c>
      <c r="C23" s="25" t="s">
        <v>32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3">
        <f t="shared" si="0"/>
        <v>0</v>
      </c>
      <c r="Q23" s="38"/>
      <c r="R23" s="2">
        <f t="shared" si="12"/>
        <v>0</v>
      </c>
      <c r="S23" s="2">
        <f t="shared" si="1"/>
        <v>0</v>
      </c>
      <c r="T23" s="2">
        <f t="shared" si="2"/>
        <v>0</v>
      </c>
      <c r="U23" s="2">
        <f t="shared" si="3"/>
        <v>0</v>
      </c>
      <c r="V23" s="2">
        <f t="shared" si="4"/>
        <v>0</v>
      </c>
      <c r="W23" s="2">
        <f t="shared" si="5"/>
        <v>0</v>
      </c>
      <c r="X23" s="2">
        <f t="shared" si="6"/>
        <v>0</v>
      </c>
      <c r="Y23" s="2">
        <f t="shared" si="7"/>
        <v>0</v>
      </c>
      <c r="Z23" s="2">
        <f t="shared" si="8"/>
        <v>0</v>
      </c>
      <c r="AA23" s="2">
        <f t="shared" si="9"/>
        <v>0</v>
      </c>
      <c r="AB23" s="2">
        <f t="shared" si="10"/>
        <v>0</v>
      </c>
      <c r="AC23" s="2">
        <f t="shared" si="11"/>
        <v>0</v>
      </c>
      <c r="AD23" s="2">
        <f t="shared" si="13"/>
        <v>0</v>
      </c>
    </row>
    <row r="24" spans="1:30">
      <c r="A24" s="17">
        <f t="shared" si="14"/>
        <v>10</v>
      </c>
      <c r="B24" s="18" t="s">
        <v>33</v>
      </c>
      <c r="C24" s="19" t="s">
        <v>34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3">
        <f t="shared" si="0"/>
        <v>0</v>
      </c>
      <c r="R24" s="2">
        <f t="shared" si="12"/>
        <v>0</v>
      </c>
      <c r="S24" s="2">
        <f t="shared" si="1"/>
        <v>0</v>
      </c>
      <c r="T24" s="2">
        <f t="shared" si="2"/>
        <v>0</v>
      </c>
      <c r="U24" s="2">
        <f t="shared" si="3"/>
        <v>0</v>
      </c>
      <c r="V24" s="2">
        <f t="shared" si="4"/>
        <v>0</v>
      </c>
      <c r="W24" s="2">
        <f t="shared" si="5"/>
        <v>0</v>
      </c>
      <c r="X24" s="2">
        <f t="shared" si="6"/>
        <v>0</v>
      </c>
      <c r="Y24" s="2">
        <f t="shared" si="7"/>
        <v>0</v>
      </c>
      <c r="Z24" s="2">
        <f t="shared" si="8"/>
        <v>0</v>
      </c>
      <c r="AA24" s="2">
        <f t="shared" si="9"/>
        <v>0</v>
      </c>
      <c r="AB24" s="2">
        <f t="shared" si="10"/>
        <v>0</v>
      </c>
      <c r="AC24" s="2">
        <f t="shared" si="11"/>
        <v>0</v>
      </c>
      <c r="AD24" s="2">
        <f t="shared" si="13"/>
        <v>0</v>
      </c>
    </row>
    <row r="25" spans="1:30">
      <c r="A25" s="17">
        <f t="shared" si="14"/>
        <v>11</v>
      </c>
      <c r="B25" s="18" t="s">
        <v>35</v>
      </c>
      <c r="C25" s="19" t="s">
        <v>36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3">
        <f t="shared" si="0"/>
        <v>0</v>
      </c>
      <c r="R25" s="2">
        <f t="shared" si="12"/>
        <v>0</v>
      </c>
      <c r="S25" s="2">
        <f t="shared" si="1"/>
        <v>0</v>
      </c>
      <c r="T25" s="2">
        <f t="shared" si="2"/>
        <v>0</v>
      </c>
      <c r="U25" s="2">
        <f t="shared" si="3"/>
        <v>0</v>
      </c>
      <c r="V25" s="2">
        <f t="shared" si="4"/>
        <v>0</v>
      </c>
      <c r="W25" s="2">
        <f t="shared" si="5"/>
        <v>0</v>
      </c>
      <c r="X25" s="2">
        <f t="shared" si="6"/>
        <v>0</v>
      </c>
      <c r="Y25" s="2">
        <f t="shared" si="7"/>
        <v>0</v>
      </c>
      <c r="Z25" s="2">
        <f t="shared" si="8"/>
        <v>0</v>
      </c>
      <c r="AA25" s="2">
        <f t="shared" si="9"/>
        <v>0</v>
      </c>
      <c r="AB25" s="2">
        <f t="shared" si="10"/>
        <v>0</v>
      </c>
      <c r="AC25" s="2">
        <f t="shared" si="11"/>
        <v>0</v>
      </c>
      <c r="AD25" s="2">
        <f t="shared" si="13"/>
        <v>0</v>
      </c>
    </row>
    <row r="26" spans="1:30">
      <c r="A26" s="17">
        <f t="shared" si="14"/>
        <v>12</v>
      </c>
      <c r="B26" s="18">
        <v>3801</v>
      </c>
      <c r="C26" s="19" t="s">
        <v>37</v>
      </c>
      <c r="D26" s="22">
        <f>ROUND('2022 plant additions'!D26*'2022 plant retirements'!$D$63,0)</f>
        <v>9011</v>
      </c>
      <c r="E26" s="22">
        <f>ROUND('2022 plant additions'!E26*'2022 plant retirements'!$D$63,0)</f>
        <v>12015</v>
      </c>
      <c r="F26" s="22">
        <f>ROUND('2022 plant additions'!F26*'2022 plant retirements'!$D$63,0)</f>
        <v>15019</v>
      </c>
      <c r="G26" s="22">
        <f>ROUND('2022 plant additions'!G26*'2022 plant retirements'!$D$63,0)</f>
        <v>24030</v>
      </c>
      <c r="H26" s="22">
        <f>ROUND('2022 plant additions'!H26*'2022 plant retirements'!$D$63,0)</f>
        <v>24030</v>
      </c>
      <c r="I26" s="22">
        <f>ROUND('2022 plant additions'!I26*'2022 plant retirements'!$D$63,0)</f>
        <v>24030</v>
      </c>
      <c r="J26" s="22">
        <f>ROUND('2022 plant additions'!J26*'2022 plant retirements'!$D$63,0)</f>
        <v>27034</v>
      </c>
      <c r="K26" s="22">
        <f>ROUND('2022 plant additions'!K26*'2022 plant retirements'!$D$63,0)</f>
        <v>27034</v>
      </c>
      <c r="L26" s="22">
        <f>ROUND('2022 plant additions'!L26*'2022 plant retirements'!$D$63,0)</f>
        <v>27034</v>
      </c>
      <c r="M26" s="22">
        <f>ROUND('2022 plant additions'!M26*'2022 plant retirements'!$D$63,0)</f>
        <v>27034</v>
      </c>
      <c r="N26" s="22">
        <f>ROUND('2022 plant additions'!N26*'2022 plant retirements'!$D$63,0)</f>
        <v>24030</v>
      </c>
      <c r="O26" s="22">
        <f>ROUND('2022 plant additions'!O26*'2022 plant retirements'!$D$63,0)</f>
        <v>60076</v>
      </c>
      <c r="P26" s="23">
        <f t="shared" si="0"/>
        <v>300377</v>
      </c>
      <c r="R26" s="2">
        <f t="shared" si="12"/>
        <v>-9011</v>
      </c>
      <c r="S26" s="2">
        <f t="shared" si="1"/>
        <v>-12015</v>
      </c>
      <c r="T26" s="2">
        <f t="shared" si="2"/>
        <v>-15019</v>
      </c>
      <c r="U26" s="2">
        <f t="shared" si="3"/>
        <v>-24030</v>
      </c>
      <c r="V26" s="2">
        <f t="shared" si="4"/>
        <v>-24030</v>
      </c>
      <c r="W26" s="2">
        <f t="shared" si="5"/>
        <v>-24030</v>
      </c>
      <c r="X26" s="2">
        <f t="shared" si="6"/>
        <v>-27034</v>
      </c>
      <c r="Y26" s="2">
        <f t="shared" si="7"/>
        <v>-27034</v>
      </c>
      <c r="Z26" s="2">
        <f t="shared" si="8"/>
        <v>-27034</v>
      </c>
      <c r="AA26" s="2">
        <f t="shared" si="9"/>
        <v>-27034</v>
      </c>
      <c r="AB26" s="2">
        <f t="shared" si="10"/>
        <v>-24030</v>
      </c>
      <c r="AC26" s="2">
        <f t="shared" si="11"/>
        <v>-60076</v>
      </c>
      <c r="AD26" s="2">
        <f t="shared" si="13"/>
        <v>-300377</v>
      </c>
    </row>
    <row r="27" spans="1:30">
      <c r="A27" s="17">
        <f t="shared" si="14"/>
        <v>13</v>
      </c>
      <c r="B27" s="18">
        <v>3802</v>
      </c>
      <c r="C27" s="19" t="s">
        <v>38</v>
      </c>
      <c r="D27" s="22">
        <f>ROUND('2022 plant additions'!D28*'2022 plant retirements'!$D$78,0)</f>
        <v>20820</v>
      </c>
      <c r="E27" s="22">
        <f>ROUND('2022 plant additions'!E28*'2022 plant retirements'!$D$78,0)</f>
        <v>23688</v>
      </c>
      <c r="F27" s="22">
        <f>ROUND('2022 plant additions'!F28*'2022 plant retirements'!$D$78,0)</f>
        <v>113792</v>
      </c>
      <c r="G27" s="22">
        <f>ROUND('2022 plant additions'!G28*'2022 plant retirements'!$D$78,0)</f>
        <v>59605</v>
      </c>
      <c r="H27" s="22">
        <f>ROUND('2022 plant additions'!H28*'2022 plant retirements'!$D$78,0)</f>
        <v>59605</v>
      </c>
      <c r="I27" s="22">
        <f>ROUND('2022 plant additions'!I28*'2022 plant retirements'!$D$78,0)</f>
        <v>48768</v>
      </c>
      <c r="J27" s="22">
        <f>ROUND('2022 plant additions'!J28*'2022 plant retirements'!$D$78,0)</f>
        <v>43349</v>
      </c>
      <c r="K27" s="22">
        <f>ROUND('2022 plant additions'!K28*'2022 plant retirements'!$D$78,0)</f>
        <v>32512</v>
      </c>
      <c r="L27" s="22">
        <f>ROUND('2022 plant additions'!L28*'2022 plant retirements'!$D$78,0)</f>
        <v>32512</v>
      </c>
      <c r="M27" s="22">
        <f>ROUND('2022 plant additions'!M28*'2022 plant retirements'!$D$78,0)</f>
        <v>10837</v>
      </c>
      <c r="N27" s="22">
        <f>ROUND('2022 plant additions'!N28*'2022 plant retirements'!$D$78,0)</f>
        <v>0</v>
      </c>
      <c r="O27" s="22">
        <f>ROUND('2022 plant additions'!O28*'2022 plant retirements'!$D$78,0)</f>
        <v>0</v>
      </c>
      <c r="P27" s="23">
        <f t="shared" si="0"/>
        <v>445488</v>
      </c>
      <c r="R27" s="2">
        <f t="shared" si="12"/>
        <v>-20820</v>
      </c>
      <c r="S27" s="2">
        <f t="shared" si="1"/>
        <v>-23688</v>
      </c>
      <c r="T27" s="2">
        <f t="shared" si="2"/>
        <v>-113792</v>
      </c>
      <c r="U27" s="2">
        <f t="shared" si="3"/>
        <v>-59605</v>
      </c>
      <c r="V27" s="2">
        <f t="shared" si="4"/>
        <v>-59605</v>
      </c>
      <c r="W27" s="2">
        <f t="shared" si="5"/>
        <v>-48768</v>
      </c>
      <c r="X27" s="2">
        <f t="shared" si="6"/>
        <v>-43349</v>
      </c>
      <c r="Y27" s="2">
        <f t="shared" si="7"/>
        <v>-32512</v>
      </c>
      <c r="Z27" s="2">
        <f t="shared" si="8"/>
        <v>-32512</v>
      </c>
      <c r="AA27" s="2">
        <f t="shared" si="9"/>
        <v>-10837</v>
      </c>
      <c r="AB27" s="2">
        <f t="shared" si="10"/>
        <v>0</v>
      </c>
      <c r="AC27" s="2">
        <f t="shared" si="11"/>
        <v>0</v>
      </c>
      <c r="AD27" s="2">
        <f t="shared" si="13"/>
        <v>-445488</v>
      </c>
    </row>
    <row r="28" spans="1:30">
      <c r="A28" s="17">
        <f t="shared" si="14"/>
        <v>14</v>
      </c>
      <c r="B28" s="18" t="s">
        <v>39</v>
      </c>
      <c r="C28" s="19" t="s">
        <v>40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3">
        <f t="shared" si="0"/>
        <v>0</v>
      </c>
      <c r="R28" s="2">
        <f t="shared" si="12"/>
        <v>0</v>
      </c>
      <c r="S28" s="2">
        <f t="shared" si="1"/>
        <v>0</v>
      </c>
      <c r="T28" s="2">
        <f t="shared" si="2"/>
        <v>0</v>
      </c>
      <c r="U28" s="2">
        <f t="shared" si="3"/>
        <v>0</v>
      </c>
      <c r="V28" s="2">
        <f t="shared" si="4"/>
        <v>0</v>
      </c>
      <c r="W28" s="2">
        <f t="shared" si="5"/>
        <v>0</v>
      </c>
      <c r="X28" s="2">
        <f t="shared" si="6"/>
        <v>0</v>
      </c>
      <c r="Y28" s="2">
        <f t="shared" si="7"/>
        <v>0</v>
      </c>
      <c r="Z28" s="2">
        <f t="shared" si="8"/>
        <v>0</v>
      </c>
      <c r="AA28" s="2">
        <f t="shared" si="9"/>
        <v>0</v>
      </c>
      <c r="AB28" s="2">
        <f t="shared" si="10"/>
        <v>0</v>
      </c>
      <c r="AC28" s="2">
        <f t="shared" si="11"/>
        <v>0</v>
      </c>
      <c r="AD28" s="2">
        <f t="shared" si="13"/>
        <v>0</v>
      </c>
    </row>
    <row r="29" spans="1:30">
      <c r="A29" s="17">
        <f t="shared" si="14"/>
        <v>15</v>
      </c>
      <c r="B29" s="18" t="s">
        <v>41</v>
      </c>
      <c r="C29" s="19" t="s">
        <v>42</v>
      </c>
      <c r="D29" s="22">
        <f>ROUND('2022 plant additions'!D29*'2022 plant retirements'!$D$65,0)</f>
        <v>2619</v>
      </c>
      <c r="E29" s="22">
        <f>ROUND('2022 plant additions'!E29*'2022 plant retirements'!$D$65,0)</f>
        <v>3493</v>
      </c>
      <c r="F29" s="22">
        <f>ROUND('2022 plant additions'!F29*'2022 plant retirements'!$D$65,0)</f>
        <v>4366</v>
      </c>
      <c r="G29" s="22">
        <f>ROUND('2022 plant additions'!G29*'2022 plant retirements'!$D$65,0)</f>
        <v>6985</v>
      </c>
      <c r="H29" s="22">
        <f>ROUND('2022 plant additions'!H29*'2022 plant retirements'!$D$65,0)</f>
        <v>6985</v>
      </c>
      <c r="I29" s="22">
        <f>ROUND('2022 plant additions'!I29*'2022 plant retirements'!$D$65,0)</f>
        <v>6985</v>
      </c>
      <c r="J29" s="22">
        <f>ROUND('2022 plant additions'!J29*'2022 plant retirements'!$D$65,0)</f>
        <v>7858</v>
      </c>
      <c r="K29" s="22">
        <f>ROUND('2022 plant additions'!K29*'2022 plant retirements'!$D$65,0)</f>
        <v>7858</v>
      </c>
      <c r="L29" s="22">
        <f>ROUND('2022 plant additions'!L29*'2022 plant retirements'!$D$65,0)</f>
        <v>7858</v>
      </c>
      <c r="M29" s="22">
        <f>ROUND('2022 plant additions'!M29*'2022 plant retirements'!$D$65,0)</f>
        <v>7858</v>
      </c>
      <c r="N29" s="22">
        <f>ROUND('2022 plant additions'!N29*'2022 plant retirements'!$D$65,0)</f>
        <v>6985</v>
      </c>
      <c r="O29" s="22">
        <f>ROUND('2022 plant additions'!O29*'2022 plant retirements'!$D$65,0)</f>
        <v>17463</v>
      </c>
      <c r="P29" s="23">
        <f t="shared" si="0"/>
        <v>87313</v>
      </c>
      <c r="Q29" s="39"/>
      <c r="R29" s="2">
        <f t="shared" si="12"/>
        <v>-2619</v>
      </c>
      <c r="S29" s="2">
        <f t="shared" si="1"/>
        <v>-3493</v>
      </c>
      <c r="T29" s="2">
        <f t="shared" si="2"/>
        <v>-4366</v>
      </c>
      <c r="U29" s="2">
        <f t="shared" si="3"/>
        <v>-6985</v>
      </c>
      <c r="V29" s="2">
        <f t="shared" si="4"/>
        <v>-6985</v>
      </c>
      <c r="W29" s="2">
        <f t="shared" si="5"/>
        <v>-6985</v>
      </c>
      <c r="X29" s="2">
        <f t="shared" si="6"/>
        <v>-7858</v>
      </c>
      <c r="Y29" s="2">
        <f t="shared" si="7"/>
        <v>-7858</v>
      </c>
      <c r="Z29" s="2">
        <f t="shared" si="8"/>
        <v>-7858</v>
      </c>
      <c r="AA29" s="2">
        <f t="shared" si="9"/>
        <v>-7858</v>
      </c>
      <c r="AB29" s="2">
        <f t="shared" si="10"/>
        <v>-6985</v>
      </c>
      <c r="AC29" s="2">
        <f t="shared" si="11"/>
        <v>-17463</v>
      </c>
      <c r="AD29" s="2">
        <f t="shared" si="13"/>
        <v>-87313</v>
      </c>
    </row>
    <row r="30" spans="1:30">
      <c r="A30" s="17">
        <f t="shared" si="14"/>
        <v>16</v>
      </c>
      <c r="B30" s="18">
        <v>3811</v>
      </c>
      <c r="C30" s="19" t="s">
        <v>43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3">
        <f t="shared" si="0"/>
        <v>0</v>
      </c>
      <c r="R30" s="2">
        <f t="shared" si="12"/>
        <v>0</v>
      </c>
      <c r="S30" s="2">
        <f t="shared" si="1"/>
        <v>0</v>
      </c>
      <c r="T30" s="2">
        <f t="shared" si="2"/>
        <v>0</v>
      </c>
      <c r="U30" s="2">
        <f t="shared" si="3"/>
        <v>0</v>
      </c>
      <c r="V30" s="2">
        <f t="shared" si="4"/>
        <v>0</v>
      </c>
      <c r="W30" s="2">
        <f t="shared" si="5"/>
        <v>0</v>
      </c>
      <c r="X30" s="2">
        <f t="shared" si="6"/>
        <v>0</v>
      </c>
      <c r="Y30" s="2">
        <f t="shared" si="7"/>
        <v>0</v>
      </c>
      <c r="Z30" s="2">
        <f t="shared" si="8"/>
        <v>0</v>
      </c>
      <c r="AA30" s="2">
        <f t="shared" si="9"/>
        <v>0</v>
      </c>
      <c r="AB30" s="2">
        <f t="shared" si="10"/>
        <v>0</v>
      </c>
      <c r="AC30" s="2">
        <f t="shared" si="11"/>
        <v>0</v>
      </c>
      <c r="AD30" s="2">
        <f t="shared" si="13"/>
        <v>0</v>
      </c>
    </row>
    <row r="31" spans="1:30">
      <c r="A31" s="17">
        <f t="shared" si="14"/>
        <v>17</v>
      </c>
      <c r="B31" s="18" t="s">
        <v>44</v>
      </c>
      <c r="C31" s="19" t="s">
        <v>45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3">
        <f t="shared" si="0"/>
        <v>0</v>
      </c>
      <c r="R31" s="2">
        <f t="shared" si="12"/>
        <v>0</v>
      </c>
      <c r="S31" s="2">
        <f t="shared" si="1"/>
        <v>0</v>
      </c>
      <c r="T31" s="2">
        <f t="shared" si="2"/>
        <v>0</v>
      </c>
      <c r="U31" s="2">
        <f t="shared" si="3"/>
        <v>0</v>
      </c>
      <c r="V31" s="2">
        <f t="shared" si="4"/>
        <v>0</v>
      </c>
      <c r="W31" s="2">
        <f t="shared" si="5"/>
        <v>0</v>
      </c>
      <c r="X31" s="2">
        <f t="shared" si="6"/>
        <v>0</v>
      </c>
      <c r="Y31" s="2">
        <f t="shared" si="7"/>
        <v>0</v>
      </c>
      <c r="Z31" s="2">
        <f t="shared" si="8"/>
        <v>0</v>
      </c>
      <c r="AA31" s="2">
        <f t="shared" si="9"/>
        <v>0</v>
      </c>
      <c r="AB31" s="2">
        <f t="shared" si="10"/>
        <v>0</v>
      </c>
      <c r="AC31" s="2">
        <f t="shared" si="11"/>
        <v>0</v>
      </c>
      <c r="AD31" s="2">
        <f t="shared" si="13"/>
        <v>0</v>
      </c>
    </row>
    <row r="32" spans="1:30">
      <c r="A32" s="17">
        <f t="shared" si="14"/>
        <v>18</v>
      </c>
      <c r="B32" s="18">
        <v>3821</v>
      </c>
      <c r="C32" s="25" t="s">
        <v>46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3">
        <f t="shared" si="0"/>
        <v>0</v>
      </c>
      <c r="R32" s="2">
        <f t="shared" si="12"/>
        <v>0</v>
      </c>
      <c r="S32" s="2">
        <f t="shared" si="1"/>
        <v>0</v>
      </c>
      <c r="T32" s="2">
        <f t="shared" si="2"/>
        <v>0</v>
      </c>
      <c r="U32" s="2">
        <f t="shared" si="3"/>
        <v>0</v>
      </c>
      <c r="V32" s="2">
        <f t="shared" si="4"/>
        <v>0</v>
      </c>
      <c r="W32" s="2">
        <f t="shared" si="5"/>
        <v>0</v>
      </c>
      <c r="X32" s="2">
        <f t="shared" si="6"/>
        <v>0</v>
      </c>
      <c r="Y32" s="2">
        <f t="shared" si="7"/>
        <v>0</v>
      </c>
      <c r="Z32" s="2">
        <f t="shared" si="8"/>
        <v>0</v>
      </c>
      <c r="AA32" s="2">
        <f t="shared" si="9"/>
        <v>0</v>
      </c>
      <c r="AB32" s="2">
        <f t="shared" si="10"/>
        <v>0</v>
      </c>
      <c r="AC32" s="2">
        <f t="shared" si="11"/>
        <v>0</v>
      </c>
      <c r="AD32" s="2">
        <f t="shared" si="13"/>
        <v>0</v>
      </c>
    </row>
    <row r="33" spans="1:30">
      <c r="A33" s="17">
        <f t="shared" si="14"/>
        <v>19</v>
      </c>
      <c r="B33" s="18" t="s">
        <v>47</v>
      </c>
      <c r="C33" s="19" t="s">
        <v>48</v>
      </c>
      <c r="D33" s="22">
        <f>ROUND('2022 plant additions'!D33*'2022 plant retirements'!$D$66,0)</f>
        <v>98</v>
      </c>
      <c r="E33" s="22">
        <f>ROUND('2022 plant additions'!E33*'2022 plant retirements'!$D$66,0)</f>
        <v>131</v>
      </c>
      <c r="F33" s="22">
        <f>ROUND('2022 plant additions'!F33*'2022 plant retirements'!$D$66,0)</f>
        <v>164</v>
      </c>
      <c r="G33" s="22">
        <f>ROUND('2022 plant additions'!G33*'2022 plant retirements'!$D$66,0)</f>
        <v>262</v>
      </c>
      <c r="H33" s="22">
        <f>ROUND('2022 plant additions'!H33*'2022 plant retirements'!$D$66,0)</f>
        <v>262</v>
      </c>
      <c r="I33" s="22">
        <f>ROUND('2022 plant additions'!I33*'2022 plant retirements'!$D$66,0)</f>
        <v>262</v>
      </c>
      <c r="J33" s="22">
        <f>ROUND('2022 plant additions'!J33*'2022 plant retirements'!$D$66,0)</f>
        <v>294</v>
      </c>
      <c r="K33" s="22">
        <f>ROUND('2022 plant additions'!K33*'2022 plant retirements'!$D$66,0)</f>
        <v>294</v>
      </c>
      <c r="L33" s="22">
        <f>ROUND('2022 plant additions'!L33*'2022 plant retirements'!$D$66,0)</f>
        <v>294</v>
      </c>
      <c r="M33" s="22">
        <f>ROUND('2022 plant additions'!M33*'2022 plant retirements'!$D$66,0)</f>
        <v>294</v>
      </c>
      <c r="N33" s="22">
        <f>ROUND('2022 plant additions'!N33*'2022 plant retirements'!$D$66,0)</f>
        <v>262</v>
      </c>
      <c r="O33" s="22">
        <f>ROUND('2022 plant additions'!O33*'2022 plant retirements'!$D$66,0)</f>
        <v>654</v>
      </c>
      <c r="P33" s="23">
        <f t="shared" si="0"/>
        <v>3271</v>
      </c>
      <c r="R33" s="2">
        <f t="shared" si="12"/>
        <v>-98</v>
      </c>
      <c r="S33" s="2">
        <f t="shared" si="1"/>
        <v>-131</v>
      </c>
      <c r="T33" s="2">
        <f t="shared" si="2"/>
        <v>-164</v>
      </c>
      <c r="U33" s="2">
        <f t="shared" si="3"/>
        <v>-262</v>
      </c>
      <c r="V33" s="2">
        <f t="shared" si="4"/>
        <v>-262</v>
      </c>
      <c r="W33" s="2">
        <f t="shared" si="5"/>
        <v>-262</v>
      </c>
      <c r="X33" s="2">
        <f t="shared" si="6"/>
        <v>-294</v>
      </c>
      <c r="Y33" s="2">
        <f t="shared" si="7"/>
        <v>-294</v>
      </c>
      <c r="Z33" s="2">
        <f t="shared" si="8"/>
        <v>-294</v>
      </c>
      <c r="AA33" s="2">
        <f t="shared" si="9"/>
        <v>-294</v>
      </c>
      <c r="AB33" s="2">
        <f t="shared" si="10"/>
        <v>-262</v>
      </c>
      <c r="AC33" s="2">
        <f t="shared" si="11"/>
        <v>-654</v>
      </c>
      <c r="AD33" s="2">
        <f t="shared" si="13"/>
        <v>-3271</v>
      </c>
    </row>
    <row r="34" spans="1:30">
      <c r="A34" s="17">
        <f t="shared" si="14"/>
        <v>20</v>
      </c>
      <c r="B34" s="18" t="s">
        <v>49</v>
      </c>
      <c r="C34" s="19" t="s">
        <v>50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f t="shared" si="0"/>
        <v>0</v>
      </c>
      <c r="R34" s="2">
        <f t="shared" si="12"/>
        <v>0</v>
      </c>
      <c r="S34" s="2">
        <f t="shared" si="1"/>
        <v>0</v>
      </c>
      <c r="T34" s="2">
        <f t="shared" si="2"/>
        <v>0</v>
      </c>
      <c r="U34" s="2">
        <f t="shared" si="3"/>
        <v>0</v>
      </c>
      <c r="V34" s="2">
        <f t="shared" si="4"/>
        <v>0</v>
      </c>
      <c r="W34" s="2">
        <f t="shared" si="5"/>
        <v>0</v>
      </c>
      <c r="X34" s="2">
        <f t="shared" si="6"/>
        <v>0</v>
      </c>
      <c r="Y34" s="2">
        <f t="shared" si="7"/>
        <v>0</v>
      </c>
      <c r="Z34" s="2">
        <f t="shared" si="8"/>
        <v>0</v>
      </c>
      <c r="AA34" s="2">
        <f t="shared" si="9"/>
        <v>0</v>
      </c>
      <c r="AB34" s="2">
        <f t="shared" si="10"/>
        <v>0</v>
      </c>
      <c r="AC34" s="2">
        <f t="shared" si="11"/>
        <v>0</v>
      </c>
      <c r="AD34" s="2">
        <f t="shared" si="13"/>
        <v>0</v>
      </c>
    </row>
    <row r="35" spans="1:30">
      <c r="A35" s="17">
        <f t="shared" si="14"/>
        <v>21</v>
      </c>
      <c r="B35" s="18" t="s">
        <v>51</v>
      </c>
      <c r="C35" s="19" t="s">
        <v>52</v>
      </c>
      <c r="D35" s="22">
        <f>ROUND('2022 plant additions'!D35*'2022 plant retirements'!$D$67,0)</f>
        <v>1352</v>
      </c>
      <c r="E35" s="22">
        <f>ROUND('2022 plant additions'!E35*'2022 plant retirements'!$D$67,0)</f>
        <v>1803</v>
      </c>
      <c r="F35" s="22">
        <f>ROUND('2022 plant additions'!F35*'2022 plant retirements'!$D$67,0)</f>
        <v>2489</v>
      </c>
      <c r="G35" s="22">
        <f>ROUND('2022 plant additions'!G35*'2022 plant retirements'!$D$67,0)</f>
        <v>3606</v>
      </c>
      <c r="H35" s="22">
        <f>ROUND('2022 plant additions'!H35*'2022 plant retirements'!$D$67,0)</f>
        <v>3606</v>
      </c>
      <c r="I35" s="22">
        <f>ROUND('2022 plant additions'!I35*'2022 plant retirements'!$D$67,0)</f>
        <v>3842</v>
      </c>
      <c r="J35" s="22">
        <f>ROUND('2022 plant additions'!J35*'2022 plant retirements'!$D$67,0)</f>
        <v>4057</v>
      </c>
      <c r="K35" s="22">
        <f>ROUND('2022 plant additions'!K35*'2022 plant retirements'!$D$67,0)</f>
        <v>4057</v>
      </c>
      <c r="L35" s="22">
        <f>ROUND('2022 plant additions'!L35*'2022 plant retirements'!$D$67,0)</f>
        <v>4057</v>
      </c>
      <c r="M35" s="22">
        <f>ROUND('2022 plant additions'!M35*'2022 plant retirements'!$D$67,0)</f>
        <v>4057</v>
      </c>
      <c r="N35" s="22">
        <f>ROUND('2022 plant additions'!N35*'2022 plant retirements'!$D$67,0)</f>
        <v>3606</v>
      </c>
      <c r="O35" s="22">
        <f>ROUND('2022 plant additions'!O35*'2022 plant retirements'!$D$67,0)</f>
        <v>9015</v>
      </c>
      <c r="P35" s="23">
        <f t="shared" si="0"/>
        <v>45547</v>
      </c>
      <c r="R35" s="2">
        <f t="shared" si="12"/>
        <v>-1352</v>
      </c>
      <c r="S35" s="2">
        <f t="shared" si="1"/>
        <v>-1803</v>
      </c>
      <c r="T35" s="2">
        <f t="shared" si="2"/>
        <v>-2489</v>
      </c>
      <c r="U35" s="2">
        <f t="shared" si="3"/>
        <v>-3606</v>
      </c>
      <c r="V35" s="2">
        <f t="shared" si="4"/>
        <v>-3606</v>
      </c>
      <c r="W35" s="2">
        <f t="shared" si="5"/>
        <v>-3842</v>
      </c>
      <c r="X35" s="2">
        <f t="shared" si="6"/>
        <v>-4057</v>
      </c>
      <c r="Y35" s="2">
        <f t="shared" si="7"/>
        <v>-4057</v>
      </c>
      <c r="Z35" s="2">
        <f t="shared" si="8"/>
        <v>-4057</v>
      </c>
      <c r="AA35" s="2">
        <f t="shared" si="9"/>
        <v>-4057</v>
      </c>
      <c r="AB35" s="2">
        <f t="shared" si="10"/>
        <v>-3606</v>
      </c>
      <c r="AC35" s="2">
        <f t="shared" si="11"/>
        <v>-9015</v>
      </c>
      <c r="AD35" s="2">
        <f t="shared" si="13"/>
        <v>-45547</v>
      </c>
    </row>
    <row r="36" spans="1:30">
      <c r="A36" s="17">
        <f t="shared" si="14"/>
        <v>22</v>
      </c>
      <c r="B36" s="18" t="s">
        <v>53</v>
      </c>
      <c r="C36" s="19" t="s">
        <v>54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3">
        <f t="shared" si="0"/>
        <v>0</v>
      </c>
      <c r="R36" s="2">
        <f t="shared" si="12"/>
        <v>0</v>
      </c>
      <c r="S36" s="2">
        <f t="shared" si="1"/>
        <v>0</v>
      </c>
      <c r="T36" s="2">
        <f t="shared" si="2"/>
        <v>0</v>
      </c>
      <c r="U36" s="2">
        <f t="shared" si="3"/>
        <v>0</v>
      </c>
      <c r="V36" s="2">
        <f t="shared" si="4"/>
        <v>0</v>
      </c>
      <c r="W36" s="2">
        <f t="shared" si="5"/>
        <v>0</v>
      </c>
      <c r="X36" s="2">
        <f t="shared" si="6"/>
        <v>0</v>
      </c>
      <c r="Y36" s="2">
        <f t="shared" si="7"/>
        <v>0</v>
      </c>
      <c r="Z36" s="2">
        <f t="shared" si="8"/>
        <v>0</v>
      </c>
      <c r="AA36" s="2">
        <f t="shared" si="9"/>
        <v>0</v>
      </c>
      <c r="AB36" s="2">
        <f t="shared" si="10"/>
        <v>0</v>
      </c>
      <c r="AC36" s="2">
        <f t="shared" si="11"/>
        <v>0</v>
      </c>
      <c r="AD36" s="2">
        <f t="shared" si="13"/>
        <v>0</v>
      </c>
    </row>
    <row r="37" spans="1:30">
      <c r="A37" s="17">
        <f t="shared" si="14"/>
        <v>23</v>
      </c>
      <c r="B37" s="18" t="s">
        <v>55</v>
      </c>
      <c r="C37" s="19" t="s">
        <v>27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3">
        <f t="shared" si="0"/>
        <v>0</v>
      </c>
      <c r="R37" s="2">
        <f t="shared" si="12"/>
        <v>0</v>
      </c>
      <c r="S37" s="2">
        <f t="shared" si="1"/>
        <v>0</v>
      </c>
      <c r="T37" s="2">
        <f t="shared" si="2"/>
        <v>0</v>
      </c>
      <c r="U37" s="2">
        <f t="shared" si="3"/>
        <v>0</v>
      </c>
      <c r="V37" s="2">
        <f t="shared" si="4"/>
        <v>0</v>
      </c>
      <c r="W37" s="2">
        <f t="shared" si="5"/>
        <v>0</v>
      </c>
      <c r="X37" s="2">
        <f t="shared" si="6"/>
        <v>0</v>
      </c>
      <c r="Y37" s="2">
        <f t="shared" si="7"/>
        <v>0</v>
      </c>
      <c r="Z37" s="2">
        <f t="shared" si="8"/>
        <v>0</v>
      </c>
      <c r="AA37" s="2">
        <f t="shared" si="9"/>
        <v>0</v>
      </c>
      <c r="AB37" s="2">
        <f t="shared" si="10"/>
        <v>0</v>
      </c>
      <c r="AC37" s="2">
        <f t="shared" si="11"/>
        <v>0</v>
      </c>
      <c r="AD37" s="2">
        <f t="shared" si="13"/>
        <v>0</v>
      </c>
    </row>
    <row r="38" spans="1:30">
      <c r="A38" s="17">
        <f t="shared" si="14"/>
        <v>24</v>
      </c>
      <c r="B38" s="18" t="s">
        <v>56</v>
      </c>
      <c r="C38" s="19" t="s">
        <v>25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3">
        <f t="shared" si="0"/>
        <v>0</v>
      </c>
      <c r="R38" s="2">
        <f t="shared" si="12"/>
        <v>0</v>
      </c>
      <c r="S38" s="2">
        <f t="shared" si="1"/>
        <v>0</v>
      </c>
      <c r="T38" s="2">
        <f t="shared" si="2"/>
        <v>0</v>
      </c>
      <c r="U38" s="2">
        <f t="shared" si="3"/>
        <v>0</v>
      </c>
      <c r="V38" s="2">
        <f t="shared" si="4"/>
        <v>0</v>
      </c>
      <c r="W38" s="2">
        <f t="shared" si="5"/>
        <v>0</v>
      </c>
      <c r="X38" s="2">
        <f t="shared" si="6"/>
        <v>0</v>
      </c>
      <c r="Y38" s="2">
        <f t="shared" si="7"/>
        <v>0</v>
      </c>
      <c r="Z38" s="2">
        <f t="shared" si="8"/>
        <v>0</v>
      </c>
      <c r="AA38" s="2">
        <f t="shared" si="9"/>
        <v>0</v>
      </c>
      <c r="AB38" s="2">
        <f t="shared" si="10"/>
        <v>0</v>
      </c>
      <c r="AC38" s="2">
        <f t="shared" si="11"/>
        <v>0</v>
      </c>
      <c r="AD38" s="2">
        <f t="shared" si="13"/>
        <v>0</v>
      </c>
    </row>
    <row r="39" spans="1:30">
      <c r="A39" s="17">
        <f t="shared" si="14"/>
        <v>25</v>
      </c>
      <c r="B39" s="18">
        <v>3910</v>
      </c>
      <c r="C39" s="19" t="s">
        <v>57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4053.5</v>
      </c>
      <c r="P39" s="23">
        <f t="shared" si="0"/>
        <v>4053.5</v>
      </c>
      <c r="R39" s="2">
        <f t="shared" si="12"/>
        <v>0</v>
      </c>
      <c r="S39" s="2">
        <f t="shared" si="1"/>
        <v>0</v>
      </c>
      <c r="T39" s="2">
        <f t="shared" si="2"/>
        <v>0</v>
      </c>
      <c r="U39" s="2">
        <f t="shared" si="3"/>
        <v>0</v>
      </c>
      <c r="V39" s="2">
        <f t="shared" si="4"/>
        <v>0</v>
      </c>
      <c r="W39" s="2">
        <f t="shared" si="5"/>
        <v>0</v>
      </c>
      <c r="X39" s="2">
        <f t="shared" si="6"/>
        <v>0</v>
      </c>
      <c r="Y39" s="2">
        <f t="shared" si="7"/>
        <v>0</v>
      </c>
      <c r="Z39" s="2">
        <f t="shared" si="8"/>
        <v>0</v>
      </c>
      <c r="AA39" s="2">
        <f t="shared" si="9"/>
        <v>0</v>
      </c>
      <c r="AB39" s="2">
        <f t="shared" si="10"/>
        <v>0</v>
      </c>
      <c r="AC39" s="2">
        <f t="shared" si="11"/>
        <v>-4053.5</v>
      </c>
      <c r="AD39" s="2">
        <f t="shared" si="13"/>
        <v>-4053.5</v>
      </c>
    </row>
    <row r="40" spans="1:30">
      <c r="A40" s="17">
        <f t="shared" si="14"/>
        <v>26</v>
      </c>
      <c r="B40" s="18">
        <v>3911</v>
      </c>
      <c r="C40" s="19" t="s">
        <v>58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3">
        <f t="shared" si="0"/>
        <v>0</v>
      </c>
      <c r="R40" s="2">
        <f t="shared" si="12"/>
        <v>0</v>
      </c>
      <c r="S40" s="2">
        <f t="shared" si="1"/>
        <v>0</v>
      </c>
      <c r="T40" s="2">
        <f t="shared" si="2"/>
        <v>0</v>
      </c>
      <c r="U40" s="2">
        <f t="shared" si="3"/>
        <v>0</v>
      </c>
      <c r="V40" s="2">
        <f t="shared" si="4"/>
        <v>0</v>
      </c>
      <c r="W40" s="2">
        <f t="shared" si="5"/>
        <v>0</v>
      </c>
      <c r="X40" s="2">
        <f t="shared" si="6"/>
        <v>0</v>
      </c>
      <c r="Y40" s="2">
        <f t="shared" si="7"/>
        <v>0</v>
      </c>
      <c r="Z40" s="2">
        <f t="shared" si="8"/>
        <v>0</v>
      </c>
      <c r="AA40" s="2">
        <f t="shared" si="9"/>
        <v>0</v>
      </c>
      <c r="AB40" s="2">
        <f t="shared" si="10"/>
        <v>0</v>
      </c>
      <c r="AC40" s="2">
        <f t="shared" si="11"/>
        <v>0</v>
      </c>
      <c r="AD40" s="2">
        <f t="shared" si="13"/>
        <v>0</v>
      </c>
    </row>
    <row r="41" spans="1:30">
      <c r="A41" s="17">
        <f t="shared" si="14"/>
        <v>27</v>
      </c>
      <c r="B41" s="18">
        <v>3912</v>
      </c>
      <c r="C41" s="19" t="s">
        <v>59</v>
      </c>
      <c r="D41" s="22">
        <f>ROUND('2022 plant additions'!D41*'2022 plant retirements'!$D$68,0)</f>
        <v>0</v>
      </c>
      <c r="E41" s="22">
        <f>ROUND('2022 plant additions'!E41*'2022 plant retirements'!$D$68,0)</f>
        <v>0</v>
      </c>
      <c r="F41" s="22">
        <f>ROUND('2022 plant additions'!F41*'2022 plant retirements'!$D$68,0)</f>
        <v>0</v>
      </c>
      <c r="G41" s="22">
        <f>ROUND('2022 plant additions'!G41*'2022 plant retirements'!$D$68,0)</f>
        <v>0</v>
      </c>
      <c r="H41" s="22">
        <f>ROUND('2022 plant additions'!H41*'2022 plant retirements'!$D$68,0)</f>
        <v>0</v>
      </c>
      <c r="I41" s="22">
        <f>ROUND('2022 plant additions'!I41*'2022 plant retirements'!$D$68,0)</f>
        <v>0</v>
      </c>
      <c r="J41" s="22">
        <f>ROUND('2022 plant additions'!J41*'2022 plant retirements'!$D$68,0)</f>
        <v>0</v>
      </c>
      <c r="K41" s="22">
        <f>ROUND('2022 plant additions'!K41*'2022 plant retirements'!$D$68,0)</f>
        <v>0</v>
      </c>
      <c r="L41" s="22">
        <f>ROUND('2022 plant additions'!L41*'2022 plant retirements'!$D$68,0)</f>
        <v>0</v>
      </c>
      <c r="M41" s="22">
        <f>ROUND('2022 plant additions'!M41*'2022 plant retirements'!$D$68,0)</f>
        <v>0</v>
      </c>
      <c r="N41" s="22">
        <f>ROUND('2022 plant additions'!N41*'2022 plant retirements'!$D$68,0)</f>
        <v>0</v>
      </c>
      <c r="O41" s="22">
        <v>1165.8699999999999</v>
      </c>
      <c r="P41" s="23">
        <f t="shared" si="0"/>
        <v>1165.8699999999999</v>
      </c>
      <c r="R41" s="2">
        <f t="shared" si="12"/>
        <v>0</v>
      </c>
      <c r="S41" s="2">
        <f t="shared" si="1"/>
        <v>0</v>
      </c>
      <c r="T41" s="2">
        <f t="shared" si="2"/>
        <v>0</v>
      </c>
      <c r="U41" s="2">
        <f t="shared" si="3"/>
        <v>0</v>
      </c>
      <c r="V41" s="2">
        <f t="shared" si="4"/>
        <v>0</v>
      </c>
      <c r="W41" s="2">
        <f t="shared" si="5"/>
        <v>0</v>
      </c>
      <c r="X41" s="2">
        <f t="shared" si="6"/>
        <v>0</v>
      </c>
      <c r="Y41" s="2">
        <f t="shared" si="7"/>
        <v>0</v>
      </c>
      <c r="Z41" s="2">
        <f t="shared" si="8"/>
        <v>0</v>
      </c>
      <c r="AA41" s="2">
        <f t="shared" si="9"/>
        <v>0</v>
      </c>
      <c r="AB41" s="2">
        <f t="shared" si="10"/>
        <v>0</v>
      </c>
      <c r="AC41" s="2">
        <f t="shared" si="11"/>
        <v>-1165.8699999999999</v>
      </c>
      <c r="AD41" s="2">
        <f t="shared" si="13"/>
        <v>-1165.8699999999999</v>
      </c>
    </row>
    <row r="42" spans="1:30">
      <c r="A42" s="17">
        <f t="shared" si="14"/>
        <v>28</v>
      </c>
      <c r="B42" s="18">
        <v>3913</v>
      </c>
      <c r="C42" s="19" t="s">
        <v>60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44972.310000000005</v>
      </c>
      <c r="P42" s="23">
        <f t="shared" si="0"/>
        <v>44972.310000000005</v>
      </c>
      <c r="R42" s="2">
        <f t="shared" si="12"/>
        <v>0</v>
      </c>
      <c r="S42" s="2">
        <f t="shared" si="1"/>
        <v>0</v>
      </c>
      <c r="T42" s="2">
        <f t="shared" si="2"/>
        <v>0</v>
      </c>
      <c r="U42" s="2">
        <f t="shared" si="3"/>
        <v>0</v>
      </c>
      <c r="V42" s="2">
        <f t="shared" si="4"/>
        <v>0</v>
      </c>
      <c r="W42" s="2">
        <f t="shared" si="5"/>
        <v>0</v>
      </c>
      <c r="X42" s="2">
        <f t="shared" si="6"/>
        <v>0</v>
      </c>
      <c r="Y42" s="2">
        <f t="shared" si="7"/>
        <v>0</v>
      </c>
      <c r="Z42" s="2">
        <f t="shared" si="8"/>
        <v>0</v>
      </c>
      <c r="AA42" s="2">
        <f t="shared" si="9"/>
        <v>0</v>
      </c>
      <c r="AB42" s="2">
        <f t="shared" si="10"/>
        <v>0</v>
      </c>
      <c r="AC42" s="2">
        <f t="shared" si="11"/>
        <v>-44972.310000000005</v>
      </c>
      <c r="AD42" s="2">
        <f t="shared" si="13"/>
        <v>-44972.310000000005</v>
      </c>
    </row>
    <row r="43" spans="1:30">
      <c r="A43" s="17">
        <f t="shared" si="14"/>
        <v>29</v>
      </c>
      <c r="B43" s="18">
        <v>3914</v>
      </c>
      <c r="C43" s="19" t="s">
        <v>61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3">
        <f t="shared" si="0"/>
        <v>0</v>
      </c>
      <c r="R43" s="2">
        <f t="shared" si="12"/>
        <v>0</v>
      </c>
      <c r="S43" s="2">
        <f t="shared" si="1"/>
        <v>0</v>
      </c>
      <c r="T43" s="2">
        <f t="shared" si="2"/>
        <v>0</v>
      </c>
      <c r="U43" s="2">
        <f t="shared" si="3"/>
        <v>0</v>
      </c>
      <c r="V43" s="2">
        <f t="shared" si="4"/>
        <v>0</v>
      </c>
      <c r="W43" s="2">
        <f t="shared" si="5"/>
        <v>0</v>
      </c>
      <c r="X43" s="2">
        <f t="shared" si="6"/>
        <v>0</v>
      </c>
      <c r="Y43" s="2">
        <f t="shared" si="7"/>
        <v>0</v>
      </c>
      <c r="Z43" s="2">
        <f t="shared" si="8"/>
        <v>0</v>
      </c>
      <c r="AA43" s="2">
        <f t="shared" si="9"/>
        <v>0</v>
      </c>
      <c r="AB43" s="2">
        <f t="shared" si="10"/>
        <v>0</v>
      </c>
      <c r="AC43" s="2">
        <f t="shared" si="11"/>
        <v>0</v>
      </c>
      <c r="AD43" s="2">
        <f t="shared" si="13"/>
        <v>0</v>
      </c>
    </row>
    <row r="44" spans="1:30">
      <c r="A44" s="17">
        <f t="shared" si="14"/>
        <v>30</v>
      </c>
      <c r="B44" s="18">
        <v>392</v>
      </c>
      <c r="C44" s="25" t="s">
        <v>62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3">
        <f t="shared" si="0"/>
        <v>0</v>
      </c>
      <c r="R44" s="2">
        <f t="shared" si="12"/>
        <v>0</v>
      </c>
      <c r="S44" s="2">
        <f t="shared" si="1"/>
        <v>0</v>
      </c>
      <c r="T44" s="2">
        <f t="shared" si="2"/>
        <v>0</v>
      </c>
      <c r="U44" s="2">
        <f t="shared" si="3"/>
        <v>0</v>
      </c>
      <c r="V44" s="2">
        <f t="shared" si="4"/>
        <v>0</v>
      </c>
      <c r="W44" s="2">
        <f t="shared" si="5"/>
        <v>0</v>
      </c>
      <c r="X44" s="2">
        <f t="shared" si="6"/>
        <v>0</v>
      </c>
      <c r="Y44" s="2">
        <f t="shared" si="7"/>
        <v>0</v>
      </c>
      <c r="Z44" s="2">
        <f t="shared" si="8"/>
        <v>0</v>
      </c>
      <c r="AA44" s="2">
        <f t="shared" si="9"/>
        <v>0</v>
      </c>
      <c r="AB44" s="2">
        <f t="shared" si="10"/>
        <v>0</v>
      </c>
      <c r="AC44" s="2">
        <f t="shared" si="11"/>
        <v>0</v>
      </c>
      <c r="AD44" s="2">
        <f t="shared" si="13"/>
        <v>0</v>
      </c>
    </row>
    <row r="45" spans="1:30">
      <c r="A45" s="17">
        <f t="shared" si="14"/>
        <v>31</v>
      </c>
      <c r="B45" s="18">
        <v>3921</v>
      </c>
      <c r="C45" s="19" t="s">
        <v>63</v>
      </c>
      <c r="D45" s="22">
        <f>ROUND('2022 plant additions'!D45*'2022 plant retirements'!$D$69,0)</f>
        <v>0</v>
      </c>
      <c r="E45" s="22">
        <f>ROUND('2022 plant additions'!E45*'2022 plant retirements'!$D$69,0)</f>
        <v>0</v>
      </c>
      <c r="F45" s="22">
        <f>ROUND('2022 plant additions'!F45*'2022 plant retirements'!$D$69,0)</f>
        <v>0</v>
      </c>
      <c r="G45" s="22">
        <f>ROUND('2022 plant additions'!G45*'2022 plant retirements'!$D$69,0)</f>
        <v>0</v>
      </c>
      <c r="H45" s="22">
        <f>ROUND('2022 plant additions'!H45*'2022 plant retirements'!$D$69,0)</f>
        <v>0</v>
      </c>
      <c r="I45" s="22">
        <f>ROUND('2022 plant additions'!I45*'2022 plant retirements'!$D$69,0)</f>
        <v>0</v>
      </c>
      <c r="J45" s="22">
        <f>ROUND('2022 plant additions'!J45*'2022 plant retirements'!$D$69,0)</f>
        <v>0</v>
      </c>
      <c r="K45" s="22">
        <f>ROUND('2022 plant additions'!K45*'2022 plant retirements'!$D$69,0)</f>
        <v>0</v>
      </c>
      <c r="L45" s="22">
        <f>ROUND('2022 plant additions'!L45*'2022 plant retirements'!$D$69,0)</f>
        <v>0</v>
      </c>
      <c r="M45" s="22">
        <f>ROUND('2022 plant additions'!M45*'2022 plant retirements'!$D$69,0)-16328</f>
        <v>58922</v>
      </c>
      <c r="N45" s="22">
        <f>ROUND('2022 plant additions'!N45*'2022 plant retirements'!$D$69,0)</f>
        <v>0</v>
      </c>
      <c r="O45" s="22">
        <f>ROUND('2022 plant additions'!O45*'2022 plant retirements'!$D$69,0)</f>
        <v>0</v>
      </c>
      <c r="P45" s="23">
        <f t="shared" si="0"/>
        <v>58922</v>
      </c>
      <c r="R45" s="2">
        <f t="shared" si="12"/>
        <v>0</v>
      </c>
      <c r="S45" s="2">
        <f t="shared" si="1"/>
        <v>0</v>
      </c>
      <c r="T45" s="2">
        <f t="shared" si="2"/>
        <v>0</v>
      </c>
      <c r="U45" s="2">
        <f t="shared" si="3"/>
        <v>0</v>
      </c>
      <c r="V45" s="2">
        <f t="shared" si="4"/>
        <v>0</v>
      </c>
      <c r="W45" s="2">
        <f t="shared" si="5"/>
        <v>0</v>
      </c>
      <c r="X45" s="2">
        <f t="shared" si="6"/>
        <v>0</v>
      </c>
      <c r="Y45" s="2">
        <f t="shared" si="7"/>
        <v>0</v>
      </c>
      <c r="Z45" s="2">
        <f t="shared" si="8"/>
        <v>0</v>
      </c>
      <c r="AA45" s="2">
        <f t="shared" si="9"/>
        <v>-58922</v>
      </c>
      <c r="AB45" s="2">
        <f t="shared" si="10"/>
        <v>0</v>
      </c>
      <c r="AC45" s="2">
        <f t="shared" si="11"/>
        <v>0</v>
      </c>
      <c r="AD45" s="2">
        <f t="shared" si="13"/>
        <v>-58922</v>
      </c>
    </row>
    <row r="46" spans="1:30">
      <c r="A46" s="17">
        <f t="shared" si="14"/>
        <v>32</v>
      </c>
      <c r="B46" s="18">
        <v>3922</v>
      </c>
      <c r="C46" s="19" t="s">
        <v>64</v>
      </c>
      <c r="D46" s="22">
        <f>ROUND('2022 plant additions'!D46*'2022 plant retirements'!$D$70,0)</f>
        <v>0</v>
      </c>
      <c r="E46" s="22">
        <f>ROUND('2022 plant additions'!E46*'2022 plant retirements'!$D$70,0)</f>
        <v>0</v>
      </c>
      <c r="F46" s="22">
        <f>ROUND('2022 plant additions'!F46*'2022 plant retirements'!$D$70,0)+8164</f>
        <v>16075</v>
      </c>
      <c r="G46" s="22">
        <f>ROUND('2022 plant additions'!G46*'2022 plant retirements'!$D$70,0)</f>
        <v>0</v>
      </c>
      <c r="H46" s="22">
        <f>ROUND('2022 plant additions'!H46*'2022 plant retirements'!$D$70,0)</f>
        <v>0</v>
      </c>
      <c r="I46" s="22">
        <f>ROUND('2022 plant additions'!I46*'2022 plant retirements'!$D$70,0)+8164</f>
        <v>10289</v>
      </c>
      <c r="J46" s="22">
        <f>ROUND('2022 plant additions'!J46*'2022 plant retirements'!$D$70,0)</f>
        <v>0</v>
      </c>
      <c r="K46" s="22">
        <f>ROUND('2022 plant additions'!K46*'2022 plant retirements'!$D$70,0)</f>
        <v>0</v>
      </c>
      <c r="L46" s="22">
        <f>ROUND('2022 plant additions'!L46*'2022 plant retirements'!$D$70,0)</f>
        <v>0</v>
      </c>
      <c r="M46" s="22">
        <f>ROUND('2022 plant additions'!M46*'2022 plant retirements'!$D$70,0)</f>
        <v>196738</v>
      </c>
      <c r="N46" s="22">
        <f>ROUND('2022 plant additions'!N46*'2022 plant retirements'!$D$70,0)</f>
        <v>0</v>
      </c>
      <c r="O46" s="22">
        <f>ROUND('2022 plant additions'!O46*'2022 plant retirements'!$D$70,0)</f>
        <v>0</v>
      </c>
      <c r="P46" s="23">
        <f t="shared" si="0"/>
        <v>223102</v>
      </c>
      <c r="R46" s="2">
        <f t="shared" si="12"/>
        <v>0</v>
      </c>
      <c r="S46" s="2">
        <f t="shared" si="1"/>
        <v>0</v>
      </c>
      <c r="T46" s="2">
        <f t="shared" si="2"/>
        <v>-16075</v>
      </c>
      <c r="U46" s="2">
        <f t="shared" si="3"/>
        <v>0</v>
      </c>
      <c r="V46" s="2">
        <f t="shared" si="4"/>
        <v>0</v>
      </c>
      <c r="W46" s="2">
        <f t="shared" si="5"/>
        <v>-10289</v>
      </c>
      <c r="X46" s="2">
        <f t="shared" si="6"/>
        <v>0</v>
      </c>
      <c r="Y46" s="2">
        <f t="shared" si="7"/>
        <v>0</v>
      </c>
      <c r="Z46" s="2">
        <f t="shared" si="8"/>
        <v>0</v>
      </c>
      <c r="AA46" s="2">
        <f t="shared" si="9"/>
        <v>-196738</v>
      </c>
      <c r="AB46" s="2">
        <f t="shared" si="10"/>
        <v>0</v>
      </c>
      <c r="AC46" s="2">
        <f t="shared" si="11"/>
        <v>0</v>
      </c>
      <c r="AD46" s="2">
        <f t="shared" si="13"/>
        <v>-223102</v>
      </c>
    </row>
    <row r="47" spans="1:30">
      <c r="A47" s="17">
        <f t="shared" si="14"/>
        <v>33</v>
      </c>
      <c r="B47" s="18">
        <v>3924</v>
      </c>
      <c r="C47" s="25" t="s">
        <v>65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3">
        <f t="shared" si="0"/>
        <v>0</v>
      </c>
      <c r="R47" s="2">
        <f t="shared" si="12"/>
        <v>0</v>
      </c>
      <c r="S47" s="2">
        <f t="shared" si="1"/>
        <v>0</v>
      </c>
      <c r="T47" s="2">
        <f t="shared" si="2"/>
        <v>0</v>
      </c>
      <c r="U47" s="2">
        <f t="shared" si="3"/>
        <v>0</v>
      </c>
      <c r="V47" s="2">
        <f t="shared" si="4"/>
        <v>0</v>
      </c>
      <c r="W47" s="2">
        <f t="shared" si="5"/>
        <v>0</v>
      </c>
      <c r="X47" s="2">
        <f t="shared" si="6"/>
        <v>0</v>
      </c>
      <c r="Y47" s="2">
        <f t="shared" si="7"/>
        <v>0</v>
      </c>
      <c r="Z47" s="2">
        <f t="shared" si="8"/>
        <v>0</v>
      </c>
      <c r="AA47" s="2">
        <f t="shared" si="9"/>
        <v>0</v>
      </c>
      <c r="AB47" s="2">
        <f t="shared" si="10"/>
        <v>0</v>
      </c>
      <c r="AC47" s="2">
        <f t="shared" si="11"/>
        <v>0</v>
      </c>
      <c r="AD47" s="2">
        <f t="shared" si="13"/>
        <v>0</v>
      </c>
    </row>
    <row r="48" spans="1:30">
      <c r="A48" s="17">
        <f t="shared" si="14"/>
        <v>34</v>
      </c>
      <c r="B48" s="18" t="s">
        <v>66</v>
      </c>
      <c r="C48" s="19" t="s">
        <v>67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524.39</v>
      </c>
      <c r="P48" s="23">
        <f t="shared" si="0"/>
        <v>524.39</v>
      </c>
      <c r="R48" s="2">
        <f t="shared" si="12"/>
        <v>0</v>
      </c>
      <c r="S48" s="2">
        <f t="shared" si="1"/>
        <v>0</v>
      </c>
      <c r="T48" s="2">
        <f t="shared" si="2"/>
        <v>0</v>
      </c>
      <c r="U48" s="2">
        <f t="shared" si="3"/>
        <v>0</v>
      </c>
      <c r="V48" s="2">
        <f t="shared" si="4"/>
        <v>0</v>
      </c>
      <c r="W48" s="2">
        <f t="shared" si="5"/>
        <v>0</v>
      </c>
      <c r="X48" s="2">
        <f t="shared" si="6"/>
        <v>0</v>
      </c>
      <c r="Y48" s="2">
        <f t="shared" si="7"/>
        <v>0</v>
      </c>
      <c r="Z48" s="2">
        <f t="shared" si="8"/>
        <v>0</v>
      </c>
      <c r="AA48" s="2">
        <f t="shared" si="9"/>
        <v>0</v>
      </c>
      <c r="AB48" s="2">
        <f t="shared" si="10"/>
        <v>0</v>
      </c>
      <c r="AC48" s="2">
        <f t="shared" si="11"/>
        <v>-524.39</v>
      </c>
      <c r="AD48" s="2">
        <f t="shared" si="13"/>
        <v>-524.39</v>
      </c>
    </row>
    <row r="49" spans="1:30">
      <c r="A49" s="17">
        <f t="shared" si="14"/>
        <v>35</v>
      </c>
      <c r="B49" s="18" t="s">
        <v>68</v>
      </c>
      <c r="C49" s="19" t="s">
        <v>69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27049.090000000011</v>
      </c>
      <c r="P49" s="23">
        <f t="shared" si="0"/>
        <v>27049.090000000011</v>
      </c>
      <c r="R49" s="2">
        <f t="shared" si="12"/>
        <v>0</v>
      </c>
      <c r="S49" s="2">
        <f t="shared" si="1"/>
        <v>0</v>
      </c>
      <c r="T49" s="2">
        <f t="shared" si="2"/>
        <v>0</v>
      </c>
      <c r="U49" s="2">
        <f t="shared" si="3"/>
        <v>0</v>
      </c>
      <c r="V49" s="2">
        <f t="shared" si="4"/>
        <v>0</v>
      </c>
      <c r="W49" s="2">
        <f t="shared" si="5"/>
        <v>0</v>
      </c>
      <c r="X49" s="2">
        <f t="shared" si="6"/>
        <v>0</v>
      </c>
      <c r="Y49" s="2">
        <f t="shared" si="7"/>
        <v>0</v>
      </c>
      <c r="Z49" s="2">
        <f t="shared" si="8"/>
        <v>0</v>
      </c>
      <c r="AA49" s="2">
        <f t="shared" si="9"/>
        <v>0</v>
      </c>
      <c r="AB49" s="2">
        <f t="shared" si="10"/>
        <v>0</v>
      </c>
      <c r="AC49" s="2">
        <f t="shared" si="11"/>
        <v>-27049.090000000011</v>
      </c>
      <c r="AD49" s="2">
        <f t="shared" si="13"/>
        <v>-27049.090000000011</v>
      </c>
    </row>
    <row r="50" spans="1:30">
      <c r="A50" s="17">
        <f t="shared" si="14"/>
        <v>36</v>
      </c>
      <c r="B50" s="18" t="s">
        <v>70</v>
      </c>
      <c r="C50" s="19" t="s">
        <v>71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3">
        <f t="shared" si="0"/>
        <v>0</v>
      </c>
      <c r="R50" s="2">
        <f t="shared" si="12"/>
        <v>0</v>
      </c>
      <c r="S50" s="2">
        <f t="shared" si="1"/>
        <v>0</v>
      </c>
      <c r="T50" s="2">
        <f t="shared" si="2"/>
        <v>0</v>
      </c>
      <c r="U50" s="2">
        <f t="shared" si="3"/>
        <v>0</v>
      </c>
      <c r="V50" s="2">
        <f t="shared" si="4"/>
        <v>0</v>
      </c>
      <c r="W50" s="2">
        <f t="shared" si="5"/>
        <v>0</v>
      </c>
      <c r="X50" s="2">
        <f t="shared" si="6"/>
        <v>0</v>
      </c>
      <c r="Y50" s="2">
        <f t="shared" si="7"/>
        <v>0</v>
      </c>
      <c r="Z50" s="2">
        <f t="shared" si="8"/>
        <v>0</v>
      </c>
      <c r="AA50" s="2">
        <f t="shared" si="9"/>
        <v>0</v>
      </c>
      <c r="AB50" s="2">
        <f t="shared" si="10"/>
        <v>0</v>
      </c>
      <c r="AC50" s="2">
        <f t="shared" si="11"/>
        <v>0</v>
      </c>
      <c r="AD50" s="2">
        <f t="shared" si="13"/>
        <v>0</v>
      </c>
    </row>
    <row r="51" spans="1:30">
      <c r="A51" s="17">
        <f t="shared" si="14"/>
        <v>37</v>
      </c>
      <c r="B51" s="18" t="s">
        <v>72</v>
      </c>
      <c r="C51" s="19" t="s">
        <v>73</v>
      </c>
      <c r="D51" s="22">
        <f>ROUND('2022 plant additions'!D51*'2022 plant retirements'!$D$72,0)</f>
        <v>0</v>
      </c>
      <c r="E51" s="22">
        <f>ROUND('2022 plant additions'!E51*'2022 plant retirements'!$D$72,0)</f>
        <v>0</v>
      </c>
      <c r="F51" s="22">
        <v>0</v>
      </c>
      <c r="G51" s="22">
        <f>ROUND('2022 plant additions'!G51*'2022 plant retirements'!$D$72,0)</f>
        <v>0</v>
      </c>
      <c r="H51" s="22">
        <f>ROUND('2022 plant additions'!H51*'2022 plant retirements'!$D$72,0)</f>
        <v>0</v>
      </c>
      <c r="I51" s="22">
        <v>0</v>
      </c>
      <c r="J51" s="22">
        <f>ROUND('2022 plant additions'!J51*'2022 plant retirements'!$D$72,0)</f>
        <v>0</v>
      </c>
      <c r="K51" s="22">
        <f>ROUND('2022 plant additions'!K51*'2022 plant retirements'!$D$72,0)</f>
        <v>0</v>
      </c>
      <c r="L51" s="22">
        <f>ROUND('2022 plant additions'!L51*'2022 plant retirements'!$D$72,0)</f>
        <v>0</v>
      </c>
      <c r="M51" s="22">
        <f>ROUND('2022 plant additions'!M51*'2022 plant retirements'!$D$72,0)</f>
        <v>0</v>
      </c>
      <c r="N51" s="22">
        <f>ROUND('2022 plant additions'!N51*'2022 plant retirements'!$D$72,0)</f>
        <v>0</v>
      </c>
      <c r="O51" s="22">
        <v>2925.04</v>
      </c>
      <c r="P51" s="23">
        <f t="shared" si="0"/>
        <v>2925.04</v>
      </c>
      <c r="R51" s="2">
        <f t="shared" si="12"/>
        <v>0</v>
      </c>
      <c r="S51" s="2">
        <f t="shared" si="1"/>
        <v>0</v>
      </c>
      <c r="T51" s="2">
        <f t="shared" si="2"/>
        <v>0</v>
      </c>
      <c r="U51" s="2">
        <f t="shared" si="3"/>
        <v>0</v>
      </c>
      <c r="V51" s="2">
        <f t="shared" si="4"/>
        <v>0</v>
      </c>
      <c r="W51" s="2">
        <f t="shared" si="5"/>
        <v>0</v>
      </c>
      <c r="X51" s="2">
        <f t="shared" si="6"/>
        <v>0</v>
      </c>
      <c r="Y51" s="2">
        <f t="shared" si="7"/>
        <v>0</v>
      </c>
      <c r="Z51" s="2">
        <f t="shared" si="8"/>
        <v>0</v>
      </c>
      <c r="AA51" s="2">
        <f t="shared" si="9"/>
        <v>0</v>
      </c>
      <c r="AB51" s="2">
        <f t="shared" si="10"/>
        <v>0</v>
      </c>
      <c r="AC51" s="2">
        <f t="shared" si="11"/>
        <v>-2925.04</v>
      </c>
      <c r="AD51" s="2">
        <f t="shared" si="13"/>
        <v>-2925.04</v>
      </c>
    </row>
    <row r="52" spans="1:30">
      <c r="A52" s="17">
        <f t="shared" si="14"/>
        <v>38</v>
      </c>
      <c r="B52" s="18" t="s">
        <v>74</v>
      </c>
      <c r="C52" s="19" t="s">
        <v>75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10705.470000000001</v>
      </c>
      <c r="P52" s="23">
        <f t="shared" si="0"/>
        <v>10705.470000000001</v>
      </c>
      <c r="R52" s="2">
        <f t="shared" si="12"/>
        <v>0</v>
      </c>
      <c r="S52" s="2">
        <f t="shared" si="1"/>
        <v>0</v>
      </c>
      <c r="T52" s="2">
        <f t="shared" si="2"/>
        <v>0</v>
      </c>
      <c r="U52" s="2">
        <f t="shared" si="3"/>
        <v>0</v>
      </c>
      <c r="V52" s="2">
        <f t="shared" si="4"/>
        <v>0</v>
      </c>
      <c r="W52" s="2">
        <f t="shared" si="5"/>
        <v>0</v>
      </c>
      <c r="X52" s="2">
        <f t="shared" si="6"/>
        <v>0</v>
      </c>
      <c r="Y52" s="2">
        <f t="shared" si="7"/>
        <v>0</v>
      </c>
      <c r="Z52" s="2">
        <f t="shared" si="8"/>
        <v>0</v>
      </c>
      <c r="AA52" s="2">
        <f t="shared" si="9"/>
        <v>0</v>
      </c>
      <c r="AB52" s="2">
        <f t="shared" si="10"/>
        <v>0</v>
      </c>
      <c r="AC52" s="2">
        <f t="shared" si="11"/>
        <v>-10705.470000000001</v>
      </c>
      <c r="AD52" s="2">
        <f t="shared" si="13"/>
        <v>-10705.470000000001</v>
      </c>
    </row>
    <row r="53" spans="1:30">
      <c r="A53" s="26"/>
      <c r="B53" s="27"/>
      <c r="C53" s="4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</row>
    <row r="54" spans="1:30">
      <c r="A54" s="2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30" ht="15.75" thickBot="1">
      <c r="A55" s="26">
        <v>39</v>
      </c>
      <c r="C55" s="121" t="s">
        <v>84</v>
      </c>
      <c r="D55" s="31">
        <f t="shared" ref="D55:O55" si="15">SUM(D15:D54)</f>
        <v>137069</v>
      </c>
      <c r="E55" s="31">
        <f t="shared" si="15"/>
        <v>157911</v>
      </c>
      <c r="F55" s="31">
        <f t="shared" si="15"/>
        <v>571159</v>
      </c>
      <c r="G55" s="31">
        <f t="shared" si="15"/>
        <v>209104</v>
      </c>
      <c r="H55" s="31">
        <f t="shared" si="15"/>
        <v>187389</v>
      </c>
      <c r="I55" s="31">
        <f t="shared" si="15"/>
        <v>304799</v>
      </c>
      <c r="J55" s="31">
        <f t="shared" si="15"/>
        <v>150998</v>
      </c>
      <c r="K55" s="31">
        <f t="shared" si="15"/>
        <v>114911</v>
      </c>
      <c r="L55" s="31">
        <f t="shared" si="15"/>
        <v>120806</v>
      </c>
      <c r="M55" s="31">
        <f t="shared" si="15"/>
        <v>348896</v>
      </c>
      <c r="N55" s="31">
        <f t="shared" si="15"/>
        <v>73244</v>
      </c>
      <c r="O55" s="31">
        <f t="shared" si="15"/>
        <v>280400.67000000004</v>
      </c>
      <c r="P55" s="31">
        <f>SUM(P15:P54)</f>
        <v>2656686.6700000004</v>
      </c>
      <c r="R55" s="31">
        <f t="shared" ref="R55:AD55" si="16">SUM(R15:R54)</f>
        <v>-137069</v>
      </c>
      <c r="S55" s="31">
        <f t="shared" si="16"/>
        <v>-157911</v>
      </c>
      <c r="T55" s="31">
        <f t="shared" si="16"/>
        <v>-571159</v>
      </c>
      <c r="U55" s="31">
        <f t="shared" si="16"/>
        <v>-209104</v>
      </c>
      <c r="V55" s="31">
        <f t="shared" si="16"/>
        <v>-187389</v>
      </c>
      <c r="W55" s="31">
        <f t="shared" si="16"/>
        <v>-304799</v>
      </c>
      <c r="X55" s="31">
        <f t="shared" si="16"/>
        <v>-150998</v>
      </c>
      <c r="Y55" s="31">
        <f t="shared" si="16"/>
        <v>-114911</v>
      </c>
      <c r="Z55" s="31">
        <f t="shared" si="16"/>
        <v>-120806</v>
      </c>
      <c r="AA55" s="31">
        <f t="shared" si="16"/>
        <v>-348896</v>
      </c>
      <c r="AB55" s="31">
        <f t="shared" si="16"/>
        <v>-73244</v>
      </c>
      <c r="AC55" s="31">
        <f t="shared" si="16"/>
        <v>-280400.67000000004</v>
      </c>
      <c r="AD55" s="31">
        <f t="shared" si="16"/>
        <v>-2656686.6700000004</v>
      </c>
    </row>
    <row r="56" spans="1:30" ht="15.75" thickTop="1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30" ht="15.75" thickBo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30">
      <c r="A58" s="1" t="s">
        <v>77</v>
      </c>
      <c r="D58" s="29"/>
      <c r="E58" s="29"/>
      <c r="F58" s="29"/>
      <c r="G58" s="29"/>
      <c r="H58" s="29"/>
      <c r="I58" s="29"/>
      <c r="J58" s="33" t="s">
        <v>78</v>
      </c>
      <c r="K58" s="29"/>
      <c r="L58" s="29"/>
      <c r="M58" s="29"/>
      <c r="N58" s="29"/>
      <c r="O58" s="33"/>
      <c r="P58" s="29"/>
    </row>
    <row r="59" spans="1:30">
      <c r="A59" s="3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1" spans="1:30">
      <c r="C61" s="2" t="s">
        <v>145</v>
      </c>
      <c r="D61" s="86">
        <v>0.10100000000000001</v>
      </c>
    </row>
    <row r="62" spans="1:30">
      <c r="C62" s="2" t="s">
        <v>146</v>
      </c>
      <c r="D62" s="85">
        <v>0.10100000000000001</v>
      </c>
    </row>
    <row r="63" spans="1:30">
      <c r="C63" s="2" t="s">
        <v>147</v>
      </c>
      <c r="D63" s="85">
        <v>0.10837351894159537</v>
      </c>
    </row>
    <row r="64" spans="1:30">
      <c r="C64" s="2" t="s">
        <v>148</v>
      </c>
      <c r="D64" s="85">
        <v>0.15807121019728756</v>
      </c>
    </row>
    <row r="65" spans="3:5">
      <c r="C65" s="2" t="s">
        <v>149</v>
      </c>
      <c r="D65" s="85">
        <v>0.10886423951126652</v>
      </c>
    </row>
    <row r="66" spans="3:5">
      <c r="C66" s="2" t="s">
        <v>150</v>
      </c>
      <c r="D66" s="85">
        <v>2.3938144639215113E-2</v>
      </c>
    </row>
    <row r="67" spans="3:5">
      <c r="C67" s="123" t="s">
        <v>165</v>
      </c>
      <c r="D67" s="85">
        <v>6.6000000000000003E-2</v>
      </c>
    </row>
    <row r="68" spans="3:5">
      <c r="C68" s="2" t="s">
        <v>151</v>
      </c>
      <c r="D68" s="85">
        <v>34.82986190336495</v>
      </c>
    </row>
    <row r="69" spans="3:5">
      <c r="C69" s="2" t="s">
        <v>152</v>
      </c>
      <c r="D69" s="85">
        <v>0.35</v>
      </c>
    </row>
    <row r="70" spans="3:5">
      <c r="C70" s="2" t="s">
        <v>153</v>
      </c>
      <c r="D70" s="85">
        <v>0.35022301235526088</v>
      </c>
    </row>
    <row r="71" spans="3:5">
      <c r="C71" s="2" t="s">
        <v>154</v>
      </c>
      <c r="D71" s="85">
        <v>0.25497885195895348</v>
      </c>
    </row>
    <row r="72" spans="3:5">
      <c r="C72" s="2" t="s">
        <v>155</v>
      </c>
      <c r="D72" s="85">
        <v>1.414497502331804</v>
      </c>
    </row>
    <row r="76" spans="3:5">
      <c r="C76" s="2" t="s">
        <v>158</v>
      </c>
      <c r="E76" s="2" t="s">
        <v>161</v>
      </c>
    </row>
    <row r="77" spans="3:5">
      <c r="C77" s="2" t="s">
        <v>159</v>
      </c>
      <c r="D77" s="85">
        <f>D62</f>
        <v>0.10100000000000001</v>
      </c>
      <c r="E77" s="87">
        <f>'2022 plant additions'!P23*D77</f>
        <v>542763.59700000007</v>
      </c>
    </row>
    <row r="78" spans="3:5">
      <c r="C78" s="2" t="s">
        <v>160</v>
      </c>
      <c r="D78" s="85">
        <f>D63</f>
        <v>0.10837351894159537</v>
      </c>
      <c r="E78" s="87">
        <f>'2022 plant additions'!P28*D78</f>
        <v>445489.398710432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opLeftCell="D22" workbookViewId="0">
      <selection activeCell="D15" sqref="D15:O52"/>
    </sheetView>
  </sheetViews>
  <sheetFormatPr defaultColWidth="14.42578125" defaultRowHeight="15"/>
  <cols>
    <col min="1" max="1" width="11.42578125" style="4" customWidth="1"/>
    <col min="2" max="2" width="11.42578125" style="2" customWidth="1"/>
    <col min="3" max="3" width="47.85546875" style="2" customWidth="1"/>
    <col min="4" max="256" width="14.42578125" style="2"/>
    <col min="257" max="258" width="11.42578125" style="2" customWidth="1"/>
    <col min="259" max="259" width="47.85546875" style="2" customWidth="1"/>
    <col min="260" max="512" width="14.42578125" style="2"/>
    <col min="513" max="514" width="11.42578125" style="2" customWidth="1"/>
    <col min="515" max="515" width="47.85546875" style="2" customWidth="1"/>
    <col min="516" max="768" width="14.42578125" style="2"/>
    <col min="769" max="770" width="11.42578125" style="2" customWidth="1"/>
    <col min="771" max="771" width="47.85546875" style="2" customWidth="1"/>
    <col min="772" max="1024" width="14.42578125" style="2"/>
    <col min="1025" max="1026" width="11.42578125" style="2" customWidth="1"/>
    <col min="1027" max="1027" width="47.85546875" style="2" customWidth="1"/>
    <col min="1028" max="1280" width="14.42578125" style="2"/>
    <col min="1281" max="1282" width="11.42578125" style="2" customWidth="1"/>
    <col min="1283" max="1283" width="47.85546875" style="2" customWidth="1"/>
    <col min="1284" max="1536" width="14.42578125" style="2"/>
    <col min="1537" max="1538" width="11.42578125" style="2" customWidth="1"/>
    <col min="1539" max="1539" width="47.85546875" style="2" customWidth="1"/>
    <col min="1540" max="1792" width="14.42578125" style="2"/>
    <col min="1793" max="1794" width="11.42578125" style="2" customWidth="1"/>
    <col min="1795" max="1795" width="47.85546875" style="2" customWidth="1"/>
    <col min="1796" max="2048" width="14.42578125" style="2"/>
    <col min="2049" max="2050" width="11.42578125" style="2" customWidth="1"/>
    <col min="2051" max="2051" width="47.85546875" style="2" customWidth="1"/>
    <col min="2052" max="2304" width="14.42578125" style="2"/>
    <col min="2305" max="2306" width="11.42578125" style="2" customWidth="1"/>
    <col min="2307" max="2307" width="47.85546875" style="2" customWidth="1"/>
    <col min="2308" max="2560" width="14.42578125" style="2"/>
    <col min="2561" max="2562" width="11.42578125" style="2" customWidth="1"/>
    <col min="2563" max="2563" width="47.85546875" style="2" customWidth="1"/>
    <col min="2564" max="2816" width="14.42578125" style="2"/>
    <col min="2817" max="2818" width="11.42578125" style="2" customWidth="1"/>
    <col min="2819" max="2819" width="47.85546875" style="2" customWidth="1"/>
    <col min="2820" max="3072" width="14.42578125" style="2"/>
    <col min="3073" max="3074" width="11.42578125" style="2" customWidth="1"/>
    <col min="3075" max="3075" width="47.85546875" style="2" customWidth="1"/>
    <col min="3076" max="3328" width="14.42578125" style="2"/>
    <col min="3329" max="3330" width="11.42578125" style="2" customWidth="1"/>
    <col min="3331" max="3331" width="47.85546875" style="2" customWidth="1"/>
    <col min="3332" max="3584" width="14.42578125" style="2"/>
    <col min="3585" max="3586" width="11.42578125" style="2" customWidth="1"/>
    <col min="3587" max="3587" width="47.85546875" style="2" customWidth="1"/>
    <col min="3588" max="3840" width="14.42578125" style="2"/>
    <col min="3841" max="3842" width="11.42578125" style="2" customWidth="1"/>
    <col min="3843" max="3843" width="47.85546875" style="2" customWidth="1"/>
    <col min="3844" max="4096" width="14.42578125" style="2"/>
    <col min="4097" max="4098" width="11.42578125" style="2" customWidth="1"/>
    <col min="4099" max="4099" width="47.85546875" style="2" customWidth="1"/>
    <col min="4100" max="4352" width="14.42578125" style="2"/>
    <col min="4353" max="4354" width="11.42578125" style="2" customWidth="1"/>
    <col min="4355" max="4355" width="47.85546875" style="2" customWidth="1"/>
    <col min="4356" max="4608" width="14.42578125" style="2"/>
    <col min="4609" max="4610" width="11.42578125" style="2" customWidth="1"/>
    <col min="4611" max="4611" width="47.85546875" style="2" customWidth="1"/>
    <col min="4612" max="4864" width="14.42578125" style="2"/>
    <col min="4865" max="4866" width="11.42578125" style="2" customWidth="1"/>
    <col min="4867" max="4867" width="47.85546875" style="2" customWidth="1"/>
    <col min="4868" max="5120" width="14.42578125" style="2"/>
    <col min="5121" max="5122" width="11.42578125" style="2" customWidth="1"/>
    <col min="5123" max="5123" width="47.85546875" style="2" customWidth="1"/>
    <col min="5124" max="5376" width="14.42578125" style="2"/>
    <col min="5377" max="5378" width="11.42578125" style="2" customWidth="1"/>
    <col min="5379" max="5379" width="47.85546875" style="2" customWidth="1"/>
    <col min="5380" max="5632" width="14.42578125" style="2"/>
    <col min="5633" max="5634" width="11.42578125" style="2" customWidth="1"/>
    <col min="5635" max="5635" width="47.85546875" style="2" customWidth="1"/>
    <col min="5636" max="5888" width="14.42578125" style="2"/>
    <col min="5889" max="5890" width="11.42578125" style="2" customWidth="1"/>
    <col min="5891" max="5891" width="47.85546875" style="2" customWidth="1"/>
    <col min="5892" max="6144" width="14.42578125" style="2"/>
    <col min="6145" max="6146" width="11.42578125" style="2" customWidth="1"/>
    <col min="6147" max="6147" width="47.85546875" style="2" customWidth="1"/>
    <col min="6148" max="6400" width="14.42578125" style="2"/>
    <col min="6401" max="6402" width="11.42578125" style="2" customWidth="1"/>
    <col min="6403" max="6403" width="47.85546875" style="2" customWidth="1"/>
    <col min="6404" max="6656" width="14.42578125" style="2"/>
    <col min="6657" max="6658" width="11.42578125" style="2" customWidth="1"/>
    <col min="6659" max="6659" width="47.85546875" style="2" customWidth="1"/>
    <col min="6660" max="6912" width="14.42578125" style="2"/>
    <col min="6913" max="6914" width="11.42578125" style="2" customWidth="1"/>
    <col min="6915" max="6915" width="47.85546875" style="2" customWidth="1"/>
    <col min="6916" max="7168" width="14.42578125" style="2"/>
    <col min="7169" max="7170" width="11.42578125" style="2" customWidth="1"/>
    <col min="7171" max="7171" width="47.85546875" style="2" customWidth="1"/>
    <col min="7172" max="7424" width="14.42578125" style="2"/>
    <col min="7425" max="7426" width="11.42578125" style="2" customWidth="1"/>
    <col min="7427" max="7427" width="47.85546875" style="2" customWidth="1"/>
    <col min="7428" max="7680" width="14.42578125" style="2"/>
    <col min="7681" max="7682" width="11.42578125" style="2" customWidth="1"/>
    <col min="7683" max="7683" width="47.85546875" style="2" customWidth="1"/>
    <col min="7684" max="7936" width="14.42578125" style="2"/>
    <col min="7937" max="7938" width="11.42578125" style="2" customWidth="1"/>
    <col min="7939" max="7939" width="47.85546875" style="2" customWidth="1"/>
    <col min="7940" max="8192" width="14.42578125" style="2"/>
    <col min="8193" max="8194" width="11.42578125" style="2" customWidth="1"/>
    <col min="8195" max="8195" width="47.85546875" style="2" customWidth="1"/>
    <col min="8196" max="8448" width="14.42578125" style="2"/>
    <col min="8449" max="8450" width="11.42578125" style="2" customWidth="1"/>
    <col min="8451" max="8451" width="47.85546875" style="2" customWidth="1"/>
    <col min="8452" max="8704" width="14.42578125" style="2"/>
    <col min="8705" max="8706" width="11.42578125" style="2" customWidth="1"/>
    <col min="8707" max="8707" width="47.85546875" style="2" customWidth="1"/>
    <col min="8708" max="8960" width="14.42578125" style="2"/>
    <col min="8961" max="8962" width="11.42578125" style="2" customWidth="1"/>
    <col min="8963" max="8963" width="47.85546875" style="2" customWidth="1"/>
    <col min="8964" max="9216" width="14.42578125" style="2"/>
    <col min="9217" max="9218" width="11.42578125" style="2" customWidth="1"/>
    <col min="9219" max="9219" width="47.85546875" style="2" customWidth="1"/>
    <col min="9220" max="9472" width="14.42578125" style="2"/>
    <col min="9473" max="9474" width="11.42578125" style="2" customWidth="1"/>
    <col min="9475" max="9475" width="47.85546875" style="2" customWidth="1"/>
    <col min="9476" max="9728" width="14.42578125" style="2"/>
    <col min="9729" max="9730" width="11.42578125" style="2" customWidth="1"/>
    <col min="9731" max="9731" width="47.85546875" style="2" customWidth="1"/>
    <col min="9732" max="9984" width="14.42578125" style="2"/>
    <col min="9985" max="9986" width="11.42578125" style="2" customWidth="1"/>
    <col min="9987" max="9987" width="47.85546875" style="2" customWidth="1"/>
    <col min="9988" max="10240" width="14.42578125" style="2"/>
    <col min="10241" max="10242" width="11.42578125" style="2" customWidth="1"/>
    <col min="10243" max="10243" width="47.85546875" style="2" customWidth="1"/>
    <col min="10244" max="10496" width="14.42578125" style="2"/>
    <col min="10497" max="10498" width="11.42578125" style="2" customWidth="1"/>
    <col min="10499" max="10499" width="47.85546875" style="2" customWidth="1"/>
    <col min="10500" max="10752" width="14.42578125" style="2"/>
    <col min="10753" max="10754" width="11.42578125" style="2" customWidth="1"/>
    <col min="10755" max="10755" width="47.85546875" style="2" customWidth="1"/>
    <col min="10756" max="11008" width="14.42578125" style="2"/>
    <col min="11009" max="11010" width="11.42578125" style="2" customWidth="1"/>
    <col min="11011" max="11011" width="47.85546875" style="2" customWidth="1"/>
    <col min="11012" max="11264" width="14.42578125" style="2"/>
    <col min="11265" max="11266" width="11.42578125" style="2" customWidth="1"/>
    <col min="11267" max="11267" width="47.85546875" style="2" customWidth="1"/>
    <col min="11268" max="11520" width="14.42578125" style="2"/>
    <col min="11521" max="11522" width="11.42578125" style="2" customWidth="1"/>
    <col min="11523" max="11523" width="47.85546875" style="2" customWidth="1"/>
    <col min="11524" max="11776" width="14.42578125" style="2"/>
    <col min="11777" max="11778" width="11.42578125" style="2" customWidth="1"/>
    <col min="11779" max="11779" width="47.85546875" style="2" customWidth="1"/>
    <col min="11780" max="12032" width="14.42578125" style="2"/>
    <col min="12033" max="12034" width="11.42578125" style="2" customWidth="1"/>
    <col min="12035" max="12035" width="47.85546875" style="2" customWidth="1"/>
    <col min="12036" max="12288" width="14.42578125" style="2"/>
    <col min="12289" max="12290" width="11.42578125" style="2" customWidth="1"/>
    <col min="12291" max="12291" width="47.85546875" style="2" customWidth="1"/>
    <col min="12292" max="12544" width="14.42578125" style="2"/>
    <col min="12545" max="12546" width="11.42578125" style="2" customWidth="1"/>
    <col min="12547" max="12547" width="47.85546875" style="2" customWidth="1"/>
    <col min="12548" max="12800" width="14.42578125" style="2"/>
    <col min="12801" max="12802" width="11.42578125" style="2" customWidth="1"/>
    <col min="12803" max="12803" width="47.85546875" style="2" customWidth="1"/>
    <col min="12804" max="13056" width="14.42578125" style="2"/>
    <col min="13057" max="13058" width="11.42578125" style="2" customWidth="1"/>
    <col min="13059" max="13059" width="47.85546875" style="2" customWidth="1"/>
    <col min="13060" max="13312" width="14.42578125" style="2"/>
    <col min="13313" max="13314" width="11.42578125" style="2" customWidth="1"/>
    <col min="13315" max="13315" width="47.85546875" style="2" customWidth="1"/>
    <col min="13316" max="13568" width="14.42578125" style="2"/>
    <col min="13569" max="13570" width="11.42578125" style="2" customWidth="1"/>
    <col min="13571" max="13571" width="47.85546875" style="2" customWidth="1"/>
    <col min="13572" max="13824" width="14.42578125" style="2"/>
    <col min="13825" max="13826" width="11.42578125" style="2" customWidth="1"/>
    <col min="13827" max="13827" width="47.85546875" style="2" customWidth="1"/>
    <col min="13828" max="14080" width="14.42578125" style="2"/>
    <col min="14081" max="14082" width="11.42578125" style="2" customWidth="1"/>
    <col min="14083" max="14083" width="47.85546875" style="2" customWidth="1"/>
    <col min="14084" max="14336" width="14.42578125" style="2"/>
    <col min="14337" max="14338" width="11.42578125" style="2" customWidth="1"/>
    <col min="14339" max="14339" width="47.85546875" style="2" customWidth="1"/>
    <col min="14340" max="14592" width="14.42578125" style="2"/>
    <col min="14593" max="14594" width="11.42578125" style="2" customWidth="1"/>
    <col min="14595" max="14595" width="47.85546875" style="2" customWidth="1"/>
    <col min="14596" max="14848" width="14.42578125" style="2"/>
    <col min="14849" max="14850" width="11.42578125" style="2" customWidth="1"/>
    <col min="14851" max="14851" width="47.85546875" style="2" customWidth="1"/>
    <col min="14852" max="15104" width="14.42578125" style="2"/>
    <col min="15105" max="15106" width="11.42578125" style="2" customWidth="1"/>
    <col min="15107" max="15107" width="47.85546875" style="2" customWidth="1"/>
    <col min="15108" max="15360" width="14.42578125" style="2"/>
    <col min="15361" max="15362" width="11.42578125" style="2" customWidth="1"/>
    <col min="15363" max="15363" width="47.85546875" style="2" customWidth="1"/>
    <col min="15364" max="15616" width="14.42578125" style="2"/>
    <col min="15617" max="15618" width="11.42578125" style="2" customWidth="1"/>
    <col min="15619" max="15619" width="47.85546875" style="2" customWidth="1"/>
    <col min="15620" max="15872" width="14.42578125" style="2"/>
    <col min="15873" max="15874" width="11.42578125" style="2" customWidth="1"/>
    <col min="15875" max="15875" width="47.85546875" style="2" customWidth="1"/>
    <col min="15876" max="16128" width="14.42578125" style="2"/>
    <col min="16129" max="16130" width="11.42578125" style="2" customWidth="1"/>
    <col min="16131" max="16131" width="47.85546875" style="2" customWidth="1"/>
    <col min="16132" max="16384" width="14.42578125" style="2"/>
  </cols>
  <sheetData>
    <row r="1" spans="1:16">
      <c r="A1" s="1" t="s">
        <v>0</v>
      </c>
      <c r="B1" s="2" t="s">
        <v>1</v>
      </c>
      <c r="E1" s="3" t="s">
        <v>156</v>
      </c>
      <c r="I1" s="36"/>
      <c r="L1" s="10" t="s">
        <v>80</v>
      </c>
      <c r="P1" s="5" t="s">
        <v>4</v>
      </c>
    </row>
    <row r="2" spans="1:16" ht="15.75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>
      <c r="A4" s="1" t="s">
        <v>5</v>
      </c>
      <c r="E4" s="2" t="s">
        <v>81</v>
      </c>
      <c r="F4" s="3" t="s">
        <v>82</v>
      </c>
      <c r="I4" s="10"/>
      <c r="L4" s="3" t="s">
        <v>8</v>
      </c>
      <c r="N4" s="1"/>
    </row>
    <row r="5" spans="1:16">
      <c r="F5" s="3" t="s">
        <v>83</v>
      </c>
      <c r="I5" s="1"/>
      <c r="L5" s="3" t="s">
        <v>10</v>
      </c>
      <c r="N5" s="10"/>
    </row>
    <row r="6" spans="1:16">
      <c r="A6" s="1" t="s">
        <v>11</v>
      </c>
      <c r="B6" s="11" t="str">
        <f>'[1]G1-1'!B6</f>
        <v>Florida Public Utilities Company Consolidated Gas</v>
      </c>
      <c r="C6" s="1"/>
      <c r="L6" s="3" t="s">
        <v>12</v>
      </c>
      <c r="N6" s="1"/>
      <c r="O6" s="12"/>
    </row>
    <row r="7" spans="1:16">
      <c r="B7" s="11"/>
      <c r="L7" s="3"/>
    </row>
    <row r="8" spans="1:16">
      <c r="A8" s="1" t="s">
        <v>13</v>
      </c>
      <c r="B8" s="11">
        <f>'[1]G1-1'!B8</f>
        <v>0</v>
      </c>
      <c r="C8" s="35" t="s">
        <v>137</v>
      </c>
    </row>
    <row r="9" spans="1:16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G10" s="1" t="s">
        <v>14</v>
      </c>
      <c r="H10" s="1" t="s">
        <v>14</v>
      </c>
      <c r="I10" s="1" t="s">
        <v>14</v>
      </c>
      <c r="J10" s="1" t="s">
        <v>14</v>
      </c>
      <c r="K10" s="13" t="s">
        <v>14</v>
      </c>
      <c r="N10" s="1" t="s">
        <v>14</v>
      </c>
    </row>
    <row r="11" spans="1:16">
      <c r="A11" s="1" t="s">
        <v>15</v>
      </c>
      <c r="B11" s="14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>
      <c r="A12" s="1" t="s">
        <v>17</v>
      </c>
      <c r="B12" s="14" t="s">
        <v>17</v>
      </c>
      <c r="C12" s="14" t="s">
        <v>18</v>
      </c>
      <c r="D12" s="16">
        <v>44562</v>
      </c>
      <c r="E12" s="16">
        <v>44593</v>
      </c>
      <c r="F12" s="16">
        <v>44621</v>
      </c>
      <c r="G12" s="16">
        <v>44652</v>
      </c>
      <c r="H12" s="16">
        <v>44682</v>
      </c>
      <c r="I12" s="16">
        <v>44713</v>
      </c>
      <c r="J12" s="16">
        <v>44743</v>
      </c>
      <c r="K12" s="16">
        <v>44774</v>
      </c>
      <c r="L12" s="16">
        <v>44805</v>
      </c>
      <c r="M12" s="16">
        <v>44835</v>
      </c>
      <c r="N12" s="16">
        <v>44866</v>
      </c>
      <c r="O12" s="16">
        <v>44896</v>
      </c>
      <c r="P12" s="14" t="s">
        <v>19</v>
      </c>
    </row>
    <row r="13" spans="1:16" ht="15.75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A15" s="17">
        <v>1</v>
      </c>
      <c r="B15" s="18" t="s">
        <v>20</v>
      </c>
      <c r="C15" s="19" t="s">
        <v>21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1">
        <f t="shared" ref="P15:P52" si="0">SUM(D15:O15)</f>
        <v>0</v>
      </c>
    </row>
    <row r="16" spans="1:16">
      <c r="A16" s="17">
        <f>+A15+1</f>
        <v>2</v>
      </c>
      <c r="B16" s="18" t="s">
        <v>22</v>
      </c>
      <c r="C16" s="19" t="s">
        <v>23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3">
        <f t="shared" si="0"/>
        <v>0</v>
      </c>
    </row>
    <row r="17" spans="1:17">
      <c r="A17" s="17">
        <f t="shared" ref="A17:A52" si="1">+A16+1</f>
        <v>3</v>
      </c>
      <c r="B17" s="18">
        <v>303</v>
      </c>
      <c r="C17" s="19" t="s">
        <v>24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3">
        <f t="shared" si="0"/>
        <v>0</v>
      </c>
    </row>
    <row r="18" spans="1:17">
      <c r="A18" s="17">
        <f t="shared" si="1"/>
        <v>4</v>
      </c>
      <c r="B18" s="18">
        <v>305</v>
      </c>
      <c r="C18" s="19" t="s">
        <v>25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3">
        <f t="shared" si="0"/>
        <v>0</v>
      </c>
      <c r="Q18" s="37"/>
    </row>
    <row r="19" spans="1:17">
      <c r="A19" s="17">
        <f t="shared" si="1"/>
        <v>5</v>
      </c>
      <c r="B19" s="18" t="s">
        <v>26</v>
      </c>
      <c r="C19" s="19" t="s">
        <v>27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3">
        <f t="shared" si="0"/>
        <v>0</v>
      </c>
    </row>
    <row r="20" spans="1:17">
      <c r="A20" s="17">
        <f t="shared" si="1"/>
        <v>6</v>
      </c>
      <c r="B20" s="18" t="s">
        <v>28</v>
      </c>
      <c r="C20" s="19" t="s">
        <v>25</v>
      </c>
      <c r="D20" s="22">
        <f>ROUND('2022 plant additions'!D20*'2022 Cost of Removal'!$D$61,0)</f>
        <v>0</v>
      </c>
      <c r="E20" s="22">
        <f>ROUND('2022 plant additions'!E20*'2022 Cost of Removal'!$D$61,0)</f>
        <v>0</v>
      </c>
      <c r="F20" s="22">
        <f>ROUND('2022 plant additions'!F20*'2022 Cost of Removal'!$D$61,0)</f>
        <v>0</v>
      </c>
      <c r="G20" s="22">
        <f>ROUND('2022 plant additions'!G20*'2022 Cost of Removal'!$D$61,0)</f>
        <v>0</v>
      </c>
      <c r="H20" s="22">
        <f>ROUND('2022 plant additions'!H20*'2022 Cost of Removal'!$D$61,0)</f>
        <v>0</v>
      </c>
      <c r="I20" s="22">
        <f>ROUND('2022 plant additions'!I20*'2022 Cost of Removal'!$D$61,0)</f>
        <v>0</v>
      </c>
      <c r="J20" s="22">
        <f>ROUND('2022 plant additions'!J20*'2022 Cost of Removal'!$D$61,0)</f>
        <v>0</v>
      </c>
      <c r="K20" s="22">
        <f>ROUND('2022 plant additions'!K20*'2022 Cost of Removal'!$D$61,0)</f>
        <v>0</v>
      </c>
      <c r="L20" s="22">
        <f>ROUND('2022 plant additions'!L20*'2022 Cost of Removal'!$D$61,0)</f>
        <v>0</v>
      </c>
      <c r="M20" s="22">
        <f>ROUND('2022 plant additions'!M20*'2022 Cost of Removal'!$D$61,0)</f>
        <v>0</v>
      </c>
      <c r="N20" s="22">
        <f>ROUND('2022 plant additions'!N20*'2022 Cost of Removal'!$D$61,0)</f>
        <v>0</v>
      </c>
      <c r="O20" s="22">
        <f>ROUND('2022 plant additions'!O20*'2022 Cost of Removal'!$D$61,0)</f>
        <v>0</v>
      </c>
      <c r="P20" s="23">
        <f t="shared" si="0"/>
        <v>0</v>
      </c>
    </row>
    <row r="21" spans="1:17">
      <c r="A21" s="17">
        <f t="shared" si="1"/>
        <v>7</v>
      </c>
      <c r="B21" s="24">
        <v>3761</v>
      </c>
      <c r="C21" s="25" t="s">
        <v>29</v>
      </c>
      <c r="D21" s="22">
        <f>ROUND('2022 plant additions'!D21*'2022 Cost of Removal'!$D$62,0)</f>
        <v>3703</v>
      </c>
      <c r="E21" s="22">
        <f>ROUND('2022 plant additions'!E21*'2022 Cost of Removal'!$D$62,0)</f>
        <v>4938</v>
      </c>
      <c r="F21" s="22">
        <f>ROUND('2022 plant additions'!F21*'2022 Cost of Removal'!$D$62,0)</f>
        <v>58710</v>
      </c>
      <c r="G21" s="22">
        <f>ROUND('2022 plant additions'!G21*'2022 Cost of Removal'!$D$62,0)</f>
        <v>9875</v>
      </c>
      <c r="H21" s="22">
        <f>ROUND('2022 plant additions'!H21*'2022 Cost of Removal'!$D$62,0)</f>
        <v>9875</v>
      </c>
      <c r="I21" s="22">
        <f>ROUND('2022 plant additions'!I21*'2022 Cost of Removal'!$D$62,0)</f>
        <v>47330</v>
      </c>
      <c r="J21" s="22">
        <f>ROUND('2022 plant additions'!J21*'2022 Cost of Removal'!$D$62,0)</f>
        <v>11109</v>
      </c>
      <c r="K21" s="22">
        <f>ROUND('2022 plant additions'!K21*'2022 Cost of Removal'!$D$62,0)</f>
        <v>11109</v>
      </c>
      <c r="L21" s="22">
        <f>ROUND('2022 plant additions'!L21*'2022 Cost of Removal'!$D$62,0)</f>
        <v>12627</v>
      </c>
      <c r="M21" s="22">
        <f>ROUND('2022 plant additions'!M21*'2022 Cost of Removal'!$D$62,0)</f>
        <v>11109</v>
      </c>
      <c r="N21" s="22">
        <f>ROUND('2022 plant additions'!N21*'2022 Cost of Removal'!$D$62,0)</f>
        <v>9875</v>
      </c>
      <c r="O21" s="22">
        <f>ROUND('2022 plant additions'!O21*'2022 Cost of Removal'!$D$62,0)</f>
        <v>26205</v>
      </c>
      <c r="P21" s="23">
        <f t="shared" si="0"/>
        <v>216465</v>
      </c>
    </row>
    <row r="22" spans="1:17">
      <c r="A22" s="17">
        <f t="shared" si="1"/>
        <v>8</v>
      </c>
      <c r="B22" s="24">
        <v>3762</v>
      </c>
      <c r="C22" s="25" t="s">
        <v>30</v>
      </c>
      <c r="D22" s="22">
        <f>ROUND('2022 plant additions'!D22*'2022 Cost of Removal'!$D$63,0)+ROUND('2022 plant additions'!D23*'2022 Cost of Removal'!$D$62,0)</f>
        <v>22855</v>
      </c>
      <c r="E22" s="22">
        <f>ROUND('2022 plant additions'!E22*'2022 Cost of Removal'!$D$63,0)+ROUND('2022 plant additions'!E23*'2022 Cost of Removal'!$D$62,0)</f>
        <v>25125</v>
      </c>
      <c r="F22" s="22">
        <f>ROUND('2022 plant additions'!F22*'2022 Cost of Removal'!$D$63,0)+ROUND('2022 plant additions'!F23*'2022 Cost of Removal'!$D$62,0)</f>
        <v>126844</v>
      </c>
      <c r="G22" s="22">
        <f>ROUND('2022 plant additions'!G22*'2022 Cost of Removal'!$D$63,0)+ROUND('2022 plant additions'!G23*'2022 Cost of Removal'!$D$62,0)</f>
        <v>19630</v>
      </c>
      <c r="H22" s="22">
        <f>ROUND('2022 plant additions'!H22*'2022 Cost of Removal'!$D$63,0)+ROUND('2022 plant additions'!H23*'2022 Cost of Removal'!$D$62,0)</f>
        <v>14040</v>
      </c>
      <c r="I22" s="22">
        <f>ROUND('2022 plant additions'!I22*'2022 Cost of Removal'!$D$63,0)+ROUND('2022 plant additions'!I23*'2022 Cost of Removal'!$D$62,0)</f>
        <v>6890</v>
      </c>
      <c r="J22" s="22">
        <f>ROUND('2022 plant additions'!J22*'2022 Cost of Removal'!$D$63,0)+ROUND('2022 plant additions'!J23*'2022 Cost of Removal'!$D$62,0)</f>
        <v>6500</v>
      </c>
      <c r="K22" s="22">
        <f>ROUND('2022 plant additions'!K22*'2022 Cost of Removal'!$D$63,0)+ROUND('2022 plant additions'!K23*'2022 Cost of Removal'!$D$62,0)</f>
        <v>0</v>
      </c>
      <c r="L22" s="22">
        <f>ROUND('2022 plant additions'!L22*'2022 Cost of Removal'!$D$63,0)+ROUND('2022 plant additions'!L23*'2022 Cost of Removal'!$D$62,0)</f>
        <v>0</v>
      </c>
      <c r="M22" s="22">
        <f>ROUND('2022 plant additions'!M22*'2022 Cost of Removal'!$D$63,0)+ROUND('2022 plant additions'!M23*'2022 Cost of Removal'!$D$62,0)</f>
        <v>0</v>
      </c>
      <c r="N22" s="22">
        <f>ROUND('2022 plant additions'!N22*'2022 Cost of Removal'!$D$63,0)+ROUND('2022 plant additions'!N23*'2022 Cost of Removal'!$D$62,0)</f>
        <v>0</v>
      </c>
      <c r="O22" s="22">
        <f>ROUND('2022 plant additions'!O22*'2022 Cost of Removal'!$D$63,0)+ROUND('2022 plant additions'!O23*'2022 Cost of Removal'!$D$62,0)</f>
        <v>0</v>
      </c>
      <c r="P22" s="23">
        <f t="shared" si="0"/>
        <v>221884</v>
      </c>
      <c r="Q22" s="38"/>
    </row>
    <row r="23" spans="1:17">
      <c r="A23" s="17">
        <f t="shared" si="1"/>
        <v>9</v>
      </c>
      <c r="B23" s="24" t="s">
        <v>31</v>
      </c>
      <c r="C23" s="25" t="s">
        <v>32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3">
        <f t="shared" si="0"/>
        <v>0</v>
      </c>
      <c r="Q23" s="38"/>
    </row>
    <row r="24" spans="1:17">
      <c r="A24" s="17">
        <f t="shared" si="1"/>
        <v>10</v>
      </c>
      <c r="B24" s="18" t="s">
        <v>33</v>
      </c>
      <c r="C24" s="19" t="s">
        <v>34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3">
        <f t="shared" si="0"/>
        <v>0</v>
      </c>
    </row>
    <row r="25" spans="1:17">
      <c r="A25" s="17">
        <f t="shared" si="1"/>
        <v>11</v>
      </c>
      <c r="B25" s="18" t="s">
        <v>35</v>
      </c>
      <c r="C25" s="19" t="s">
        <v>36</v>
      </c>
      <c r="D25" s="22">
        <f>ROUND('2022 plant additions'!D25*'2022 Cost of Removal'!$D$65,0)</f>
        <v>0</v>
      </c>
      <c r="E25" s="22">
        <f>ROUND('2022 plant additions'!E25*'2022 Cost of Removal'!$D$65,0)</f>
        <v>0</v>
      </c>
      <c r="F25" s="22">
        <f>ROUND('2022 plant additions'!F25*'2022 Cost of Removal'!$D$65,0)</f>
        <v>0</v>
      </c>
      <c r="G25" s="22">
        <f>ROUND('2022 plant additions'!G25*'2022 Cost of Removal'!$D$65,0)</f>
        <v>0</v>
      </c>
      <c r="H25" s="22">
        <f>ROUND('2022 plant additions'!H25*'2022 Cost of Removal'!$D$65,0)</f>
        <v>0</v>
      </c>
      <c r="I25" s="22">
        <f>ROUND('2022 plant additions'!I25*'2022 Cost of Removal'!$D$65,0)</f>
        <v>0</v>
      </c>
      <c r="J25" s="22">
        <f>ROUND('2022 plant additions'!J25*'2022 Cost of Removal'!$D$65,0)</f>
        <v>0</v>
      </c>
      <c r="K25" s="22">
        <f>ROUND('2022 plant additions'!K25*'2022 Cost of Removal'!$D$65,0)</f>
        <v>0</v>
      </c>
      <c r="L25" s="22">
        <f>ROUND('2022 plant additions'!L25*'2022 Cost of Removal'!$D$65,0)</f>
        <v>0</v>
      </c>
      <c r="M25" s="22">
        <f>ROUND('2022 plant additions'!M25*'2022 Cost of Removal'!$D$65,0)</f>
        <v>0</v>
      </c>
      <c r="N25" s="22">
        <f>ROUND('2022 plant additions'!N25*'2022 Cost of Removal'!$D$65,0)</f>
        <v>0</v>
      </c>
      <c r="O25" s="22">
        <f>ROUND('2022 plant additions'!O25*'2022 Cost of Removal'!$D$65,0)</f>
        <v>0</v>
      </c>
      <c r="P25" s="23">
        <f t="shared" si="0"/>
        <v>0</v>
      </c>
    </row>
    <row r="26" spans="1:17">
      <c r="A26" s="17">
        <f t="shared" si="1"/>
        <v>12</v>
      </c>
      <c r="B26" s="18">
        <v>3801</v>
      </c>
      <c r="C26" s="19" t="s">
        <v>37</v>
      </c>
      <c r="D26" s="22">
        <f>ROUND('2022 plant additions'!D26*'2022 Cost of Removal'!$D$66,0)</f>
        <v>5987</v>
      </c>
      <c r="E26" s="22">
        <f>ROUND('2022 plant additions'!E26*'2022 Cost of Removal'!$D$66,0)</f>
        <v>7982</v>
      </c>
      <c r="F26" s="22">
        <f>ROUND('2022 plant additions'!F26*'2022 Cost of Removal'!$D$66,0)</f>
        <v>9978</v>
      </c>
      <c r="G26" s="22">
        <f>ROUND('2022 plant additions'!G26*'2022 Cost of Removal'!$D$66,0)</f>
        <v>15965</v>
      </c>
      <c r="H26" s="22">
        <f>ROUND('2022 plant additions'!H26*'2022 Cost of Removal'!$D$66,0)</f>
        <v>15965</v>
      </c>
      <c r="I26" s="22">
        <f>ROUND('2022 plant additions'!I26*'2022 Cost of Removal'!$D$66,0)</f>
        <v>15965</v>
      </c>
      <c r="J26" s="22">
        <f>ROUND('2022 plant additions'!J26*'2022 Cost of Removal'!$D$66,0)</f>
        <v>17961</v>
      </c>
      <c r="K26" s="22">
        <f>ROUND('2022 plant additions'!K26*'2022 Cost of Removal'!$D$66,0)</f>
        <v>17961</v>
      </c>
      <c r="L26" s="22">
        <f>ROUND('2022 plant additions'!L26*'2022 Cost of Removal'!$D$66,0)</f>
        <v>17961</v>
      </c>
      <c r="M26" s="22">
        <f>ROUND('2022 plant additions'!M26*'2022 Cost of Removal'!$D$66,0)</f>
        <v>17961</v>
      </c>
      <c r="N26" s="22">
        <f>ROUND('2022 plant additions'!N26*'2022 Cost of Removal'!$D$66,0)</f>
        <v>15965</v>
      </c>
      <c r="O26" s="22">
        <f>ROUND('2022 plant additions'!O26*'2022 Cost of Removal'!$D$66,0)</f>
        <v>39912</v>
      </c>
      <c r="P26" s="23">
        <f t="shared" si="0"/>
        <v>199563</v>
      </c>
    </row>
    <row r="27" spans="1:17">
      <c r="A27" s="17">
        <f t="shared" si="1"/>
        <v>13</v>
      </c>
      <c r="B27" s="18">
        <v>3802</v>
      </c>
      <c r="C27" s="19" t="s">
        <v>38</v>
      </c>
      <c r="D27" s="22">
        <f>ROUND('2022 plant additions'!D28*'2022 Cost of Removal'!$D$67,0)</f>
        <v>13832</v>
      </c>
      <c r="E27" s="22">
        <f>ROUND('2022 plant additions'!E28*'2022 Cost of Removal'!$D$67,0)</f>
        <v>15737</v>
      </c>
      <c r="F27" s="22">
        <f>ROUND('2022 plant additions'!F28*'2022 Cost of Removal'!$D$67,0)</f>
        <v>75600</v>
      </c>
      <c r="G27" s="22">
        <f>ROUND('2022 plant additions'!G28*'2022 Cost of Removal'!$D$67,0)</f>
        <v>39600</v>
      </c>
      <c r="H27" s="22">
        <f>ROUND('2022 plant additions'!H28*'2022 Cost of Removal'!$D$67,0)</f>
        <v>39600</v>
      </c>
      <c r="I27" s="22">
        <f>ROUND('2022 plant additions'!I28*'2022 Cost of Removal'!$D$67,0)</f>
        <v>32400</v>
      </c>
      <c r="J27" s="22">
        <f>ROUND('2022 plant additions'!J28*'2022 Cost of Removal'!$D$67,0)</f>
        <v>28800</v>
      </c>
      <c r="K27" s="22">
        <f>ROUND('2022 plant additions'!K28*'2022 Cost of Removal'!$D$67,0)</f>
        <v>21600</v>
      </c>
      <c r="L27" s="22">
        <f>ROUND('2022 plant additions'!L28*'2022 Cost of Removal'!$D$67,0)</f>
        <v>21600</v>
      </c>
      <c r="M27" s="22">
        <f>ROUND('2022 plant additions'!M28*'2022 Cost of Removal'!$D$67,0)</f>
        <v>7200</v>
      </c>
      <c r="N27" s="22">
        <f>ROUND('2022 plant additions'!N28*'2022 Cost of Removal'!$D$67,0)</f>
        <v>0</v>
      </c>
      <c r="O27" s="22">
        <f>ROUND('2022 plant additions'!O28*'2022 Cost of Removal'!$D$67,0)</f>
        <v>0</v>
      </c>
      <c r="P27" s="23">
        <f>SUM(D27:O27)</f>
        <v>295969</v>
      </c>
    </row>
    <row r="28" spans="1:17">
      <c r="A28" s="17">
        <f t="shared" si="1"/>
        <v>14</v>
      </c>
      <c r="B28" s="18" t="s">
        <v>39</v>
      </c>
      <c r="C28" s="19" t="s">
        <v>40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3">
        <f t="shared" si="0"/>
        <v>0</v>
      </c>
    </row>
    <row r="29" spans="1:17">
      <c r="A29" s="17">
        <f t="shared" si="1"/>
        <v>15</v>
      </c>
      <c r="B29" s="18" t="s">
        <v>41</v>
      </c>
      <c r="C29" s="19" t="s">
        <v>42</v>
      </c>
      <c r="D29" s="22">
        <f>ROUND('2022 plant additions'!D29*'2022 Cost of Removal'!$D$69,0)</f>
        <v>914</v>
      </c>
      <c r="E29" s="22">
        <f>ROUND('2022 plant additions'!E29*'2022 Cost of Removal'!$D$69,0)</f>
        <v>1219</v>
      </c>
      <c r="F29" s="22">
        <f>ROUND('2022 plant additions'!F29*'2022 Cost of Removal'!$D$69,0)</f>
        <v>1524</v>
      </c>
      <c r="G29" s="22">
        <f>ROUND('2022 plant additions'!G29*'2022 Cost of Removal'!$D$69,0)</f>
        <v>2438</v>
      </c>
      <c r="H29" s="22">
        <f>ROUND('2022 plant additions'!H29*'2022 Cost of Removal'!$D$69,0)</f>
        <v>2438</v>
      </c>
      <c r="I29" s="22">
        <f>ROUND('2022 plant additions'!I29*'2022 Cost of Removal'!$D$69,0)</f>
        <v>2438</v>
      </c>
      <c r="J29" s="22">
        <f>ROUND('2022 plant additions'!J29*'2022 Cost of Removal'!$D$69,0)</f>
        <v>2743</v>
      </c>
      <c r="K29" s="22">
        <f>ROUND('2022 plant additions'!K29*'2022 Cost of Removal'!$D$69,0)</f>
        <v>2743</v>
      </c>
      <c r="L29" s="22">
        <f>ROUND('2022 plant additions'!L29*'2022 Cost of Removal'!$D$69,0)</f>
        <v>2743</v>
      </c>
      <c r="M29" s="22">
        <f>ROUND('2022 plant additions'!M29*'2022 Cost of Removal'!$D$69,0)</f>
        <v>2743</v>
      </c>
      <c r="N29" s="22">
        <f>ROUND('2022 plant additions'!N29*'2022 Cost of Removal'!$D$69,0)</f>
        <v>2438</v>
      </c>
      <c r="O29" s="22">
        <f>ROUND('2022 plant additions'!O29*'2022 Cost of Removal'!$D$69,0)</f>
        <v>6096</v>
      </c>
      <c r="P29" s="23">
        <f t="shared" si="0"/>
        <v>30477</v>
      </c>
      <c r="Q29" s="39"/>
    </row>
    <row r="30" spans="1:17">
      <c r="A30" s="17">
        <f t="shared" si="1"/>
        <v>16</v>
      </c>
      <c r="B30" s="18">
        <v>3811</v>
      </c>
      <c r="C30" s="19" t="s">
        <v>43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3">
        <f t="shared" si="0"/>
        <v>0</v>
      </c>
    </row>
    <row r="31" spans="1:17">
      <c r="A31" s="17">
        <f t="shared" si="1"/>
        <v>17</v>
      </c>
      <c r="B31" s="18" t="s">
        <v>44</v>
      </c>
      <c r="C31" s="19" t="s">
        <v>45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3">
        <f t="shared" si="0"/>
        <v>0</v>
      </c>
    </row>
    <row r="32" spans="1:17">
      <c r="A32" s="17">
        <f t="shared" si="1"/>
        <v>18</v>
      </c>
      <c r="B32" s="18">
        <v>3821</v>
      </c>
      <c r="C32" s="25" t="s">
        <v>46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3">
        <f t="shared" si="0"/>
        <v>0</v>
      </c>
    </row>
    <row r="33" spans="1:16">
      <c r="A33" s="17">
        <f t="shared" si="1"/>
        <v>19</v>
      </c>
      <c r="B33" s="18" t="s">
        <v>47</v>
      </c>
      <c r="C33" s="19" t="s">
        <v>48</v>
      </c>
      <c r="D33" s="22">
        <f>ROUND('2022 plant additions'!D33*'2022 Cost of Removal'!$D$71,0)</f>
        <v>20</v>
      </c>
      <c r="E33" s="22">
        <f>ROUND('2022 plant additions'!E33*'2022 Cost of Removal'!$D$71,0)</f>
        <v>27</v>
      </c>
      <c r="F33" s="22">
        <f>ROUND('2022 plant additions'!F33*'2022 Cost of Removal'!$D$71,0)</f>
        <v>34</v>
      </c>
      <c r="G33" s="22">
        <f>ROUND('2022 plant additions'!G33*'2022 Cost of Removal'!$D$71,0)</f>
        <v>55</v>
      </c>
      <c r="H33" s="22">
        <f>ROUND('2022 plant additions'!H33*'2022 Cost of Removal'!$D$71,0)</f>
        <v>55</v>
      </c>
      <c r="I33" s="22">
        <f>ROUND('2022 plant additions'!I33*'2022 Cost of Removal'!$D$71,0)</f>
        <v>55</v>
      </c>
      <c r="J33" s="22">
        <f>ROUND('2022 plant additions'!J33*'2022 Cost of Removal'!$D$71,0)</f>
        <v>61</v>
      </c>
      <c r="K33" s="22">
        <f>ROUND('2022 plant additions'!K33*'2022 Cost of Removal'!$D$71,0)</f>
        <v>61</v>
      </c>
      <c r="L33" s="22">
        <f>ROUND('2022 plant additions'!L33*'2022 Cost of Removal'!$D$71,0)</f>
        <v>61</v>
      </c>
      <c r="M33" s="22">
        <f>ROUND('2022 plant additions'!M33*'2022 Cost of Removal'!$D$71,0)</f>
        <v>61</v>
      </c>
      <c r="N33" s="22">
        <f>ROUND('2022 plant additions'!N33*'2022 Cost of Removal'!$D$71,0)</f>
        <v>55</v>
      </c>
      <c r="O33" s="22">
        <f>ROUND('2022 plant additions'!O33*'2022 Cost of Removal'!$D$71,0)</f>
        <v>137</v>
      </c>
      <c r="P33" s="23">
        <f t="shared" si="0"/>
        <v>682</v>
      </c>
    </row>
    <row r="34" spans="1:16">
      <c r="A34" s="17">
        <f t="shared" si="1"/>
        <v>20</v>
      </c>
      <c r="B34" s="18" t="s">
        <v>49</v>
      </c>
      <c r="C34" s="19" t="s">
        <v>50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f t="shared" si="0"/>
        <v>0</v>
      </c>
    </row>
    <row r="35" spans="1:16">
      <c r="A35" s="17">
        <f t="shared" si="1"/>
        <v>21</v>
      </c>
      <c r="B35" s="18" t="s">
        <v>51</v>
      </c>
      <c r="C35" s="19" t="s">
        <v>52</v>
      </c>
      <c r="D35" s="22">
        <f>ROUND('2022 plant additions'!D35*'2022 Cost of Removal'!$D$72,0)</f>
        <v>205</v>
      </c>
      <c r="E35" s="22">
        <f>ROUND('2022 plant additions'!E35*'2022 Cost of Removal'!$D$72,0)</f>
        <v>273</v>
      </c>
      <c r="F35" s="22">
        <f>ROUND('2022 plant additions'!F35*'2022 Cost of Removal'!$D$72,0)</f>
        <v>377</v>
      </c>
      <c r="G35" s="22">
        <f>ROUND('2022 plant additions'!G35*'2022 Cost of Removal'!$D$72,0)</f>
        <v>546</v>
      </c>
      <c r="H35" s="22">
        <f>ROUND('2022 plant additions'!H35*'2022 Cost of Removal'!$D$72,0)</f>
        <v>546</v>
      </c>
      <c r="I35" s="22">
        <f>ROUND('2022 plant additions'!I35*'2022 Cost of Removal'!$D$72,0)</f>
        <v>582</v>
      </c>
      <c r="J35" s="22">
        <f>ROUND('2022 plant additions'!J35*'2022 Cost of Removal'!$D$72,0)</f>
        <v>615</v>
      </c>
      <c r="K35" s="22">
        <f>ROUND('2022 plant additions'!K35*'2022 Cost of Removal'!$D$72,0)</f>
        <v>615</v>
      </c>
      <c r="L35" s="22">
        <f>ROUND('2022 plant additions'!L35*'2022 Cost of Removal'!$D$72,0)</f>
        <v>615</v>
      </c>
      <c r="M35" s="22">
        <f>ROUND('2022 plant additions'!M35*'2022 Cost of Removal'!$D$72,0)</f>
        <v>615</v>
      </c>
      <c r="N35" s="22">
        <f>ROUND('2022 plant additions'!N35*'2022 Cost of Removal'!$D$72,0)</f>
        <v>546</v>
      </c>
      <c r="O35" s="22">
        <f>ROUND('2022 plant additions'!O35*'2022 Cost of Removal'!$D$72,0)</f>
        <v>1366</v>
      </c>
      <c r="P35" s="23">
        <f t="shared" si="0"/>
        <v>6901</v>
      </c>
    </row>
    <row r="36" spans="1:16">
      <c r="A36" s="17">
        <f t="shared" si="1"/>
        <v>22</v>
      </c>
      <c r="B36" s="18" t="s">
        <v>53</v>
      </c>
      <c r="C36" s="19" t="s">
        <v>54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3">
        <f t="shared" si="0"/>
        <v>0</v>
      </c>
    </row>
    <row r="37" spans="1:16">
      <c r="A37" s="17">
        <f t="shared" si="1"/>
        <v>23</v>
      </c>
      <c r="B37" s="18" t="s">
        <v>55</v>
      </c>
      <c r="C37" s="19" t="s">
        <v>27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3">
        <f t="shared" si="0"/>
        <v>0</v>
      </c>
    </row>
    <row r="38" spans="1:16">
      <c r="A38" s="17">
        <f t="shared" si="1"/>
        <v>24</v>
      </c>
      <c r="B38" s="18" t="s">
        <v>56</v>
      </c>
      <c r="C38" s="19" t="s">
        <v>25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3">
        <f t="shared" si="0"/>
        <v>0</v>
      </c>
    </row>
    <row r="39" spans="1:16">
      <c r="A39" s="17">
        <f t="shared" si="1"/>
        <v>25</v>
      </c>
      <c r="B39" s="18">
        <v>3910</v>
      </c>
      <c r="C39" s="19" t="s">
        <v>57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3">
        <f t="shared" si="0"/>
        <v>0</v>
      </c>
    </row>
    <row r="40" spans="1:16">
      <c r="A40" s="17">
        <f t="shared" si="1"/>
        <v>26</v>
      </c>
      <c r="B40" s="18">
        <v>3911</v>
      </c>
      <c r="C40" s="19" t="s">
        <v>58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3">
        <f t="shared" si="0"/>
        <v>0</v>
      </c>
    </row>
    <row r="41" spans="1:16">
      <c r="A41" s="17">
        <f t="shared" si="1"/>
        <v>27</v>
      </c>
      <c r="B41" s="18">
        <v>3912</v>
      </c>
      <c r="C41" s="19" t="s">
        <v>59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3">
        <f t="shared" si="0"/>
        <v>0</v>
      </c>
    </row>
    <row r="42" spans="1:16">
      <c r="A42" s="17">
        <f t="shared" si="1"/>
        <v>28</v>
      </c>
      <c r="B42" s="18">
        <v>3913</v>
      </c>
      <c r="C42" s="19" t="s">
        <v>60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3">
        <f t="shared" si="0"/>
        <v>0</v>
      </c>
    </row>
    <row r="43" spans="1:16">
      <c r="A43" s="17">
        <f t="shared" si="1"/>
        <v>29</v>
      </c>
      <c r="B43" s="18">
        <v>3914</v>
      </c>
      <c r="C43" s="19" t="s">
        <v>61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3">
        <f t="shared" si="0"/>
        <v>0</v>
      </c>
    </row>
    <row r="44" spans="1:16">
      <c r="A44" s="17">
        <f t="shared" si="1"/>
        <v>30</v>
      </c>
      <c r="B44" s="18">
        <v>392</v>
      </c>
      <c r="C44" s="25" t="s">
        <v>62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3">
        <f t="shared" si="0"/>
        <v>0</v>
      </c>
    </row>
    <row r="45" spans="1:16">
      <c r="A45" s="17">
        <f t="shared" si="1"/>
        <v>31</v>
      </c>
      <c r="B45" s="18">
        <v>3921</v>
      </c>
      <c r="C45" s="19" t="s">
        <v>63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3">
        <f t="shared" si="0"/>
        <v>0</v>
      </c>
    </row>
    <row r="46" spans="1:16">
      <c r="A46" s="17">
        <f t="shared" si="1"/>
        <v>32</v>
      </c>
      <c r="B46" s="18">
        <v>3922</v>
      </c>
      <c r="C46" s="19" t="s">
        <v>64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3">
        <f t="shared" si="0"/>
        <v>0</v>
      </c>
    </row>
    <row r="47" spans="1:16">
      <c r="A47" s="17">
        <f t="shared" si="1"/>
        <v>33</v>
      </c>
      <c r="B47" s="18">
        <v>3924</v>
      </c>
      <c r="C47" s="25" t="s">
        <v>65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3">
        <f t="shared" si="0"/>
        <v>0</v>
      </c>
    </row>
    <row r="48" spans="1:16">
      <c r="A48" s="17">
        <f t="shared" si="1"/>
        <v>34</v>
      </c>
      <c r="B48" s="18" t="s">
        <v>66</v>
      </c>
      <c r="C48" s="19" t="s">
        <v>67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3">
        <f t="shared" si="0"/>
        <v>0</v>
      </c>
    </row>
    <row r="49" spans="1:16">
      <c r="A49" s="17">
        <f t="shared" si="1"/>
        <v>35</v>
      </c>
      <c r="B49" s="18" t="s">
        <v>68</v>
      </c>
      <c r="C49" s="19" t="s">
        <v>69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3">
        <f t="shared" si="0"/>
        <v>0</v>
      </c>
    </row>
    <row r="50" spans="1:16">
      <c r="A50" s="17">
        <f t="shared" si="1"/>
        <v>36</v>
      </c>
      <c r="B50" s="18" t="s">
        <v>70</v>
      </c>
      <c r="C50" s="19" t="s">
        <v>71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3">
        <f t="shared" si="0"/>
        <v>0</v>
      </c>
    </row>
    <row r="51" spans="1:16">
      <c r="A51" s="17">
        <f t="shared" si="1"/>
        <v>37</v>
      </c>
      <c r="B51" s="18" t="s">
        <v>72</v>
      </c>
      <c r="C51" s="19" t="s">
        <v>73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3">
        <f t="shared" si="0"/>
        <v>0</v>
      </c>
    </row>
    <row r="52" spans="1:16">
      <c r="A52" s="17">
        <f t="shared" si="1"/>
        <v>38</v>
      </c>
      <c r="B52" s="18" t="s">
        <v>74</v>
      </c>
      <c r="C52" s="19" t="s">
        <v>75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3">
        <f t="shared" si="0"/>
        <v>0</v>
      </c>
    </row>
    <row r="53" spans="1:16">
      <c r="A53" s="26"/>
      <c r="B53" s="27"/>
      <c r="C53" s="4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</row>
    <row r="54" spans="1:16">
      <c r="A54" s="2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5.75" thickBot="1">
      <c r="A55" s="26">
        <v>39</v>
      </c>
      <c r="C55" s="40" t="s">
        <v>84</v>
      </c>
      <c r="D55" s="31">
        <f t="shared" ref="D55:O55" si="2">SUM(D15:D54)</f>
        <v>47516</v>
      </c>
      <c r="E55" s="31">
        <f t="shared" si="2"/>
        <v>55301</v>
      </c>
      <c r="F55" s="31">
        <f t="shared" si="2"/>
        <v>273067</v>
      </c>
      <c r="G55" s="31">
        <f t="shared" si="2"/>
        <v>88109</v>
      </c>
      <c r="H55" s="31">
        <f t="shared" si="2"/>
        <v>82519</v>
      </c>
      <c r="I55" s="31">
        <f t="shared" si="2"/>
        <v>105660</v>
      </c>
      <c r="J55" s="31">
        <f t="shared" si="2"/>
        <v>67789</v>
      </c>
      <c r="K55" s="31">
        <f t="shared" si="2"/>
        <v>54089</v>
      </c>
      <c r="L55" s="31">
        <f t="shared" si="2"/>
        <v>55607</v>
      </c>
      <c r="M55" s="31">
        <f t="shared" si="2"/>
        <v>39689</v>
      </c>
      <c r="N55" s="31">
        <f t="shared" si="2"/>
        <v>28879</v>
      </c>
      <c r="O55" s="31">
        <f t="shared" si="2"/>
        <v>73716</v>
      </c>
      <c r="P55" s="31">
        <f>SUM(P15:P54)</f>
        <v>971941</v>
      </c>
    </row>
    <row r="56" spans="1:16" ht="15.75" thickTop="1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.75" thickBo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1" t="s">
        <v>77</v>
      </c>
      <c r="D58" s="29"/>
      <c r="E58" s="29"/>
      <c r="F58" s="29"/>
      <c r="G58" s="29"/>
      <c r="H58" s="29"/>
      <c r="I58" s="29"/>
      <c r="J58" s="33" t="s">
        <v>78</v>
      </c>
      <c r="K58" s="29"/>
      <c r="L58" s="29"/>
      <c r="M58" s="29"/>
      <c r="N58" s="29"/>
      <c r="O58" s="33"/>
      <c r="P58" s="29"/>
    </row>
    <row r="59" spans="1:16">
      <c r="A59" s="3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1" spans="1:16">
      <c r="C61" s="4">
        <v>3750</v>
      </c>
      <c r="D61" s="86">
        <v>0.03</v>
      </c>
    </row>
    <row r="62" spans="1:16">
      <c r="C62" s="4" t="s">
        <v>145</v>
      </c>
      <c r="D62" s="86">
        <v>2.5999999999999999E-2</v>
      </c>
    </row>
    <row r="63" spans="1:16">
      <c r="C63" s="4" t="s">
        <v>146</v>
      </c>
      <c r="D63" s="86">
        <v>0.47099999999999997</v>
      </c>
    </row>
    <row r="64" spans="1:16">
      <c r="C64" s="4">
        <v>3780</v>
      </c>
      <c r="D64" s="86">
        <v>6.4000000000000001E-2</v>
      </c>
    </row>
    <row r="65" spans="3:4">
      <c r="C65" s="4">
        <v>379</v>
      </c>
      <c r="D65" s="86">
        <v>5.8000000000000003E-2</v>
      </c>
    </row>
    <row r="66" spans="3:4">
      <c r="C66" s="4" t="s">
        <v>147</v>
      </c>
      <c r="D66" s="86">
        <v>7.1999999999999995E-2</v>
      </c>
    </row>
    <row r="67" spans="3:4">
      <c r="C67" s="4" t="s">
        <v>148</v>
      </c>
      <c r="D67" s="86">
        <f>D66</f>
        <v>7.1999999999999995E-2</v>
      </c>
    </row>
    <row r="68" spans="3:4">
      <c r="C68" s="4" t="s">
        <v>39</v>
      </c>
      <c r="D68" s="86">
        <v>3.0000000000000001E-3</v>
      </c>
    </row>
    <row r="69" spans="3:4">
      <c r="C69" s="4">
        <v>3810</v>
      </c>
      <c r="D69" s="86">
        <v>3.7999999999999999E-2</v>
      </c>
    </row>
    <row r="70" spans="3:4">
      <c r="C70" s="4">
        <v>3820</v>
      </c>
      <c r="D70" s="86">
        <v>3.7999999999999999E-2</v>
      </c>
    </row>
    <row r="71" spans="3:4">
      <c r="C71" s="4" t="s">
        <v>150</v>
      </c>
      <c r="D71" s="86">
        <v>5.0000000000000001E-3</v>
      </c>
    </row>
    <row r="72" spans="3:4">
      <c r="C72" s="4">
        <v>3850</v>
      </c>
      <c r="D72" s="86">
        <v>0.01</v>
      </c>
    </row>
    <row r="73" spans="3:4">
      <c r="C73" s="4"/>
      <c r="D73" s="85"/>
    </row>
    <row r="74" spans="3:4">
      <c r="C74" s="4"/>
      <c r="D74" s="85"/>
    </row>
    <row r="75" spans="3:4">
      <c r="C75" s="4"/>
      <c r="D75" s="85"/>
    </row>
    <row r="76" spans="3:4">
      <c r="C76" s="4"/>
      <c r="D76" s="85"/>
    </row>
    <row r="77" spans="3:4">
      <c r="C77" s="4"/>
      <c r="D77" s="85"/>
    </row>
    <row r="78" spans="3:4">
      <c r="C78" s="4"/>
    </row>
    <row r="79" spans="3:4">
      <c r="C79" s="4"/>
    </row>
    <row r="80" spans="3:4">
      <c r="C80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F26" workbookViewId="0">
      <selection activeCell="P15" sqref="P15:P55"/>
    </sheetView>
  </sheetViews>
  <sheetFormatPr defaultColWidth="14.42578125" defaultRowHeight="15"/>
  <cols>
    <col min="1" max="1" width="11.42578125" style="4" customWidth="1"/>
    <col min="2" max="2" width="11.42578125" style="2" customWidth="1"/>
    <col min="3" max="3" width="47.5703125" style="2" customWidth="1"/>
    <col min="4" max="15" width="14.42578125" style="2"/>
    <col min="16" max="16" width="15.5703125" style="2" bestFit="1" customWidth="1"/>
    <col min="17" max="256" width="14.42578125" style="2"/>
    <col min="257" max="258" width="11.42578125" style="2" customWidth="1"/>
    <col min="259" max="259" width="47.5703125" style="2" customWidth="1"/>
    <col min="260" max="512" width="14.42578125" style="2"/>
    <col min="513" max="514" width="11.42578125" style="2" customWidth="1"/>
    <col min="515" max="515" width="47.5703125" style="2" customWidth="1"/>
    <col min="516" max="768" width="14.42578125" style="2"/>
    <col min="769" max="770" width="11.42578125" style="2" customWidth="1"/>
    <col min="771" max="771" width="47.5703125" style="2" customWidth="1"/>
    <col min="772" max="1024" width="14.42578125" style="2"/>
    <col min="1025" max="1026" width="11.42578125" style="2" customWidth="1"/>
    <col min="1027" max="1027" width="47.5703125" style="2" customWidth="1"/>
    <col min="1028" max="1280" width="14.42578125" style="2"/>
    <col min="1281" max="1282" width="11.42578125" style="2" customWidth="1"/>
    <col min="1283" max="1283" width="47.5703125" style="2" customWidth="1"/>
    <col min="1284" max="1536" width="14.42578125" style="2"/>
    <col min="1537" max="1538" width="11.42578125" style="2" customWidth="1"/>
    <col min="1539" max="1539" width="47.5703125" style="2" customWidth="1"/>
    <col min="1540" max="1792" width="14.42578125" style="2"/>
    <col min="1793" max="1794" width="11.42578125" style="2" customWidth="1"/>
    <col min="1795" max="1795" width="47.5703125" style="2" customWidth="1"/>
    <col min="1796" max="2048" width="14.42578125" style="2"/>
    <col min="2049" max="2050" width="11.42578125" style="2" customWidth="1"/>
    <col min="2051" max="2051" width="47.5703125" style="2" customWidth="1"/>
    <col min="2052" max="2304" width="14.42578125" style="2"/>
    <col min="2305" max="2306" width="11.42578125" style="2" customWidth="1"/>
    <col min="2307" max="2307" width="47.5703125" style="2" customWidth="1"/>
    <col min="2308" max="2560" width="14.42578125" style="2"/>
    <col min="2561" max="2562" width="11.42578125" style="2" customWidth="1"/>
    <col min="2563" max="2563" width="47.5703125" style="2" customWidth="1"/>
    <col min="2564" max="2816" width="14.42578125" style="2"/>
    <col min="2817" max="2818" width="11.42578125" style="2" customWidth="1"/>
    <col min="2819" max="2819" width="47.5703125" style="2" customWidth="1"/>
    <col min="2820" max="3072" width="14.42578125" style="2"/>
    <col min="3073" max="3074" width="11.42578125" style="2" customWidth="1"/>
    <col min="3075" max="3075" width="47.5703125" style="2" customWidth="1"/>
    <col min="3076" max="3328" width="14.42578125" style="2"/>
    <col min="3329" max="3330" width="11.42578125" style="2" customWidth="1"/>
    <col min="3331" max="3331" width="47.5703125" style="2" customWidth="1"/>
    <col min="3332" max="3584" width="14.42578125" style="2"/>
    <col min="3585" max="3586" width="11.42578125" style="2" customWidth="1"/>
    <col min="3587" max="3587" width="47.5703125" style="2" customWidth="1"/>
    <col min="3588" max="3840" width="14.42578125" style="2"/>
    <col min="3841" max="3842" width="11.42578125" style="2" customWidth="1"/>
    <col min="3843" max="3843" width="47.5703125" style="2" customWidth="1"/>
    <col min="3844" max="4096" width="14.42578125" style="2"/>
    <col min="4097" max="4098" width="11.42578125" style="2" customWidth="1"/>
    <col min="4099" max="4099" width="47.5703125" style="2" customWidth="1"/>
    <col min="4100" max="4352" width="14.42578125" style="2"/>
    <col min="4353" max="4354" width="11.42578125" style="2" customWidth="1"/>
    <col min="4355" max="4355" width="47.5703125" style="2" customWidth="1"/>
    <col min="4356" max="4608" width="14.42578125" style="2"/>
    <col min="4609" max="4610" width="11.42578125" style="2" customWidth="1"/>
    <col min="4611" max="4611" width="47.5703125" style="2" customWidth="1"/>
    <col min="4612" max="4864" width="14.42578125" style="2"/>
    <col min="4865" max="4866" width="11.42578125" style="2" customWidth="1"/>
    <col min="4867" max="4867" width="47.5703125" style="2" customWidth="1"/>
    <col min="4868" max="5120" width="14.42578125" style="2"/>
    <col min="5121" max="5122" width="11.42578125" style="2" customWidth="1"/>
    <col min="5123" max="5123" width="47.5703125" style="2" customWidth="1"/>
    <col min="5124" max="5376" width="14.42578125" style="2"/>
    <col min="5377" max="5378" width="11.42578125" style="2" customWidth="1"/>
    <col min="5379" max="5379" width="47.5703125" style="2" customWidth="1"/>
    <col min="5380" max="5632" width="14.42578125" style="2"/>
    <col min="5633" max="5634" width="11.42578125" style="2" customWidth="1"/>
    <col min="5635" max="5635" width="47.5703125" style="2" customWidth="1"/>
    <col min="5636" max="5888" width="14.42578125" style="2"/>
    <col min="5889" max="5890" width="11.42578125" style="2" customWidth="1"/>
    <col min="5891" max="5891" width="47.5703125" style="2" customWidth="1"/>
    <col min="5892" max="6144" width="14.42578125" style="2"/>
    <col min="6145" max="6146" width="11.42578125" style="2" customWidth="1"/>
    <col min="6147" max="6147" width="47.5703125" style="2" customWidth="1"/>
    <col min="6148" max="6400" width="14.42578125" style="2"/>
    <col min="6401" max="6402" width="11.42578125" style="2" customWidth="1"/>
    <col min="6403" max="6403" width="47.5703125" style="2" customWidth="1"/>
    <col min="6404" max="6656" width="14.42578125" style="2"/>
    <col min="6657" max="6658" width="11.42578125" style="2" customWidth="1"/>
    <col min="6659" max="6659" width="47.5703125" style="2" customWidth="1"/>
    <col min="6660" max="6912" width="14.42578125" style="2"/>
    <col min="6913" max="6914" width="11.42578125" style="2" customWidth="1"/>
    <col min="6915" max="6915" width="47.5703125" style="2" customWidth="1"/>
    <col min="6916" max="7168" width="14.42578125" style="2"/>
    <col min="7169" max="7170" width="11.42578125" style="2" customWidth="1"/>
    <col min="7171" max="7171" width="47.5703125" style="2" customWidth="1"/>
    <col min="7172" max="7424" width="14.42578125" style="2"/>
    <col min="7425" max="7426" width="11.42578125" style="2" customWidth="1"/>
    <col min="7427" max="7427" width="47.5703125" style="2" customWidth="1"/>
    <col min="7428" max="7680" width="14.42578125" style="2"/>
    <col min="7681" max="7682" width="11.42578125" style="2" customWidth="1"/>
    <col min="7683" max="7683" width="47.5703125" style="2" customWidth="1"/>
    <col min="7684" max="7936" width="14.42578125" style="2"/>
    <col min="7937" max="7938" width="11.42578125" style="2" customWidth="1"/>
    <col min="7939" max="7939" width="47.5703125" style="2" customWidth="1"/>
    <col min="7940" max="8192" width="14.42578125" style="2"/>
    <col min="8193" max="8194" width="11.42578125" style="2" customWidth="1"/>
    <col min="8195" max="8195" width="47.5703125" style="2" customWidth="1"/>
    <col min="8196" max="8448" width="14.42578125" style="2"/>
    <col min="8449" max="8450" width="11.42578125" style="2" customWidth="1"/>
    <col min="8451" max="8451" width="47.5703125" style="2" customWidth="1"/>
    <col min="8452" max="8704" width="14.42578125" style="2"/>
    <col min="8705" max="8706" width="11.42578125" style="2" customWidth="1"/>
    <col min="8707" max="8707" width="47.5703125" style="2" customWidth="1"/>
    <col min="8708" max="8960" width="14.42578125" style="2"/>
    <col min="8961" max="8962" width="11.42578125" style="2" customWidth="1"/>
    <col min="8963" max="8963" width="47.5703125" style="2" customWidth="1"/>
    <col min="8964" max="9216" width="14.42578125" style="2"/>
    <col min="9217" max="9218" width="11.42578125" style="2" customWidth="1"/>
    <col min="9219" max="9219" width="47.5703125" style="2" customWidth="1"/>
    <col min="9220" max="9472" width="14.42578125" style="2"/>
    <col min="9473" max="9474" width="11.42578125" style="2" customWidth="1"/>
    <col min="9475" max="9475" width="47.5703125" style="2" customWidth="1"/>
    <col min="9476" max="9728" width="14.42578125" style="2"/>
    <col min="9729" max="9730" width="11.42578125" style="2" customWidth="1"/>
    <col min="9731" max="9731" width="47.5703125" style="2" customWidth="1"/>
    <col min="9732" max="9984" width="14.42578125" style="2"/>
    <col min="9985" max="9986" width="11.42578125" style="2" customWidth="1"/>
    <col min="9987" max="9987" width="47.5703125" style="2" customWidth="1"/>
    <col min="9988" max="10240" width="14.42578125" style="2"/>
    <col min="10241" max="10242" width="11.42578125" style="2" customWidth="1"/>
    <col min="10243" max="10243" width="47.5703125" style="2" customWidth="1"/>
    <col min="10244" max="10496" width="14.42578125" style="2"/>
    <col min="10497" max="10498" width="11.42578125" style="2" customWidth="1"/>
    <col min="10499" max="10499" width="47.5703125" style="2" customWidth="1"/>
    <col min="10500" max="10752" width="14.42578125" style="2"/>
    <col min="10753" max="10754" width="11.42578125" style="2" customWidth="1"/>
    <col min="10755" max="10755" width="47.5703125" style="2" customWidth="1"/>
    <col min="10756" max="11008" width="14.42578125" style="2"/>
    <col min="11009" max="11010" width="11.42578125" style="2" customWidth="1"/>
    <col min="11011" max="11011" width="47.5703125" style="2" customWidth="1"/>
    <col min="11012" max="11264" width="14.42578125" style="2"/>
    <col min="11265" max="11266" width="11.42578125" style="2" customWidth="1"/>
    <col min="11267" max="11267" width="47.5703125" style="2" customWidth="1"/>
    <col min="11268" max="11520" width="14.42578125" style="2"/>
    <col min="11521" max="11522" width="11.42578125" style="2" customWidth="1"/>
    <col min="11523" max="11523" width="47.5703125" style="2" customWidth="1"/>
    <col min="11524" max="11776" width="14.42578125" style="2"/>
    <col min="11777" max="11778" width="11.42578125" style="2" customWidth="1"/>
    <col min="11779" max="11779" width="47.5703125" style="2" customWidth="1"/>
    <col min="11780" max="12032" width="14.42578125" style="2"/>
    <col min="12033" max="12034" width="11.42578125" style="2" customWidth="1"/>
    <col min="12035" max="12035" width="47.5703125" style="2" customWidth="1"/>
    <col min="12036" max="12288" width="14.42578125" style="2"/>
    <col min="12289" max="12290" width="11.42578125" style="2" customWidth="1"/>
    <col min="12291" max="12291" width="47.5703125" style="2" customWidth="1"/>
    <col min="12292" max="12544" width="14.42578125" style="2"/>
    <col min="12545" max="12546" width="11.42578125" style="2" customWidth="1"/>
    <col min="12547" max="12547" width="47.5703125" style="2" customWidth="1"/>
    <col min="12548" max="12800" width="14.42578125" style="2"/>
    <col min="12801" max="12802" width="11.42578125" style="2" customWidth="1"/>
    <col min="12803" max="12803" width="47.5703125" style="2" customWidth="1"/>
    <col min="12804" max="13056" width="14.42578125" style="2"/>
    <col min="13057" max="13058" width="11.42578125" style="2" customWidth="1"/>
    <col min="13059" max="13059" width="47.5703125" style="2" customWidth="1"/>
    <col min="13060" max="13312" width="14.42578125" style="2"/>
    <col min="13313" max="13314" width="11.42578125" style="2" customWidth="1"/>
    <col min="13315" max="13315" width="47.5703125" style="2" customWidth="1"/>
    <col min="13316" max="13568" width="14.42578125" style="2"/>
    <col min="13569" max="13570" width="11.42578125" style="2" customWidth="1"/>
    <col min="13571" max="13571" width="47.5703125" style="2" customWidth="1"/>
    <col min="13572" max="13824" width="14.42578125" style="2"/>
    <col min="13825" max="13826" width="11.42578125" style="2" customWidth="1"/>
    <col min="13827" max="13827" width="47.5703125" style="2" customWidth="1"/>
    <col min="13828" max="14080" width="14.42578125" style="2"/>
    <col min="14081" max="14082" width="11.42578125" style="2" customWidth="1"/>
    <col min="14083" max="14083" width="47.5703125" style="2" customWidth="1"/>
    <col min="14084" max="14336" width="14.42578125" style="2"/>
    <col min="14337" max="14338" width="11.42578125" style="2" customWidth="1"/>
    <col min="14339" max="14339" width="47.5703125" style="2" customWidth="1"/>
    <col min="14340" max="14592" width="14.42578125" style="2"/>
    <col min="14593" max="14594" width="11.42578125" style="2" customWidth="1"/>
    <col min="14595" max="14595" width="47.5703125" style="2" customWidth="1"/>
    <col min="14596" max="14848" width="14.42578125" style="2"/>
    <col min="14849" max="14850" width="11.42578125" style="2" customWidth="1"/>
    <col min="14851" max="14851" width="47.5703125" style="2" customWidth="1"/>
    <col min="14852" max="15104" width="14.42578125" style="2"/>
    <col min="15105" max="15106" width="11.42578125" style="2" customWidth="1"/>
    <col min="15107" max="15107" width="47.5703125" style="2" customWidth="1"/>
    <col min="15108" max="15360" width="14.42578125" style="2"/>
    <col min="15361" max="15362" width="11.42578125" style="2" customWidth="1"/>
    <col min="15363" max="15363" width="47.5703125" style="2" customWidth="1"/>
    <col min="15364" max="15616" width="14.42578125" style="2"/>
    <col min="15617" max="15618" width="11.42578125" style="2" customWidth="1"/>
    <col min="15619" max="15619" width="47.5703125" style="2" customWidth="1"/>
    <col min="15620" max="15872" width="14.42578125" style="2"/>
    <col min="15873" max="15874" width="11.42578125" style="2" customWidth="1"/>
    <col min="15875" max="15875" width="47.5703125" style="2" customWidth="1"/>
    <col min="15876" max="16128" width="14.42578125" style="2"/>
    <col min="16129" max="16130" width="11.42578125" style="2" customWidth="1"/>
    <col min="16131" max="16131" width="47.5703125" style="2" customWidth="1"/>
    <col min="16132" max="16384" width="14.42578125" style="2"/>
  </cols>
  <sheetData>
    <row r="1" spans="1:16">
      <c r="A1" s="1" t="s">
        <v>0</v>
      </c>
      <c r="B1" s="2" t="s">
        <v>1</v>
      </c>
      <c r="F1" s="3" t="s">
        <v>2</v>
      </c>
      <c r="H1" s="14"/>
      <c r="I1" s="1"/>
      <c r="M1" s="41" t="s">
        <v>107</v>
      </c>
      <c r="O1" s="1"/>
      <c r="P1" s="5" t="s">
        <v>4</v>
      </c>
    </row>
    <row r="2" spans="1:16" ht="15.75" thickBot="1">
      <c r="A2" s="6"/>
      <c r="B2" s="7"/>
      <c r="C2" s="7"/>
      <c r="D2" s="7"/>
      <c r="E2" s="7"/>
      <c r="F2" s="7"/>
      <c r="G2" s="7"/>
      <c r="H2" s="7"/>
      <c r="I2" s="6"/>
      <c r="J2" s="7"/>
      <c r="K2" s="7"/>
      <c r="L2" s="7"/>
      <c r="M2" s="45"/>
      <c r="N2" s="7"/>
      <c r="O2" s="7"/>
      <c r="P2" s="7"/>
    </row>
    <row r="3" spans="1:16">
      <c r="A3" s="8"/>
      <c r="B3" s="9"/>
      <c r="C3" s="9"/>
      <c r="D3" s="9"/>
      <c r="E3" s="9"/>
      <c r="F3" s="9"/>
      <c r="G3" s="9"/>
      <c r="H3" s="9"/>
      <c r="I3" s="8"/>
      <c r="J3" s="9"/>
      <c r="K3" s="9"/>
      <c r="L3" s="9"/>
      <c r="M3" s="47"/>
      <c r="N3" s="9"/>
      <c r="O3" s="9"/>
      <c r="P3" s="9"/>
    </row>
    <row r="4" spans="1:16">
      <c r="A4" s="1" t="s">
        <v>5</v>
      </c>
      <c r="F4" s="2" t="s">
        <v>6</v>
      </c>
      <c r="G4" s="3" t="s">
        <v>108</v>
      </c>
      <c r="H4" s="14"/>
      <c r="I4" s="1"/>
      <c r="M4" s="3" t="s">
        <v>8</v>
      </c>
      <c r="N4" s="1"/>
    </row>
    <row r="5" spans="1:16">
      <c r="G5" s="3" t="s">
        <v>109</v>
      </c>
      <c r="H5" s="14"/>
      <c r="I5" s="1"/>
      <c r="M5" s="3" t="s">
        <v>110</v>
      </c>
      <c r="N5" s="10"/>
    </row>
    <row r="6" spans="1:16">
      <c r="A6" s="1" t="s">
        <v>11</v>
      </c>
      <c r="B6" s="11" t="str">
        <f>'[1]G1-1'!B6</f>
        <v>Florida Public Utilities Company Consolidated Gas</v>
      </c>
      <c r="C6" s="1"/>
      <c r="M6" s="3" t="s">
        <v>90</v>
      </c>
      <c r="N6" s="1"/>
      <c r="O6" s="12"/>
    </row>
    <row r="7" spans="1:16">
      <c r="B7" s="11"/>
    </row>
    <row r="8" spans="1:16">
      <c r="A8" s="1" t="s">
        <v>13</v>
      </c>
      <c r="B8" s="11">
        <f>'[1]G1-1'!B8</f>
        <v>0</v>
      </c>
      <c r="C8" s="35" t="s">
        <v>137</v>
      </c>
    </row>
    <row r="9" spans="1:16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G10" s="1" t="s">
        <v>14</v>
      </c>
      <c r="H10" s="1" t="s">
        <v>14</v>
      </c>
      <c r="I10" s="1" t="s">
        <v>14</v>
      </c>
      <c r="J10" s="1" t="s">
        <v>14</v>
      </c>
      <c r="K10" s="13" t="s">
        <v>14</v>
      </c>
      <c r="N10" s="1" t="s">
        <v>14</v>
      </c>
    </row>
    <row r="11" spans="1:16">
      <c r="A11" s="1" t="s">
        <v>15</v>
      </c>
      <c r="B11" s="14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>
      <c r="A12" s="1" t="s">
        <v>17</v>
      </c>
      <c r="B12" s="14" t="s">
        <v>17</v>
      </c>
      <c r="C12" s="14" t="s">
        <v>18</v>
      </c>
      <c r="D12" s="16">
        <v>44927</v>
      </c>
      <c r="E12" s="16">
        <v>44958</v>
      </c>
      <c r="F12" s="16">
        <v>44986</v>
      </c>
      <c r="G12" s="16">
        <v>45017</v>
      </c>
      <c r="H12" s="16">
        <v>45047</v>
      </c>
      <c r="I12" s="16">
        <v>45078</v>
      </c>
      <c r="J12" s="16">
        <v>45108</v>
      </c>
      <c r="K12" s="16">
        <v>45139</v>
      </c>
      <c r="L12" s="16">
        <v>45170</v>
      </c>
      <c r="M12" s="16">
        <v>45200</v>
      </c>
      <c r="N12" s="16">
        <v>45231</v>
      </c>
      <c r="O12" s="16">
        <v>45261</v>
      </c>
      <c r="P12" s="14" t="s">
        <v>19</v>
      </c>
    </row>
    <row r="13" spans="1:16" ht="15.75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A15" s="17">
        <v>1</v>
      </c>
      <c r="B15" s="18" t="s">
        <v>20</v>
      </c>
      <c r="C15" s="19" t="s">
        <v>21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21">
        <f t="shared" ref="P15:P52" si="0">SUM(D15:O15)</f>
        <v>0</v>
      </c>
    </row>
    <row r="16" spans="1:16">
      <c r="A16" s="17">
        <f>+A15+1</f>
        <v>2</v>
      </c>
      <c r="B16" s="18" t="s">
        <v>22</v>
      </c>
      <c r="C16" s="19" t="s">
        <v>23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23">
        <f t="shared" si="0"/>
        <v>0</v>
      </c>
    </row>
    <row r="17" spans="1:16">
      <c r="A17" s="17">
        <f t="shared" ref="A17:A52" si="1">+A16+1</f>
        <v>3</v>
      </c>
      <c r="B17" s="18">
        <v>303</v>
      </c>
      <c r="C17" s="19" t="s">
        <v>24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23">
        <f t="shared" si="0"/>
        <v>0</v>
      </c>
    </row>
    <row r="18" spans="1:16">
      <c r="A18" s="17">
        <f t="shared" si="1"/>
        <v>4</v>
      </c>
      <c r="B18" s="18">
        <v>305</v>
      </c>
      <c r="C18" s="19" t="s">
        <v>25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23">
        <f t="shared" si="0"/>
        <v>0</v>
      </c>
    </row>
    <row r="19" spans="1:16">
      <c r="A19" s="17">
        <f t="shared" si="1"/>
        <v>5</v>
      </c>
      <c r="B19" s="18" t="s">
        <v>26</v>
      </c>
      <c r="C19" s="19" t="s">
        <v>27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23">
        <f t="shared" si="0"/>
        <v>0</v>
      </c>
    </row>
    <row r="20" spans="1:16">
      <c r="A20" s="17">
        <f t="shared" si="1"/>
        <v>6</v>
      </c>
      <c r="B20" s="18" t="s">
        <v>28</v>
      </c>
      <c r="C20" s="19" t="s">
        <v>25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23">
        <f t="shared" si="0"/>
        <v>0</v>
      </c>
    </row>
    <row r="21" spans="1:16">
      <c r="A21" s="17">
        <f t="shared" si="1"/>
        <v>7</v>
      </c>
      <c r="B21" s="24">
        <v>3761</v>
      </c>
      <c r="C21" s="25" t="s">
        <v>29</v>
      </c>
      <c r="D21" s="72">
        <f>251845.140000001+D63+33333</f>
        <v>150991.140000001</v>
      </c>
      <c r="E21" s="72">
        <f>335793.510000005+E63+33333</f>
        <v>190211.51000000502</v>
      </c>
      <c r="F21" s="72">
        <f>419741.900000006+F63+33333</f>
        <v>229430.90000000602</v>
      </c>
      <c r="G21" s="72">
        <f>671587.019999996+G63+33333</f>
        <v>347089.01999999594</v>
      </c>
      <c r="H21" s="72">
        <f>671587.019999996+H63+33333</f>
        <v>347089.01999999594</v>
      </c>
      <c r="I21" s="72">
        <f>671587.019999996+I63+33333</f>
        <v>347089.01999999594</v>
      </c>
      <c r="J21" s="72">
        <f>755535.410000011+J63+33333</f>
        <v>386308.41000001098</v>
      </c>
      <c r="K21" s="72">
        <f>755535.409999996+K63+33333</f>
        <v>386308.40999999596</v>
      </c>
      <c r="L21" s="72">
        <f>755535.409999996+L63+33333</f>
        <v>2492308.409999996</v>
      </c>
      <c r="M21" s="72">
        <f>755535.409999996+M63+33333</f>
        <v>386308.40999999596</v>
      </c>
      <c r="N21" s="72">
        <f>671587.020000011+N63+33333</f>
        <v>347089.02000001096</v>
      </c>
      <c r="O21" s="72">
        <f>1678967.55+O63+33333</f>
        <v>2923723.55</v>
      </c>
      <c r="P21" s="23">
        <f t="shared" si="0"/>
        <v>8533946.8200000077</v>
      </c>
    </row>
    <row r="22" spans="1:16">
      <c r="A22" s="17">
        <f t="shared" si="1"/>
        <v>8</v>
      </c>
      <c r="B22" s="24">
        <v>3762</v>
      </c>
      <c r="C22" s="25" t="s">
        <v>30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23">
        <f t="shared" si="0"/>
        <v>0</v>
      </c>
    </row>
    <row r="23" spans="1:16">
      <c r="A23" s="17">
        <f t="shared" si="1"/>
        <v>9</v>
      </c>
      <c r="B23" s="24" t="s">
        <v>31</v>
      </c>
      <c r="C23" s="25" t="s">
        <v>32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23">
        <f t="shared" si="0"/>
        <v>0</v>
      </c>
    </row>
    <row r="24" spans="1:16">
      <c r="A24" s="17">
        <f t="shared" si="1"/>
        <v>10</v>
      </c>
      <c r="B24" s="18" t="s">
        <v>33</v>
      </c>
      <c r="C24" s="19" t="s">
        <v>34</v>
      </c>
      <c r="D24" s="72">
        <v>27976.020000000484</v>
      </c>
      <c r="E24" s="72">
        <v>37301.35999999987</v>
      </c>
      <c r="F24" s="72">
        <v>46626.689999999944</v>
      </c>
      <c r="G24" s="72">
        <v>74602.709999999963</v>
      </c>
      <c r="H24" s="72">
        <v>74602.709999999963</v>
      </c>
      <c r="I24" s="72">
        <v>74602.709999999963</v>
      </c>
      <c r="J24" s="72">
        <v>83928.049999999814</v>
      </c>
      <c r="K24" s="72">
        <v>83928.050000000279</v>
      </c>
      <c r="L24" s="72">
        <v>83928.049999999814</v>
      </c>
      <c r="M24" s="72">
        <v>83928.050000000279</v>
      </c>
      <c r="N24" s="72">
        <v>74602.709999999963</v>
      </c>
      <c r="O24" s="72">
        <v>186506.7799999998</v>
      </c>
      <c r="P24" s="23">
        <f t="shared" si="0"/>
        <v>932533.89000000013</v>
      </c>
    </row>
    <row r="25" spans="1:16">
      <c r="A25" s="17">
        <f t="shared" si="1"/>
        <v>11</v>
      </c>
      <c r="B25" s="18" t="s">
        <v>35</v>
      </c>
      <c r="C25" s="19" t="s">
        <v>36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f>O66</f>
        <v>700000</v>
      </c>
      <c r="P25" s="23">
        <f t="shared" si="0"/>
        <v>700000</v>
      </c>
    </row>
    <row r="26" spans="1:16">
      <c r="A26" s="17">
        <f t="shared" si="1"/>
        <v>12</v>
      </c>
      <c r="B26" s="18">
        <v>3801</v>
      </c>
      <c r="C26" s="19" t="s">
        <v>37</v>
      </c>
      <c r="D26" s="72">
        <v>90304.492783661786</v>
      </c>
      <c r="E26" s="72">
        <v>120405.99037821572</v>
      </c>
      <c r="F26" s="72">
        <v>150507.48797276965</v>
      </c>
      <c r="G26" s="72">
        <v>240811.98075643144</v>
      </c>
      <c r="H26" s="72">
        <v>240811.98075643144</v>
      </c>
      <c r="I26" s="72">
        <v>240811.98075643144</v>
      </c>
      <c r="J26" s="72">
        <v>270913.47835098539</v>
      </c>
      <c r="K26" s="72">
        <v>270913.47835098539</v>
      </c>
      <c r="L26" s="72">
        <v>270913.47835098539</v>
      </c>
      <c r="M26" s="72">
        <v>270913.47835098539</v>
      </c>
      <c r="N26" s="72">
        <v>240811.98075643144</v>
      </c>
      <c r="O26" s="72">
        <v>602029.95189107896</v>
      </c>
      <c r="P26" s="23">
        <f t="shared" si="0"/>
        <v>3010149.7594553935</v>
      </c>
    </row>
    <row r="27" spans="1:16">
      <c r="A27" s="17">
        <f t="shared" si="1"/>
        <v>13</v>
      </c>
      <c r="B27" s="18">
        <v>3802</v>
      </c>
      <c r="C27" s="19" t="s">
        <v>38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23">
        <f t="shared" si="0"/>
        <v>0</v>
      </c>
    </row>
    <row r="28" spans="1:16">
      <c r="A28" s="17">
        <f t="shared" si="1"/>
        <v>14</v>
      </c>
      <c r="B28" s="18" t="s">
        <v>39</v>
      </c>
      <c r="C28" s="19" t="s">
        <v>40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23">
        <f t="shared" si="0"/>
        <v>0</v>
      </c>
    </row>
    <row r="29" spans="1:16">
      <c r="A29" s="17">
        <f t="shared" si="1"/>
        <v>15</v>
      </c>
      <c r="B29" s="18" t="s">
        <v>41</v>
      </c>
      <c r="C29" s="19" t="s">
        <v>42</v>
      </c>
      <c r="D29" s="72">
        <v>26133.274730018333</v>
      </c>
      <c r="E29" s="72">
        <v>34844.366306691431</v>
      </c>
      <c r="F29" s="72">
        <v>43555.457883364048</v>
      </c>
      <c r="G29" s="72">
        <v>69688.732613382861</v>
      </c>
      <c r="H29" s="72">
        <v>69688.732613382381</v>
      </c>
      <c r="I29" s="72">
        <v>69688.732613382861</v>
      </c>
      <c r="J29" s="72">
        <v>78399.824190055471</v>
      </c>
      <c r="K29" s="72">
        <v>78399.824190055471</v>
      </c>
      <c r="L29" s="72">
        <v>78399.824190055006</v>
      </c>
      <c r="M29" s="72">
        <v>78399.824190055951</v>
      </c>
      <c r="N29" s="72">
        <v>69688.732613382861</v>
      </c>
      <c r="O29" s="72">
        <v>174221.83153345619</v>
      </c>
      <c r="P29" s="23">
        <f t="shared" si="0"/>
        <v>871109.15766728297</v>
      </c>
    </row>
    <row r="30" spans="1:16">
      <c r="A30" s="17">
        <f t="shared" si="1"/>
        <v>16</v>
      </c>
      <c r="B30" s="18">
        <v>3811</v>
      </c>
      <c r="C30" s="19" t="s">
        <v>43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23">
        <f t="shared" si="0"/>
        <v>0</v>
      </c>
    </row>
    <row r="31" spans="1:16">
      <c r="A31" s="17">
        <f t="shared" si="1"/>
        <v>17</v>
      </c>
      <c r="B31" s="18" t="s">
        <v>44</v>
      </c>
      <c r="C31" s="19" t="s">
        <v>45</v>
      </c>
      <c r="D31" s="72">
        <v>6497.4835716858615</v>
      </c>
      <c r="E31" s="72">
        <v>8663.3114289145615</v>
      </c>
      <c r="F31" s="72">
        <v>10829.139286143141</v>
      </c>
      <c r="G31" s="72">
        <v>17326.622857829123</v>
      </c>
      <c r="H31" s="72">
        <v>17326.622857829003</v>
      </c>
      <c r="I31" s="72">
        <v>17326.622857829123</v>
      </c>
      <c r="J31" s="72">
        <v>19492.450715057705</v>
      </c>
      <c r="K31" s="72">
        <v>19492.450715057705</v>
      </c>
      <c r="L31" s="72">
        <v>19492.450715057585</v>
      </c>
      <c r="M31" s="72">
        <v>19492.450715057821</v>
      </c>
      <c r="N31" s="72">
        <v>17326.622857829123</v>
      </c>
      <c r="O31" s="72">
        <v>43316.557144572565</v>
      </c>
      <c r="P31" s="23">
        <f t="shared" si="0"/>
        <v>216582.78572286328</v>
      </c>
    </row>
    <row r="32" spans="1:16">
      <c r="A32" s="17">
        <f t="shared" si="1"/>
        <v>18</v>
      </c>
      <c r="B32" s="18">
        <v>3821</v>
      </c>
      <c r="C32" s="25" t="s">
        <v>46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23">
        <f t="shared" si="0"/>
        <v>0</v>
      </c>
    </row>
    <row r="33" spans="1:16">
      <c r="A33" s="17">
        <f t="shared" si="1"/>
        <v>19</v>
      </c>
      <c r="B33" s="18" t="s">
        <v>47</v>
      </c>
      <c r="C33" s="19" t="s">
        <v>48</v>
      </c>
      <c r="D33" s="72">
        <v>4450.2036874618889</v>
      </c>
      <c r="E33" s="72">
        <v>5933.6049166161401</v>
      </c>
      <c r="F33" s="72">
        <v>7417.0061457699594</v>
      </c>
      <c r="G33" s="72">
        <v>11867.209833231847</v>
      </c>
      <c r="H33" s="72">
        <v>11867.209833231847</v>
      </c>
      <c r="I33" s="72">
        <v>11867.209833231847</v>
      </c>
      <c r="J33" s="72">
        <v>13350.611062386099</v>
      </c>
      <c r="K33" s="72">
        <v>13350.611062386099</v>
      </c>
      <c r="L33" s="72">
        <v>13350.611062385666</v>
      </c>
      <c r="M33" s="72">
        <v>13350.611062386099</v>
      </c>
      <c r="N33" s="72">
        <v>11867.209833231847</v>
      </c>
      <c r="O33" s="72">
        <v>29668.024583079838</v>
      </c>
      <c r="P33" s="23">
        <f t="shared" si="0"/>
        <v>148340.1229153992</v>
      </c>
    </row>
    <row r="34" spans="1:16">
      <c r="A34" s="17">
        <f t="shared" si="1"/>
        <v>20</v>
      </c>
      <c r="B34" s="18" t="s">
        <v>49</v>
      </c>
      <c r="C34" s="19" t="s">
        <v>50</v>
      </c>
      <c r="D34" s="72">
        <v>721.94261907564794</v>
      </c>
      <c r="E34" s="72">
        <v>962.59015876757735</v>
      </c>
      <c r="F34" s="72">
        <v>1203.2376984594366</v>
      </c>
      <c r="G34" s="72">
        <v>1925.1803175350847</v>
      </c>
      <c r="H34" s="72">
        <v>1925.1803175350847</v>
      </c>
      <c r="I34" s="72">
        <v>1925.1803175350847</v>
      </c>
      <c r="J34" s="72">
        <v>2165.8278572270137</v>
      </c>
      <c r="K34" s="72">
        <v>2165.8278572270137</v>
      </c>
      <c r="L34" s="72">
        <v>2165.8278572269437</v>
      </c>
      <c r="M34" s="72">
        <v>2165.8278572270137</v>
      </c>
      <c r="N34" s="72">
        <v>1925.1803175350847</v>
      </c>
      <c r="O34" s="72">
        <v>4812.9507938377465</v>
      </c>
      <c r="P34" s="23">
        <f>SUM(D34:O34)</f>
        <v>24064.753969188732</v>
      </c>
    </row>
    <row r="35" spans="1:16">
      <c r="A35" s="17">
        <f t="shared" si="1"/>
        <v>21</v>
      </c>
      <c r="B35" s="18" t="s">
        <v>51</v>
      </c>
      <c r="C35" s="19" t="s">
        <v>52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23">
        <f t="shared" si="0"/>
        <v>0</v>
      </c>
    </row>
    <row r="36" spans="1:16">
      <c r="A36" s="17">
        <f t="shared" si="1"/>
        <v>22</v>
      </c>
      <c r="B36" s="18" t="s">
        <v>53</v>
      </c>
      <c r="C36" s="19" t="s">
        <v>54</v>
      </c>
      <c r="D36" s="72">
        <v>18702</v>
      </c>
      <c r="E36" s="72">
        <v>24936</v>
      </c>
      <c r="F36" s="72">
        <v>31170</v>
      </c>
      <c r="G36" s="72">
        <v>49872</v>
      </c>
      <c r="H36" s="72">
        <v>49872</v>
      </c>
      <c r="I36" s="72">
        <v>49872</v>
      </c>
      <c r="J36" s="72">
        <v>56106</v>
      </c>
      <c r="K36" s="72">
        <v>56106</v>
      </c>
      <c r="L36" s="72">
        <v>56106</v>
      </c>
      <c r="M36" s="72">
        <v>56106</v>
      </c>
      <c r="N36" s="72">
        <v>49872</v>
      </c>
      <c r="O36" s="72">
        <v>124680</v>
      </c>
      <c r="P36" s="23">
        <f t="shared" si="0"/>
        <v>623400</v>
      </c>
    </row>
    <row r="37" spans="1:16">
      <c r="A37" s="17">
        <f t="shared" si="1"/>
        <v>23</v>
      </c>
      <c r="B37" s="18" t="s">
        <v>55</v>
      </c>
      <c r="C37" s="19" t="s">
        <v>27</v>
      </c>
      <c r="D37" s="72">
        <v>4350</v>
      </c>
      <c r="E37" s="72">
        <v>5800</v>
      </c>
      <c r="F37" s="72">
        <v>7250</v>
      </c>
      <c r="G37" s="72">
        <v>11600</v>
      </c>
      <c r="H37" s="72">
        <v>11600</v>
      </c>
      <c r="I37" s="72">
        <v>11600</v>
      </c>
      <c r="J37" s="72">
        <v>13050</v>
      </c>
      <c r="K37" s="72">
        <v>13050</v>
      </c>
      <c r="L37" s="72">
        <v>13050</v>
      </c>
      <c r="M37" s="72">
        <v>13050</v>
      </c>
      <c r="N37" s="72">
        <v>11600</v>
      </c>
      <c r="O37" s="72">
        <v>29000</v>
      </c>
      <c r="P37" s="23">
        <f t="shared" si="0"/>
        <v>145000</v>
      </c>
    </row>
    <row r="38" spans="1:16">
      <c r="A38" s="17">
        <f t="shared" si="1"/>
        <v>24</v>
      </c>
      <c r="B38" s="18" t="s">
        <v>56</v>
      </c>
      <c r="C38" s="19" t="s">
        <v>25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23">
        <f t="shared" si="0"/>
        <v>0</v>
      </c>
    </row>
    <row r="39" spans="1:16">
      <c r="A39" s="17">
        <f t="shared" si="1"/>
        <v>25</v>
      </c>
      <c r="B39" s="18">
        <v>3910</v>
      </c>
      <c r="C39" s="79" t="s">
        <v>57</v>
      </c>
      <c r="D39" s="80">
        <v>2550</v>
      </c>
      <c r="E39" s="80">
        <v>3400</v>
      </c>
      <c r="F39" s="80">
        <v>4250</v>
      </c>
      <c r="G39" s="80">
        <v>6800</v>
      </c>
      <c r="H39" s="80">
        <v>6800</v>
      </c>
      <c r="I39" s="80">
        <v>6800</v>
      </c>
      <c r="J39" s="80">
        <v>7650</v>
      </c>
      <c r="K39" s="80">
        <v>7650</v>
      </c>
      <c r="L39" s="80">
        <v>7650</v>
      </c>
      <c r="M39" s="80">
        <v>7650</v>
      </c>
      <c r="N39" s="80">
        <v>6800</v>
      </c>
      <c r="O39" s="80">
        <v>17000</v>
      </c>
      <c r="P39" s="81">
        <f t="shared" si="0"/>
        <v>85000</v>
      </c>
    </row>
    <row r="40" spans="1:16">
      <c r="A40" s="17">
        <f t="shared" si="1"/>
        <v>26</v>
      </c>
      <c r="B40" s="18">
        <v>3911</v>
      </c>
      <c r="C40" s="79" t="s">
        <v>58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1">
        <f t="shared" si="0"/>
        <v>0</v>
      </c>
    </row>
    <row r="41" spans="1:16">
      <c r="A41" s="17">
        <f t="shared" si="1"/>
        <v>27</v>
      </c>
      <c r="B41" s="18">
        <v>3912</v>
      </c>
      <c r="C41" s="79" t="s">
        <v>59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1">
        <f t="shared" si="0"/>
        <v>0</v>
      </c>
    </row>
    <row r="42" spans="1:16">
      <c r="A42" s="17">
        <f t="shared" si="1"/>
        <v>28</v>
      </c>
      <c r="B42" s="18">
        <v>3913</v>
      </c>
      <c r="C42" s="79" t="s">
        <v>60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1">
        <f t="shared" si="0"/>
        <v>0</v>
      </c>
    </row>
    <row r="43" spans="1:16">
      <c r="A43" s="17">
        <f t="shared" si="1"/>
        <v>29</v>
      </c>
      <c r="B43" s="18">
        <v>3914</v>
      </c>
      <c r="C43" s="79" t="s">
        <v>61</v>
      </c>
      <c r="D43" s="80">
        <v>735</v>
      </c>
      <c r="E43" s="80">
        <v>980</v>
      </c>
      <c r="F43" s="80">
        <v>1225</v>
      </c>
      <c r="G43" s="80">
        <v>1960</v>
      </c>
      <c r="H43" s="80">
        <v>1960</v>
      </c>
      <c r="I43" s="80">
        <v>1960</v>
      </c>
      <c r="J43" s="80">
        <v>2205</v>
      </c>
      <c r="K43" s="80">
        <v>2205</v>
      </c>
      <c r="L43" s="80">
        <v>2205</v>
      </c>
      <c r="M43" s="80">
        <v>2205</v>
      </c>
      <c r="N43" s="80">
        <v>1960</v>
      </c>
      <c r="O43" s="80">
        <v>4900</v>
      </c>
      <c r="P43" s="81">
        <f t="shared" si="0"/>
        <v>24500</v>
      </c>
    </row>
    <row r="44" spans="1:16">
      <c r="A44" s="17">
        <f t="shared" si="1"/>
        <v>30</v>
      </c>
      <c r="B44" s="18">
        <v>392</v>
      </c>
      <c r="C44" s="82" t="s">
        <v>62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4">
        <f t="shared" si="0"/>
        <v>0</v>
      </c>
    </row>
    <row r="45" spans="1:16">
      <c r="A45" s="17">
        <f t="shared" si="1"/>
        <v>31</v>
      </c>
      <c r="B45" s="18">
        <v>3921</v>
      </c>
      <c r="C45" s="82" t="s">
        <v>63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360000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4">
        <f t="shared" si="0"/>
        <v>360000</v>
      </c>
    </row>
    <row r="46" spans="1:16">
      <c r="A46" s="17">
        <f t="shared" si="1"/>
        <v>32</v>
      </c>
      <c r="B46" s="18">
        <v>3922</v>
      </c>
      <c r="C46" s="82" t="s">
        <v>64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517302.5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4">
        <f t="shared" si="0"/>
        <v>517302.5</v>
      </c>
    </row>
    <row r="47" spans="1:16">
      <c r="A47" s="17">
        <f t="shared" si="1"/>
        <v>33</v>
      </c>
      <c r="B47" s="18">
        <v>3924</v>
      </c>
      <c r="C47" s="82" t="s">
        <v>65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4">
        <f t="shared" si="0"/>
        <v>0</v>
      </c>
    </row>
    <row r="48" spans="1:16">
      <c r="A48" s="17">
        <f t="shared" si="1"/>
        <v>34</v>
      </c>
      <c r="B48" s="18" t="s">
        <v>66</v>
      </c>
      <c r="C48" s="19" t="s">
        <v>67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23">
        <f t="shared" si="0"/>
        <v>0</v>
      </c>
    </row>
    <row r="49" spans="1:16">
      <c r="A49" s="17">
        <f t="shared" si="1"/>
        <v>35</v>
      </c>
      <c r="B49" s="18" t="s">
        <v>68</v>
      </c>
      <c r="C49" s="19" t="s">
        <v>69</v>
      </c>
      <c r="D49" s="72">
        <v>6850.3500000000931</v>
      </c>
      <c r="E49" s="72">
        <v>9133.7999999998137</v>
      </c>
      <c r="F49" s="72">
        <v>11417.25</v>
      </c>
      <c r="G49" s="72">
        <v>18267.600000000093</v>
      </c>
      <c r="H49" s="72">
        <v>18267.600000000093</v>
      </c>
      <c r="I49" s="72">
        <v>18267.59999999986</v>
      </c>
      <c r="J49" s="72">
        <v>20551.050000000047</v>
      </c>
      <c r="K49" s="72">
        <v>20551.050000000047</v>
      </c>
      <c r="L49" s="72">
        <v>20551.049999999814</v>
      </c>
      <c r="M49" s="72">
        <v>20551.050000000279</v>
      </c>
      <c r="N49" s="72">
        <v>18267.59999999986</v>
      </c>
      <c r="O49" s="72">
        <v>45669</v>
      </c>
      <c r="P49" s="23">
        <f t="shared" si="0"/>
        <v>228345</v>
      </c>
    </row>
    <row r="50" spans="1:16">
      <c r="A50" s="17">
        <f t="shared" si="1"/>
        <v>36</v>
      </c>
      <c r="B50" s="18" t="s">
        <v>70</v>
      </c>
      <c r="C50" s="19" t="s">
        <v>71</v>
      </c>
      <c r="D50" s="72">
        <v>8333</v>
      </c>
      <c r="E50" s="72">
        <v>8334</v>
      </c>
      <c r="F50" s="72">
        <v>8333</v>
      </c>
      <c r="G50" s="72">
        <v>8333</v>
      </c>
      <c r="H50" s="72">
        <v>8334</v>
      </c>
      <c r="I50" s="72">
        <v>8333</v>
      </c>
      <c r="J50" s="72">
        <v>8333</v>
      </c>
      <c r="K50" s="72">
        <v>8334</v>
      </c>
      <c r="L50" s="72">
        <v>8333</v>
      </c>
      <c r="M50" s="72">
        <v>8333</v>
      </c>
      <c r="N50" s="72">
        <v>8333</v>
      </c>
      <c r="O50" s="72">
        <v>8334</v>
      </c>
      <c r="P50" s="23">
        <f t="shared" si="0"/>
        <v>100000</v>
      </c>
    </row>
    <row r="51" spans="1:16">
      <c r="A51" s="17">
        <f t="shared" si="1"/>
        <v>37</v>
      </c>
      <c r="B51" s="18" t="s">
        <v>72</v>
      </c>
      <c r="C51" s="19" t="s">
        <v>73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23">
        <f t="shared" si="0"/>
        <v>0</v>
      </c>
    </row>
    <row r="52" spans="1:16">
      <c r="A52" s="17">
        <f t="shared" si="1"/>
        <v>38</v>
      </c>
      <c r="B52" s="18" t="s">
        <v>74</v>
      </c>
      <c r="C52" s="19" t="s">
        <v>75</v>
      </c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23">
        <f t="shared" si="0"/>
        <v>0</v>
      </c>
    </row>
    <row r="53" spans="1:16">
      <c r="A53" s="26"/>
      <c r="B53" s="27"/>
      <c r="C53" s="4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29"/>
    </row>
    <row r="54" spans="1:16">
      <c r="A54" s="34"/>
      <c r="B54" s="14"/>
      <c r="C54" s="1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</row>
    <row r="55" spans="1:16" ht="15.75" thickBot="1">
      <c r="A55" s="4">
        <v>39</v>
      </c>
      <c r="C55" s="1" t="s">
        <v>76</v>
      </c>
      <c r="D55" s="31">
        <f t="shared" ref="D55:O55" si="2">SUM(D15:D54)</f>
        <v>348594.90739190509</v>
      </c>
      <c r="E55" s="31">
        <f t="shared" si="2"/>
        <v>450906.53318921017</v>
      </c>
      <c r="F55" s="31">
        <f t="shared" si="2"/>
        <v>553215.16898651212</v>
      </c>
      <c r="G55" s="31">
        <f t="shared" si="2"/>
        <v>860144.05637840636</v>
      </c>
      <c r="H55" s="31">
        <f t="shared" si="2"/>
        <v>860145.05637840577</v>
      </c>
      <c r="I55" s="31">
        <f t="shared" si="2"/>
        <v>860144.05637840612</v>
      </c>
      <c r="J55" s="31">
        <f t="shared" si="2"/>
        <v>1839756.2021757227</v>
      </c>
      <c r="K55" s="31">
        <f t="shared" si="2"/>
        <v>962454.70217570791</v>
      </c>
      <c r="L55" s="31">
        <f t="shared" si="2"/>
        <v>3068453.7021757062</v>
      </c>
      <c r="M55" s="31">
        <f t="shared" si="2"/>
        <v>962453.70217570872</v>
      </c>
      <c r="N55" s="31">
        <f t="shared" si="2"/>
        <v>860144.05637842114</v>
      </c>
      <c r="O55" s="31">
        <f t="shared" si="2"/>
        <v>4893862.6459460258</v>
      </c>
      <c r="P55" s="120">
        <f>SUM(P15:P54)</f>
        <v>16520274.789730135</v>
      </c>
    </row>
    <row r="56" spans="1:16" ht="15.75" thickTop="1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ht="15.75" thickBo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1" t="s">
        <v>77</v>
      </c>
      <c r="D58" s="29"/>
      <c r="E58" s="29"/>
      <c r="F58" s="29"/>
      <c r="G58" s="29"/>
      <c r="H58" s="29"/>
      <c r="I58" s="33"/>
      <c r="J58" s="33" t="s">
        <v>111</v>
      </c>
      <c r="K58" s="29"/>
      <c r="L58" s="29"/>
      <c r="M58" s="29"/>
      <c r="N58" s="29"/>
      <c r="O58" s="33"/>
      <c r="P58" s="29"/>
    </row>
    <row r="59" spans="1:16">
      <c r="A59" s="3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2" spans="1:16">
      <c r="A62" s="4" t="s">
        <v>138</v>
      </c>
    </row>
    <row r="63" spans="1:16">
      <c r="C63" s="2" t="s">
        <v>139</v>
      </c>
      <c r="D63" s="22">
        <v>-134187</v>
      </c>
      <c r="E63" s="22">
        <v>-178915</v>
      </c>
      <c r="F63" s="22">
        <v>-223644</v>
      </c>
      <c r="G63" s="22">
        <v>-357831</v>
      </c>
      <c r="H63" s="22">
        <v>-357831</v>
      </c>
      <c r="I63" s="22">
        <v>-357831</v>
      </c>
      <c r="J63" s="22">
        <v>-402560</v>
      </c>
      <c r="K63" s="22">
        <v>-402560</v>
      </c>
      <c r="L63" s="22">
        <f>2106000-402560</f>
        <v>1703440</v>
      </c>
      <c r="M63" s="22">
        <v>-402560</v>
      </c>
      <c r="N63" s="22">
        <v>-357831</v>
      </c>
      <c r="O63" s="22">
        <f>2106000-894577</f>
        <v>1211423</v>
      </c>
    </row>
    <row r="64" spans="1:16">
      <c r="C64" s="2" t="s">
        <v>140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</row>
    <row r="65" spans="3:15">
      <c r="C65" s="2" t="s">
        <v>141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</row>
    <row r="66" spans="3:15">
      <c r="C66" s="2" t="s">
        <v>164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700000</v>
      </c>
    </row>
    <row r="67" spans="3:15">
      <c r="C67" s="2" t="s">
        <v>142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</row>
    <row r="68" spans="3:15">
      <c r="C68" s="2" t="s">
        <v>143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</row>
    <row r="69" spans="3:15">
      <c r="C69" s="2" t="s">
        <v>144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opLeftCell="P30" workbookViewId="0">
      <selection activeCell="R15" sqref="R15:AC52"/>
    </sheetView>
  </sheetViews>
  <sheetFormatPr defaultColWidth="14.42578125" defaultRowHeight="15"/>
  <cols>
    <col min="1" max="1" width="11.42578125" style="4" customWidth="1"/>
    <col min="2" max="2" width="11.42578125" style="2" customWidth="1"/>
    <col min="3" max="3" width="57" style="2" customWidth="1"/>
    <col min="4" max="29" width="14.42578125" style="2"/>
    <col min="30" max="30" width="15.7109375" style="2" customWidth="1"/>
    <col min="31" max="256" width="14.42578125" style="2"/>
    <col min="257" max="258" width="11.42578125" style="2" customWidth="1"/>
    <col min="259" max="259" width="57" style="2" customWidth="1"/>
    <col min="260" max="512" width="14.42578125" style="2"/>
    <col min="513" max="514" width="11.42578125" style="2" customWidth="1"/>
    <col min="515" max="515" width="57" style="2" customWidth="1"/>
    <col min="516" max="768" width="14.42578125" style="2"/>
    <col min="769" max="770" width="11.42578125" style="2" customWidth="1"/>
    <col min="771" max="771" width="57" style="2" customWidth="1"/>
    <col min="772" max="1024" width="14.42578125" style="2"/>
    <col min="1025" max="1026" width="11.42578125" style="2" customWidth="1"/>
    <col min="1027" max="1027" width="57" style="2" customWidth="1"/>
    <col min="1028" max="1280" width="14.42578125" style="2"/>
    <col min="1281" max="1282" width="11.42578125" style="2" customWidth="1"/>
    <col min="1283" max="1283" width="57" style="2" customWidth="1"/>
    <col min="1284" max="1536" width="14.42578125" style="2"/>
    <col min="1537" max="1538" width="11.42578125" style="2" customWidth="1"/>
    <col min="1539" max="1539" width="57" style="2" customWidth="1"/>
    <col min="1540" max="1792" width="14.42578125" style="2"/>
    <col min="1793" max="1794" width="11.42578125" style="2" customWidth="1"/>
    <col min="1795" max="1795" width="57" style="2" customWidth="1"/>
    <col min="1796" max="2048" width="14.42578125" style="2"/>
    <col min="2049" max="2050" width="11.42578125" style="2" customWidth="1"/>
    <col min="2051" max="2051" width="57" style="2" customWidth="1"/>
    <col min="2052" max="2304" width="14.42578125" style="2"/>
    <col min="2305" max="2306" width="11.42578125" style="2" customWidth="1"/>
    <col min="2307" max="2307" width="57" style="2" customWidth="1"/>
    <col min="2308" max="2560" width="14.42578125" style="2"/>
    <col min="2561" max="2562" width="11.42578125" style="2" customWidth="1"/>
    <col min="2563" max="2563" width="57" style="2" customWidth="1"/>
    <col min="2564" max="2816" width="14.42578125" style="2"/>
    <col min="2817" max="2818" width="11.42578125" style="2" customWidth="1"/>
    <col min="2819" max="2819" width="57" style="2" customWidth="1"/>
    <col min="2820" max="3072" width="14.42578125" style="2"/>
    <col min="3073" max="3074" width="11.42578125" style="2" customWidth="1"/>
    <col min="3075" max="3075" width="57" style="2" customWidth="1"/>
    <col min="3076" max="3328" width="14.42578125" style="2"/>
    <col min="3329" max="3330" width="11.42578125" style="2" customWidth="1"/>
    <col min="3331" max="3331" width="57" style="2" customWidth="1"/>
    <col min="3332" max="3584" width="14.42578125" style="2"/>
    <col min="3585" max="3586" width="11.42578125" style="2" customWidth="1"/>
    <col min="3587" max="3587" width="57" style="2" customWidth="1"/>
    <col min="3588" max="3840" width="14.42578125" style="2"/>
    <col min="3841" max="3842" width="11.42578125" style="2" customWidth="1"/>
    <col min="3843" max="3843" width="57" style="2" customWidth="1"/>
    <col min="3844" max="4096" width="14.42578125" style="2"/>
    <col min="4097" max="4098" width="11.42578125" style="2" customWidth="1"/>
    <col min="4099" max="4099" width="57" style="2" customWidth="1"/>
    <col min="4100" max="4352" width="14.42578125" style="2"/>
    <col min="4353" max="4354" width="11.42578125" style="2" customWidth="1"/>
    <col min="4355" max="4355" width="57" style="2" customWidth="1"/>
    <col min="4356" max="4608" width="14.42578125" style="2"/>
    <col min="4609" max="4610" width="11.42578125" style="2" customWidth="1"/>
    <col min="4611" max="4611" width="57" style="2" customWidth="1"/>
    <col min="4612" max="4864" width="14.42578125" style="2"/>
    <col min="4865" max="4866" width="11.42578125" style="2" customWidth="1"/>
    <col min="4867" max="4867" width="57" style="2" customWidth="1"/>
    <col min="4868" max="5120" width="14.42578125" style="2"/>
    <col min="5121" max="5122" width="11.42578125" style="2" customWidth="1"/>
    <col min="5123" max="5123" width="57" style="2" customWidth="1"/>
    <col min="5124" max="5376" width="14.42578125" style="2"/>
    <col min="5377" max="5378" width="11.42578125" style="2" customWidth="1"/>
    <col min="5379" max="5379" width="57" style="2" customWidth="1"/>
    <col min="5380" max="5632" width="14.42578125" style="2"/>
    <col min="5633" max="5634" width="11.42578125" style="2" customWidth="1"/>
    <col min="5635" max="5635" width="57" style="2" customWidth="1"/>
    <col min="5636" max="5888" width="14.42578125" style="2"/>
    <col min="5889" max="5890" width="11.42578125" style="2" customWidth="1"/>
    <col min="5891" max="5891" width="57" style="2" customWidth="1"/>
    <col min="5892" max="6144" width="14.42578125" style="2"/>
    <col min="6145" max="6146" width="11.42578125" style="2" customWidth="1"/>
    <col min="6147" max="6147" width="57" style="2" customWidth="1"/>
    <col min="6148" max="6400" width="14.42578125" style="2"/>
    <col min="6401" max="6402" width="11.42578125" style="2" customWidth="1"/>
    <col min="6403" max="6403" width="57" style="2" customWidth="1"/>
    <col min="6404" max="6656" width="14.42578125" style="2"/>
    <col min="6657" max="6658" width="11.42578125" style="2" customWidth="1"/>
    <col min="6659" max="6659" width="57" style="2" customWidth="1"/>
    <col min="6660" max="6912" width="14.42578125" style="2"/>
    <col min="6913" max="6914" width="11.42578125" style="2" customWidth="1"/>
    <col min="6915" max="6915" width="57" style="2" customWidth="1"/>
    <col min="6916" max="7168" width="14.42578125" style="2"/>
    <col min="7169" max="7170" width="11.42578125" style="2" customWidth="1"/>
    <col min="7171" max="7171" width="57" style="2" customWidth="1"/>
    <col min="7172" max="7424" width="14.42578125" style="2"/>
    <col min="7425" max="7426" width="11.42578125" style="2" customWidth="1"/>
    <col min="7427" max="7427" width="57" style="2" customWidth="1"/>
    <col min="7428" max="7680" width="14.42578125" style="2"/>
    <col min="7681" max="7682" width="11.42578125" style="2" customWidth="1"/>
    <col min="7683" max="7683" width="57" style="2" customWidth="1"/>
    <col min="7684" max="7936" width="14.42578125" style="2"/>
    <col min="7937" max="7938" width="11.42578125" style="2" customWidth="1"/>
    <col min="7939" max="7939" width="57" style="2" customWidth="1"/>
    <col min="7940" max="8192" width="14.42578125" style="2"/>
    <col min="8193" max="8194" width="11.42578125" style="2" customWidth="1"/>
    <col min="8195" max="8195" width="57" style="2" customWidth="1"/>
    <col min="8196" max="8448" width="14.42578125" style="2"/>
    <col min="8449" max="8450" width="11.42578125" style="2" customWidth="1"/>
    <col min="8451" max="8451" width="57" style="2" customWidth="1"/>
    <col min="8452" max="8704" width="14.42578125" style="2"/>
    <col min="8705" max="8706" width="11.42578125" style="2" customWidth="1"/>
    <col min="8707" max="8707" width="57" style="2" customWidth="1"/>
    <col min="8708" max="8960" width="14.42578125" style="2"/>
    <col min="8961" max="8962" width="11.42578125" style="2" customWidth="1"/>
    <col min="8963" max="8963" width="57" style="2" customWidth="1"/>
    <col min="8964" max="9216" width="14.42578125" style="2"/>
    <col min="9217" max="9218" width="11.42578125" style="2" customWidth="1"/>
    <col min="9219" max="9219" width="57" style="2" customWidth="1"/>
    <col min="9220" max="9472" width="14.42578125" style="2"/>
    <col min="9473" max="9474" width="11.42578125" style="2" customWidth="1"/>
    <col min="9475" max="9475" width="57" style="2" customWidth="1"/>
    <col min="9476" max="9728" width="14.42578125" style="2"/>
    <col min="9729" max="9730" width="11.42578125" style="2" customWidth="1"/>
    <col min="9731" max="9731" width="57" style="2" customWidth="1"/>
    <col min="9732" max="9984" width="14.42578125" style="2"/>
    <col min="9985" max="9986" width="11.42578125" style="2" customWidth="1"/>
    <col min="9987" max="9987" width="57" style="2" customWidth="1"/>
    <col min="9988" max="10240" width="14.42578125" style="2"/>
    <col min="10241" max="10242" width="11.42578125" style="2" customWidth="1"/>
    <col min="10243" max="10243" width="57" style="2" customWidth="1"/>
    <col min="10244" max="10496" width="14.42578125" style="2"/>
    <col min="10497" max="10498" width="11.42578125" style="2" customWidth="1"/>
    <col min="10499" max="10499" width="57" style="2" customWidth="1"/>
    <col min="10500" max="10752" width="14.42578125" style="2"/>
    <col min="10753" max="10754" width="11.42578125" style="2" customWidth="1"/>
    <col min="10755" max="10755" width="57" style="2" customWidth="1"/>
    <col min="10756" max="11008" width="14.42578125" style="2"/>
    <col min="11009" max="11010" width="11.42578125" style="2" customWidth="1"/>
    <col min="11011" max="11011" width="57" style="2" customWidth="1"/>
    <col min="11012" max="11264" width="14.42578125" style="2"/>
    <col min="11265" max="11266" width="11.42578125" style="2" customWidth="1"/>
    <col min="11267" max="11267" width="57" style="2" customWidth="1"/>
    <col min="11268" max="11520" width="14.42578125" style="2"/>
    <col min="11521" max="11522" width="11.42578125" style="2" customWidth="1"/>
    <col min="11523" max="11523" width="57" style="2" customWidth="1"/>
    <col min="11524" max="11776" width="14.42578125" style="2"/>
    <col min="11777" max="11778" width="11.42578125" style="2" customWidth="1"/>
    <col min="11779" max="11779" width="57" style="2" customWidth="1"/>
    <col min="11780" max="12032" width="14.42578125" style="2"/>
    <col min="12033" max="12034" width="11.42578125" style="2" customWidth="1"/>
    <col min="12035" max="12035" width="57" style="2" customWidth="1"/>
    <col min="12036" max="12288" width="14.42578125" style="2"/>
    <col min="12289" max="12290" width="11.42578125" style="2" customWidth="1"/>
    <col min="12291" max="12291" width="57" style="2" customWidth="1"/>
    <col min="12292" max="12544" width="14.42578125" style="2"/>
    <col min="12545" max="12546" width="11.42578125" style="2" customWidth="1"/>
    <col min="12547" max="12547" width="57" style="2" customWidth="1"/>
    <col min="12548" max="12800" width="14.42578125" style="2"/>
    <col min="12801" max="12802" width="11.42578125" style="2" customWidth="1"/>
    <col min="12803" max="12803" width="57" style="2" customWidth="1"/>
    <col min="12804" max="13056" width="14.42578125" style="2"/>
    <col min="13057" max="13058" width="11.42578125" style="2" customWidth="1"/>
    <col min="13059" max="13059" width="57" style="2" customWidth="1"/>
    <col min="13060" max="13312" width="14.42578125" style="2"/>
    <col min="13313" max="13314" width="11.42578125" style="2" customWidth="1"/>
    <col min="13315" max="13315" width="57" style="2" customWidth="1"/>
    <col min="13316" max="13568" width="14.42578125" style="2"/>
    <col min="13569" max="13570" width="11.42578125" style="2" customWidth="1"/>
    <col min="13571" max="13571" width="57" style="2" customWidth="1"/>
    <col min="13572" max="13824" width="14.42578125" style="2"/>
    <col min="13825" max="13826" width="11.42578125" style="2" customWidth="1"/>
    <col min="13827" max="13827" width="57" style="2" customWidth="1"/>
    <col min="13828" max="14080" width="14.42578125" style="2"/>
    <col min="14081" max="14082" width="11.42578125" style="2" customWidth="1"/>
    <col min="14083" max="14083" width="57" style="2" customWidth="1"/>
    <col min="14084" max="14336" width="14.42578125" style="2"/>
    <col min="14337" max="14338" width="11.42578125" style="2" customWidth="1"/>
    <col min="14339" max="14339" width="57" style="2" customWidth="1"/>
    <col min="14340" max="14592" width="14.42578125" style="2"/>
    <col min="14593" max="14594" width="11.42578125" style="2" customWidth="1"/>
    <col min="14595" max="14595" width="57" style="2" customWidth="1"/>
    <col min="14596" max="14848" width="14.42578125" style="2"/>
    <col min="14849" max="14850" width="11.42578125" style="2" customWidth="1"/>
    <col min="14851" max="14851" width="57" style="2" customWidth="1"/>
    <col min="14852" max="15104" width="14.42578125" style="2"/>
    <col min="15105" max="15106" width="11.42578125" style="2" customWidth="1"/>
    <col min="15107" max="15107" width="57" style="2" customWidth="1"/>
    <col min="15108" max="15360" width="14.42578125" style="2"/>
    <col min="15361" max="15362" width="11.42578125" style="2" customWidth="1"/>
    <col min="15363" max="15363" width="57" style="2" customWidth="1"/>
    <col min="15364" max="15616" width="14.42578125" style="2"/>
    <col min="15617" max="15618" width="11.42578125" style="2" customWidth="1"/>
    <col min="15619" max="15619" width="57" style="2" customWidth="1"/>
    <col min="15620" max="15872" width="14.42578125" style="2"/>
    <col min="15873" max="15874" width="11.42578125" style="2" customWidth="1"/>
    <col min="15875" max="15875" width="57" style="2" customWidth="1"/>
    <col min="15876" max="16128" width="14.42578125" style="2"/>
    <col min="16129" max="16130" width="11.42578125" style="2" customWidth="1"/>
    <col min="16131" max="16131" width="57" style="2" customWidth="1"/>
    <col min="16132" max="16384" width="14.42578125" style="2"/>
  </cols>
  <sheetData>
    <row r="1" spans="1:30">
      <c r="A1" s="1" t="s">
        <v>0</v>
      </c>
      <c r="B1" s="2" t="s">
        <v>112</v>
      </c>
      <c r="E1" s="75" t="s">
        <v>79</v>
      </c>
      <c r="F1" s="76"/>
      <c r="H1" s="1"/>
      <c r="I1" s="14"/>
      <c r="L1" s="41" t="s">
        <v>113</v>
      </c>
      <c r="O1" s="1"/>
      <c r="P1" s="5"/>
    </row>
    <row r="2" spans="1:30" ht="15.75" thickBot="1">
      <c r="A2" s="6"/>
      <c r="B2" s="7"/>
      <c r="C2" s="7"/>
      <c r="D2" s="7"/>
      <c r="E2" s="7"/>
      <c r="F2" s="7"/>
      <c r="G2" s="7"/>
      <c r="H2" s="7"/>
      <c r="I2" s="77"/>
      <c r="J2" s="7"/>
      <c r="K2" s="7"/>
      <c r="L2" s="45"/>
      <c r="M2" s="7"/>
      <c r="N2" s="7"/>
      <c r="O2" s="7"/>
      <c r="P2" s="7"/>
    </row>
    <row r="3" spans="1:30">
      <c r="A3" s="8"/>
      <c r="B3" s="9"/>
      <c r="C3" s="9"/>
      <c r="D3" s="9"/>
      <c r="E3" s="9"/>
      <c r="F3" s="9"/>
      <c r="G3" s="9"/>
      <c r="H3" s="9"/>
      <c r="I3" s="78"/>
      <c r="J3" s="9"/>
      <c r="K3" s="9"/>
      <c r="L3" s="47"/>
      <c r="M3" s="9"/>
      <c r="N3" s="9"/>
      <c r="O3" s="9"/>
      <c r="P3" s="9"/>
    </row>
    <row r="4" spans="1:30">
      <c r="A4" s="1" t="s">
        <v>5</v>
      </c>
      <c r="E4" s="2" t="s">
        <v>81</v>
      </c>
      <c r="F4" s="3" t="s">
        <v>82</v>
      </c>
      <c r="H4" s="1"/>
      <c r="I4" s="1"/>
      <c r="L4" s="3" t="s">
        <v>8</v>
      </c>
      <c r="N4" s="1"/>
    </row>
    <row r="5" spans="1:30">
      <c r="F5" s="3" t="s">
        <v>109</v>
      </c>
      <c r="H5" s="1"/>
      <c r="I5" s="1"/>
      <c r="L5" s="3" t="s">
        <v>110</v>
      </c>
      <c r="N5" s="10"/>
    </row>
    <row r="6" spans="1:30">
      <c r="A6" s="1" t="s">
        <v>11</v>
      </c>
      <c r="B6" s="11" t="str">
        <f>'[1]G1-1'!B6</f>
        <v>Florida Public Utilities Company Consolidated Gas</v>
      </c>
      <c r="C6" s="1"/>
      <c r="L6" s="3" t="s">
        <v>90</v>
      </c>
      <c r="N6" s="1"/>
      <c r="O6" s="12"/>
    </row>
    <row r="7" spans="1:30">
      <c r="B7" s="11"/>
    </row>
    <row r="8" spans="1:30">
      <c r="A8" s="1" t="s">
        <v>13</v>
      </c>
      <c r="B8" s="11">
        <f>'[1]G1-1'!B8</f>
        <v>0</v>
      </c>
      <c r="C8" s="35" t="s">
        <v>137</v>
      </c>
    </row>
    <row r="9" spans="1:30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30">
      <c r="G10" s="1" t="s">
        <v>14</v>
      </c>
      <c r="H10" s="1" t="s">
        <v>14</v>
      </c>
      <c r="I10" s="1" t="s">
        <v>14</v>
      </c>
      <c r="J10" s="1" t="s">
        <v>14</v>
      </c>
      <c r="K10" s="13" t="s">
        <v>14</v>
      </c>
      <c r="N10" s="1" t="s">
        <v>14</v>
      </c>
    </row>
    <row r="11" spans="1:30">
      <c r="A11" s="1" t="s">
        <v>15</v>
      </c>
      <c r="B11" s="14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R11" s="2" t="s">
        <v>166</v>
      </c>
    </row>
    <row r="12" spans="1:30">
      <c r="A12" s="1" t="s">
        <v>17</v>
      </c>
      <c r="B12" s="14" t="s">
        <v>17</v>
      </c>
      <c r="C12" s="14" t="s">
        <v>18</v>
      </c>
      <c r="D12" s="16">
        <v>44927</v>
      </c>
      <c r="E12" s="16">
        <v>44958</v>
      </c>
      <c r="F12" s="16">
        <v>44986</v>
      </c>
      <c r="G12" s="16">
        <v>45017</v>
      </c>
      <c r="H12" s="16">
        <v>45047</v>
      </c>
      <c r="I12" s="16">
        <v>45078</v>
      </c>
      <c r="J12" s="16">
        <v>45108</v>
      </c>
      <c r="K12" s="16">
        <v>45139</v>
      </c>
      <c r="L12" s="16">
        <v>45170</v>
      </c>
      <c r="M12" s="16">
        <v>45200</v>
      </c>
      <c r="N12" s="16">
        <v>45231</v>
      </c>
      <c r="O12" s="16">
        <v>45261</v>
      </c>
      <c r="P12" s="14" t="s">
        <v>19</v>
      </c>
      <c r="R12" s="16">
        <v>44927</v>
      </c>
      <c r="S12" s="16">
        <v>44958</v>
      </c>
      <c r="T12" s="16">
        <v>44986</v>
      </c>
      <c r="U12" s="16">
        <v>45017</v>
      </c>
      <c r="V12" s="16">
        <v>45047</v>
      </c>
      <c r="W12" s="16">
        <v>45078</v>
      </c>
      <c r="X12" s="16">
        <v>45108</v>
      </c>
      <c r="Y12" s="16">
        <v>45139</v>
      </c>
      <c r="Z12" s="16">
        <v>45170</v>
      </c>
      <c r="AA12" s="16">
        <v>45200</v>
      </c>
      <c r="AB12" s="16">
        <v>45231</v>
      </c>
      <c r="AC12" s="16">
        <v>45261</v>
      </c>
      <c r="AD12" s="14" t="s">
        <v>19</v>
      </c>
    </row>
    <row r="13" spans="1:30" ht="15.75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30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30">
      <c r="A15" s="17">
        <v>1</v>
      </c>
      <c r="B15" s="18" t="s">
        <v>20</v>
      </c>
      <c r="C15" s="19" t="s">
        <v>21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1">
        <f t="shared" ref="P15:P52" si="0">SUM(D15:O15)</f>
        <v>0</v>
      </c>
      <c r="R15" s="2">
        <f>-D15</f>
        <v>0</v>
      </c>
      <c r="S15" s="2">
        <f t="shared" ref="S15:AC52" si="1">-E15</f>
        <v>0</v>
      </c>
      <c r="T15" s="2">
        <f t="shared" si="1"/>
        <v>0</v>
      </c>
      <c r="U15" s="2">
        <f t="shared" si="1"/>
        <v>0</v>
      </c>
      <c r="V15" s="2">
        <f t="shared" si="1"/>
        <v>0</v>
      </c>
      <c r="W15" s="2">
        <f t="shared" si="1"/>
        <v>0</v>
      </c>
      <c r="X15" s="2">
        <f t="shared" si="1"/>
        <v>0</v>
      </c>
      <c r="Y15" s="2">
        <f t="shared" si="1"/>
        <v>0</v>
      </c>
      <c r="Z15" s="2">
        <f t="shared" si="1"/>
        <v>0</v>
      </c>
      <c r="AA15" s="2">
        <f t="shared" si="1"/>
        <v>0</v>
      </c>
      <c r="AB15" s="2">
        <f t="shared" si="1"/>
        <v>0</v>
      </c>
      <c r="AC15" s="2">
        <f t="shared" si="1"/>
        <v>0</v>
      </c>
      <c r="AD15" s="2">
        <f>+SUM(R15:AC15)</f>
        <v>0</v>
      </c>
    </row>
    <row r="16" spans="1:30">
      <c r="A16" s="17">
        <f>+A15+1</f>
        <v>2</v>
      </c>
      <c r="B16" s="18" t="s">
        <v>22</v>
      </c>
      <c r="C16" s="19" t="s">
        <v>23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3">
        <f t="shared" si="0"/>
        <v>0</v>
      </c>
      <c r="R16" s="2">
        <f t="shared" ref="R16:T52" si="2">-D16</f>
        <v>0</v>
      </c>
      <c r="S16" s="2">
        <f t="shared" si="1"/>
        <v>0</v>
      </c>
      <c r="T16" s="2">
        <f t="shared" si="1"/>
        <v>0</v>
      </c>
      <c r="U16" s="2">
        <f t="shared" si="1"/>
        <v>0</v>
      </c>
      <c r="V16" s="2">
        <f t="shared" si="1"/>
        <v>0</v>
      </c>
      <c r="W16" s="2">
        <f t="shared" si="1"/>
        <v>0</v>
      </c>
      <c r="X16" s="2">
        <f t="shared" si="1"/>
        <v>0</v>
      </c>
      <c r="Y16" s="2">
        <f t="shared" si="1"/>
        <v>0</v>
      </c>
      <c r="Z16" s="2">
        <f t="shared" si="1"/>
        <v>0</v>
      </c>
      <c r="AA16" s="2">
        <f t="shared" si="1"/>
        <v>0</v>
      </c>
      <c r="AB16" s="2">
        <f t="shared" si="1"/>
        <v>0</v>
      </c>
      <c r="AC16" s="2">
        <f t="shared" si="1"/>
        <v>0</v>
      </c>
      <c r="AD16" s="2">
        <f t="shared" ref="AD16:AD52" si="3">+SUM(R16:AC16)</f>
        <v>0</v>
      </c>
    </row>
    <row r="17" spans="1:30">
      <c r="A17" s="17">
        <f t="shared" ref="A17:A52" si="4">+A16+1</f>
        <v>3</v>
      </c>
      <c r="B17" s="18">
        <v>303</v>
      </c>
      <c r="C17" s="19" t="s">
        <v>24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3">
        <f t="shared" si="0"/>
        <v>0</v>
      </c>
      <c r="R17" s="2">
        <f t="shared" si="2"/>
        <v>0</v>
      </c>
      <c r="S17" s="2">
        <f t="shared" si="1"/>
        <v>0</v>
      </c>
      <c r="T17" s="2">
        <f t="shared" si="1"/>
        <v>0</v>
      </c>
      <c r="U17" s="2">
        <f t="shared" si="1"/>
        <v>0</v>
      </c>
      <c r="V17" s="2">
        <f t="shared" si="1"/>
        <v>0</v>
      </c>
      <c r="W17" s="2">
        <f t="shared" si="1"/>
        <v>0</v>
      </c>
      <c r="X17" s="2">
        <f t="shared" si="1"/>
        <v>0</v>
      </c>
      <c r="Y17" s="2">
        <f t="shared" si="1"/>
        <v>0</v>
      </c>
      <c r="Z17" s="2">
        <f t="shared" si="1"/>
        <v>0</v>
      </c>
      <c r="AA17" s="2">
        <f t="shared" si="1"/>
        <v>0</v>
      </c>
      <c r="AB17" s="2">
        <f t="shared" si="1"/>
        <v>0</v>
      </c>
      <c r="AC17" s="2">
        <f t="shared" si="1"/>
        <v>0</v>
      </c>
      <c r="AD17" s="2">
        <f t="shared" si="3"/>
        <v>0</v>
      </c>
    </row>
    <row r="18" spans="1:30">
      <c r="A18" s="17">
        <f t="shared" si="4"/>
        <v>4</v>
      </c>
      <c r="B18" s="18">
        <v>305</v>
      </c>
      <c r="C18" s="19" t="s">
        <v>25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3">
        <f t="shared" si="0"/>
        <v>0</v>
      </c>
      <c r="R18" s="2">
        <f t="shared" si="2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0</v>
      </c>
      <c r="X18" s="2">
        <f t="shared" si="1"/>
        <v>0</v>
      </c>
      <c r="Y18" s="2">
        <f t="shared" si="1"/>
        <v>0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3"/>
        <v>0</v>
      </c>
    </row>
    <row r="19" spans="1:30">
      <c r="A19" s="17">
        <f t="shared" si="4"/>
        <v>5</v>
      </c>
      <c r="B19" s="18" t="s">
        <v>26</v>
      </c>
      <c r="C19" s="19" t="s">
        <v>27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3">
        <f t="shared" si="0"/>
        <v>0</v>
      </c>
      <c r="R19" s="2">
        <f t="shared" si="2"/>
        <v>0</v>
      </c>
      <c r="S19" s="2">
        <f t="shared" si="1"/>
        <v>0</v>
      </c>
      <c r="T19" s="2">
        <f t="shared" si="1"/>
        <v>0</v>
      </c>
      <c r="U19" s="2">
        <f t="shared" si="1"/>
        <v>0</v>
      </c>
      <c r="V19" s="2">
        <f t="shared" si="1"/>
        <v>0</v>
      </c>
      <c r="W19" s="2">
        <f t="shared" si="1"/>
        <v>0</v>
      </c>
      <c r="X19" s="2">
        <f t="shared" si="1"/>
        <v>0</v>
      </c>
      <c r="Y19" s="2">
        <f t="shared" si="1"/>
        <v>0</v>
      </c>
      <c r="Z19" s="2">
        <f t="shared" si="1"/>
        <v>0</v>
      </c>
      <c r="AA19" s="2">
        <f t="shared" si="1"/>
        <v>0</v>
      </c>
      <c r="AB19" s="2">
        <f t="shared" si="1"/>
        <v>0</v>
      </c>
      <c r="AC19" s="2">
        <f t="shared" si="1"/>
        <v>0</v>
      </c>
      <c r="AD19" s="2">
        <f t="shared" si="3"/>
        <v>0</v>
      </c>
    </row>
    <row r="20" spans="1:30">
      <c r="A20" s="17">
        <f t="shared" si="4"/>
        <v>6</v>
      </c>
      <c r="B20" s="18" t="s">
        <v>28</v>
      </c>
      <c r="C20" s="19" t="s">
        <v>25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3">
        <f t="shared" si="0"/>
        <v>0</v>
      </c>
      <c r="R20" s="2">
        <f t="shared" si="2"/>
        <v>0</v>
      </c>
      <c r="S20" s="2">
        <f t="shared" si="1"/>
        <v>0</v>
      </c>
      <c r="T20" s="2">
        <f t="shared" si="1"/>
        <v>0</v>
      </c>
      <c r="U20" s="2">
        <f t="shared" si="1"/>
        <v>0</v>
      </c>
      <c r="V20" s="2">
        <f t="shared" si="1"/>
        <v>0</v>
      </c>
      <c r="W20" s="2">
        <f t="shared" si="1"/>
        <v>0</v>
      </c>
      <c r="X20" s="2">
        <f t="shared" si="1"/>
        <v>0</v>
      </c>
      <c r="Y20" s="2">
        <f t="shared" si="1"/>
        <v>0</v>
      </c>
      <c r="Z20" s="2">
        <f t="shared" si="1"/>
        <v>0</v>
      </c>
      <c r="AA20" s="2">
        <f t="shared" si="1"/>
        <v>0</v>
      </c>
      <c r="AB20" s="2">
        <f t="shared" si="1"/>
        <v>0</v>
      </c>
      <c r="AC20" s="2">
        <f t="shared" si="1"/>
        <v>0</v>
      </c>
      <c r="AD20" s="2">
        <f t="shared" si="3"/>
        <v>0</v>
      </c>
    </row>
    <row r="21" spans="1:30">
      <c r="A21" s="17">
        <f t="shared" si="4"/>
        <v>7</v>
      </c>
      <c r="B21" s="24">
        <v>3761</v>
      </c>
      <c r="C21" s="25" t="s">
        <v>29</v>
      </c>
      <c r="D21" s="22">
        <f>ROUND('2023 plant additions'!D21*'2023 plant retirements'!$D$61,0)</f>
        <v>15250</v>
      </c>
      <c r="E21" s="22">
        <f>ROUND('2023 plant additions'!E21*'2023 plant retirements'!$D$61,0)</f>
        <v>19211</v>
      </c>
      <c r="F21" s="22">
        <f>ROUND('2023 plant additions'!F21*'2023 plant retirements'!$D$61,0)</f>
        <v>23173</v>
      </c>
      <c r="G21" s="22">
        <f>ROUND('2023 plant additions'!G21*'2023 plant retirements'!$D$61,0)</f>
        <v>35056</v>
      </c>
      <c r="H21" s="22">
        <f>ROUND('2023 plant additions'!H21*'2023 plant retirements'!$D$61,0)</f>
        <v>35056</v>
      </c>
      <c r="I21" s="22">
        <f>ROUND('2023 plant additions'!I21*'2023 plant retirements'!$D$61,0)</f>
        <v>35056</v>
      </c>
      <c r="J21" s="22">
        <f>ROUND('2023 plant additions'!J21*'2023 plant retirements'!$D$61,0)</f>
        <v>39017</v>
      </c>
      <c r="K21" s="22">
        <f>ROUND('2023 plant additions'!K21*'2023 plant retirements'!$D$61,0)</f>
        <v>39017</v>
      </c>
      <c r="L21" s="22">
        <f>ROUND('2023 plant additions'!L21*'2023 plant retirements'!$D$61,0)</f>
        <v>251723</v>
      </c>
      <c r="M21" s="22">
        <f>ROUND('2023 plant additions'!M21*'2023 plant retirements'!$D$61,0)</f>
        <v>39017</v>
      </c>
      <c r="N21" s="22">
        <f>ROUND('2023 plant additions'!N21*'2023 plant retirements'!$D$61,0)</f>
        <v>35056</v>
      </c>
      <c r="O21" s="22">
        <f>ROUND('2023 plant additions'!O21*'2023 plant retirements'!$D$61,0)</f>
        <v>295296</v>
      </c>
      <c r="P21" s="23">
        <f t="shared" si="0"/>
        <v>861928</v>
      </c>
      <c r="R21" s="2">
        <f t="shared" si="2"/>
        <v>-15250</v>
      </c>
      <c r="S21" s="2">
        <f t="shared" si="1"/>
        <v>-19211</v>
      </c>
      <c r="T21" s="2">
        <f t="shared" si="1"/>
        <v>-23173</v>
      </c>
      <c r="U21" s="2">
        <f t="shared" si="1"/>
        <v>-35056</v>
      </c>
      <c r="V21" s="2">
        <f t="shared" si="1"/>
        <v>-35056</v>
      </c>
      <c r="W21" s="2">
        <f t="shared" si="1"/>
        <v>-35056</v>
      </c>
      <c r="X21" s="2">
        <f t="shared" si="1"/>
        <v>-39017</v>
      </c>
      <c r="Y21" s="2">
        <f t="shared" si="1"/>
        <v>-39017</v>
      </c>
      <c r="Z21" s="2">
        <f t="shared" si="1"/>
        <v>-251723</v>
      </c>
      <c r="AA21" s="2">
        <f t="shared" si="1"/>
        <v>-39017</v>
      </c>
      <c r="AB21" s="2">
        <f t="shared" si="1"/>
        <v>-35056</v>
      </c>
      <c r="AC21" s="2">
        <f t="shared" si="1"/>
        <v>-295296</v>
      </c>
      <c r="AD21" s="2">
        <f t="shared" si="3"/>
        <v>-861928</v>
      </c>
    </row>
    <row r="22" spans="1:30">
      <c r="A22" s="17">
        <f t="shared" si="4"/>
        <v>8</v>
      </c>
      <c r="B22" s="24">
        <v>3762</v>
      </c>
      <c r="C22" s="25" t="s">
        <v>30</v>
      </c>
      <c r="D22" s="22">
        <f>ROUND('2023 plant additions'!D22*'2023 plant retirements'!$D$62,0)</f>
        <v>0</v>
      </c>
      <c r="E22" s="22">
        <f>ROUND('2023 plant additions'!E22*'2023 plant retirements'!$D$62,0)</f>
        <v>0</v>
      </c>
      <c r="F22" s="22">
        <f>ROUND('2023 plant additions'!F22*'2023 plant retirements'!$D$62,0)</f>
        <v>0</v>
      </c>
      <c r="G22" s="22">
        <f>ROUND('2023 plant additions'!G22*'2023 plant retirements'!$D$62,0)</f>
        <v>0</v>
      </c>
      <c r="H22" s="22">
        <f>ROUND('2023 plant additions'!H22*'2023 plant retirements'!$D$62,0)</f>
        <v>0</v>
      </c>
      <c r="I22" s="22">
        <f>ROUND('2023 plant additions'!I22*'2023 plant retirements'!$D$62,0)</f>
        <v>0</v>
      </c>
      <c r="J22" s="22">
        <f>ROUND('2023 plant additions'!J22*'2023 plant retirements'!$D$62,0)</f>
        <v>0</v>
      </c>
      <c r="K22" s="22">
        <f>ROUND('2023 plant additions'!K22*'2023 plant retirements'!$D$62,0)</f>
        <v>0</v>
      </c>
      <c r="L22" s="22">
        <f>ROUND('2023 plant additions'!L22*'2023 plant retirements'!$D$62,0)</f>
        <v>0</v>
      </c>
      <c r="M22" s="22">
        <f>ROUND('2023 plant additions'!M22*'2023 plant retirements'!$D$62,0)</f>
        <v>0</v>
      </c>
      <c r="N22" s="22">
        <f>ROUND('2023 plant additions'!N22*'2023 plant retirements'!$D$62,0)</f>
        <v>0</v>
      </c>
      <c r="O22" s="22">
        <f>ROUND('2023 plant additions'!O22*'2023 plant retirements'!$D$62,0)</f>
        <v>0</v>
      </c>
      <c r="P22" s="23">
        <f t="shared" si="0"/>
        <v>0</v>
      </c>
      <c r="R22" s="2">
        <f t="shared" si="2"/>
        <v>0</v>
      </c>
      <c r="S22" s="2">
        <f t="shared" si="1"/>
        <v>0</v>
      </c>
      <c r="T22" s="2">
        <f t="shared" si="1"/>
        <v>0</v>
      </c>
      <c r="U22" s="2">
        <f t="shared" si="1"/>
        <v>0</v>
      </c>
      <c r="V22" s="2">
        <f t="shared" si="1"/>
        <v>0</v>
      </c>
      <c r="W22" s="2">
        <f t="shared" si="1"/>
        <v>0</v>
      </c>
      <c r="X22" s="2">
        <f t="shared" si="1"/>
        <v>0</v>
      </c>
      <c r="Y22" s="2">
        <f t="shared" si="1"/>
        <v>0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3"/>
        <v>0</v>
      </c>
    </row>
    <row r="23" spans="1:30">
      <c r="A23" s="17">
        <f t="shared" si="4"/>
        <v>9</v>
      </c>
      <c r="B23" s="24" t="s">
        <v>31</v>
      </c>
      <c r="C23" s="25" t="s">
        <v>32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3">
        <f t="shared" si="0"/>
        <v>0</v>
      </c>
      <c r="R23" s="2">
        <f t="shared" si="2"/>
        <v>0</v>
      </c>
      <c r="S23" s="2">
        <f t="shared" si="1"/>
        <v>0</v>
      </c>
      <c r="T23" s="2">
        <f t="shared" si="1"/>
        <v>0</v>
      </c>
      <c r="U23" s="2">
        <f t="shared" si="1"/>
        <v>0</v>
      </c>
      <c r="V23" s="2">
        <f t="shared" si="1"/>
        <v>0</v>
      </c>
      <c r="W23" s="2">
        <f t="shared" si="1"/>
        <v>0</v>
      </c>
      <c r="X23" s="2">
        <f t="shared" si="1"/>
        <v>0</v>
      </c>
      <c r="Y23" s="2">
        <f t="shared" si="1"/>
        <v>0</v>
      </c>
      <c r="Z23" s="2">
        <f t="shared" si="1"/>
        <v>0</v>
      </c>
      <c r="AA23" s="2">
        <f t="shared" si="1"/>
        <v>0</v>
      </c>
      <c r="AB23" s="2">
        <f t="shared" si="1"/>
        <v>0</v>
      </c>
      <c r="AC23" s="2">
        <f t="shared" si="1"/>
        <v>0</v>
      </c>
      <c r="AD23" s="2">
        <f t="shared" si="3"/>
        <v>0</v>
      </c>
    </row>
    <row r="24" spans="1:30">
      <c r="A24" s="17">
        <f t="shared" si="4"/>
        <v>10</v>
      </c>
      <c r="B24" s="18" t="s">
        <v>33</v>
      </c>
      <c r="C24" s="19" t="s">
        <v>34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3">
        <f t="shared" si="0"/>
        <v>0</v>
      </c>
      <c r="R24" s="2">
        <f t="shared" si="2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3"/>
        <v>0</v>
      </c>
    </row>
    <row r="25" spans="1:30">
      <c r="A25" s="17">
        <f t="shared" si="4"/>
        <v>11</v>
      </c>
      <c r="B25" s="18" t="s">
        <v>35</v>
      </c>
      <c r="C25" s="19" t="s">
        <v>36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3">
        <f t="shared" si="0"/>
        <v>0</v>
      </c>
      <c r="R25" s="2">
        <f t="shared" si="2"/>
        <v>0</v>
      </c>
      <c r="S25" s="2">
        <f t="shared" si="1"/>
        <v>0</v>
      </c>
      <c r="T25" s="2">
        <f t="shared" si="1"/>
        <v>0</v>
      </c>
      <c r="U25" s="2">
        <f t="shared" si="1"/>
        <v>0</v>
      </c>
      <c r="V25" s="2">
        <f t="shared" si="1"/>
        <v>0</v>
      </c>
      <c r="W25" s="2">
        <f t="shared" si="1"/>
        <v>0</v>
      </c>
      <c r="X25" s="2">
        <f t="shared" si="1"/>
        <v>0</v>
      </c>
      <c r="Y25" s="2">
        <f t="shared" si="1"/>
        <v>0</v>
      </c>
      <c r="Z25" s="2">
        <f t="shared" si="1"/>
        <v>0</v>
      </c>
      <c r="AA25" s="2">
        <f t="shared" si="1"/>
        <v>0</v>
      </c>
      <c r="AB25" s="2">
        <f t="shared" si="1"/>
        <v>0</v>
      </c>
      <c r="AC25" s="2">
        <f t="shared" si="1"/>
        <v>0</v>
      </c>
      <c r="AD25" s="2">
        <f t="shared" si="3"/>
        <v>0</v>
      </c>
    </row>
    <row r="26" spans="1:30">
      <c r="A26" s="17">
        <f t="shared" si="4"/>
        <v>12</v>
      </c>
      <c r="B26" s="18">
        <v>3801</v>
      </c>
      <c r="C26" s="19" t="s">
        <v>37</v>
      </c>
      <c r="D26" s="22">
        <f>ROUND('2023 plant additions'!D26*'2023 plant retirements'!$D$63,0)</f>
        <v>9787</v>
      </c>
      <c r="E26" s="22">
        <f>ROUND('2023 plant additions'!E26*'2023 plant retirements'!$D$63,0)</f>
        <v>13049</v>
      </c>
      <c r="F26" s="22">
        <f>ROUND('2023 plant additions'!F26*'2023 plant retirements'!$D$63,0)</f>
        <v>16311</v>
      </c>
      <c r="G26" s="22">
        <f>ROUND('2023 plant additions'!G26*'2023 plant retirements'!$D$63,0)</f>
        <v>26098</v>
      </c>
      <c r="H26" s="22">
        <f>ROUND('2023 plant additions'!H26*'2023 plant retirements'!$D$63,0)</f>
        <v>26098</v>
      </c>
      <c r="I26" s="22">
        <f>ROUND('2023 plant additions'!I26*'2023 plant retirements'!$D$63,0)</f>
        <v>26098</v>
      </c>
      <c r="J26" s="22">
        <f>ROUND('2023 plant additions'!J26*'2023 plant retirements'!$D$63,0)</f>
        <v>29360</v>
      </c>
      <c r="K26" s="22">
        <f>ROUND('2023 plant additions'!K26*'2023 plant retirements'!$D$63,0)</f>
        <v>29360</v>
      </c>
      <c r="L26" s="22">
        <f>ROUND('2023 plant additions'!L26*'2023 plant retirements'!$D$63,0)</f>
        <v>29360</v>
      </c>
      <c r="M26" s="22">
        <f>ROUND('2023 plant additions'!M26*'2023 plant retirements'!$D$63,0)</f>
        <v>29360</v>
      </c>
      <c r="N26" s="22">
        <f>ROUND('2023 plant additions'!N26*'2023 plant retirements'!$D$63,0)</f>
        <v>26098</v>
      </c>
      <c r="O26" s="22">
        <f>ROUND('2023 plant additions'!O26*'2023 plant retirements'!$D$63,0)</f>
        <v>65244</v>
      </c>
      <c r="P26" s="23">
        <f t="shared" si="0"/>
        <v>326223</v>
      </c>
      <c r="R26" s="2">
        <f t="shared" si="2"/>
        <v>-9787</v>
      </c>
      <c r="S26" s="2">
        <f t="shared" si="1"/>
        <v>-13049</v>
      </c>
      <c r="T26" s="2">
        <f t="shared" si="1"/>
        <v>-16311</v>
      </c>
      <c r="U26" s="2">
        <f t="shared" si="1"/>
        <v>-26098</v>
      </c>
      <c r="V26" s="2">
        <f t="shared" si="1"/>
        <v>-26098</v>
      </c>
      <c r="W26" s="2">
        <f t="shared" si="1"/>
        <v>-26098</v>
      </c>
      <c r="X26" s="2">
        <f t="shared" si="1"/>
        <v>-29360</v>
      </c>
      <c r="Y26" s="2">
        <f t="shared" si="1"/>
        <v>-29360</v>
      </c>
      <c r="Z26" s="2">
        <f t="shared" si="1"/>
        <v>-29360</v>
      </c>
      <c r="AA26" s="2">
        <f t="shared" si="1"/>
        <v>-29360</v>
      </c>
      <c r="AB26" s="2">
        <f t="shared" si="1"/>
        <v>-26098</v>
      </c>
      <c r="AC26" s="2">
        <f t="shared" si="1"/>
        <v>-65244</v>
      </c>
      <c r="AD26" s="2">
        <f t="shared" si="3"/>
        <v>-326223</v>
      </c>
    </row>
    <row r="27" spans="1:30">
      <c r="A27" s="17">
        <f t="shared" si="4"/>
        <v>13</v>
      </c>
      <c r="B27" s="18">
        <v>3802</v>
      </c>
      <c r="C27" s="19" t="s">
        <v>38</v>
      </c>
      <c r="D27" s="22">
        <f>ROUND('2023 plant additions'!D27*'2023 plant retirements'!$D$64,0)</f>
        <v>0</v>
      </c>
      <c r="E27" s="22">
        <f>ROUND('2023 plant additions'!E27*'2023 plant retirements'!$D$64,0)</f>
        <v>0</v>
      </c>
      <c r="F27" s="22">
        <f>ROUND('2023 plant additions'!F27*'2023 plant retirements'!$D$64,0)</f>
        <v>0</v>
      </c>
      <c r="G27" s="22">
        <f>ROUND('2023 plant additions'!G27*'2023 plant retirements'!$D$64,0)</f>
        <v>0</v>
      </c>
      <c r="H27" s="22">
        <f>ROUND('2023 plant additions'!H27*'2023 plant retirements'!$D$64,0)</f>
        <v>0</v>
      </c>
      <c r="I27" s="22">
        <f>ROUND('2023 plant additions'!I27*'2023 plant retirements'!$D$64,0)</f>
        <v>0</v>
      </c>
      <c r="J27" s="22">
        <f>ROUND('2023 plant additions'!J27*'2023 plant retirements'!$D$64,0)</f>
        <v>0</v>
      </c>
      <c r="K27" s="22">
        <f>ROUND('2023 plant additions'!K27*'2023 plant retirements'!$D$64,0)</f>
        <v>0</v>
      </c>
      <c r="L27" s="22">
        <f>ROUND('2023 plant additions'!L27*'2023 plant retirements'!$D$64,0)</f>
        <v>0</v>
      </c>
      <c r="M27" s="22">
        <f>ROUND('2023 plant additions'!M27*'2023 plant retirements'!$D$64,0)</f>
        <v>0</v>
      </c>
      <c r="N27" s="22">
        <f>ROUND('2023 plant additions'!N27*'2023 plant retirements'!$D$64,0)</f>
        <v>0</v>
      </c>
      <c r="O27" s="22">
        <f>ROUND('2023 plant additions'!O27*'2023 plant retirements'!$D$64,0)</f>
        <v>0</v>
      </c>
      <c r="P27" s="23">
        <f t="shared" si="0"/>
        <v>0</v>
      </c>
      <c r="R27" s="2">
        <f t="shared" si="2"/>
        <v>0</v>
      </c>
      <c r="S27" s="2">
        <f t="shared" si="1"/>
        <v>0</v>
      </c>
      <c r="T27" s="2">
        <f t="shared" si="1"/>
        <v>0</v>
      </c>
      <c r="U27" s="2">
        <f t="shared" si="1"/>
        <v>0</v>
      </c>
      <c r="V27" s="2">
        <f t="shared" si="1"/>
        <v>0</v>
      </c>
      <c r="W27" s="2">
        <f t="shared" si="1"/>
        <v>0</v>
      </c>
      <c r="X27" s="2">
        <f t="shared" si="1"/>
        <v>0</v>
      </c>
      <c r="Y27" s="2">
        <f t="shared" si="1"/>
        <v>0</v>
      </c>
      <c r="Z27" s="2">
        <f t="shared" si="1"/>
        <v>0</v>
      </c>
      <c r="AA27" s="2">
        <f t="shared" si="1"/>
        <v>0</v>
      </c>
      <c r="AB27" s="2">
        <f t="shared" si="1"/>
        <v>0</v>
      </c>
      <c r="AC27" s="2">
        <f t="shared" si="1"/>
        <v>0</v>
      </c>
      <c r="AD27" s="2">
        <f t="shared" si="3"/>
        <v>0</v>
      </c>
    </row>
    <row r="28" spans="1:30">
      <c r="A28" s="17">
        <f t="shared" si="4"/>
        <v>14</v>
      </c>
      <c r="B28" s="18" t="s">
        <v>39</v>
      </c>
      <c r="C28" s="19" t="s">
        <v>40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3">
        <f>SUM(D28:O28)</f>
        <v>0</v>
      </c>
      <c r="R28" s="2">
        <f t="shared" si="2"/>
        <v>0</v>
      </c>
      <c r="S28" s="2">
        <f t="shared" si="1"/>
        <v>0</v>
      </c>
      <c r="T28" s="2">
        <f t="shared" si="1"/>
        <v>0</v>
      </c>
      <c r="U28" s="2">
        <f t="shared" si="1"/>
        <v>0</v>
      </c>
      <c r="V28" s="2">
        <f t="shared" si="1"/>
        <v>0</v>
      </c>
      <c r="W28" s="2">
        <f t="shared" si="1"/>
        <v>0</v>
      </c>
      <c r="X28" s="2">
        <f t="shared" si="1"/>
        <v>0</v>
      </c>
      <c r="Y28" s="2">
        <f t="shared" si="1"/>
        <v>0</v>
      </c>
      <c r="Z28" s="2">
        <f t="shared" si="1"/>
        <v>0</v>
      </c>
      <c r="AA28" s="2">
        <f t="shared" si="1"/>
        <v>0</v>
      </c>
      <c r="AB28" s="2">
        <f t="shared" si="1"/>
        <v>0</v>
      </c>
      <c r="AC28" s="2">
        <f t="shared" si="1"/>
        <v>0</v>
      </c>
      <c r="AD28" s="2">
        <f t="shared" si="3"/>
        <v>0</v>
      </c>
    </row>
    <row r="29" spans="1:30">
      <c r="A29" s="17">
        <f t="shared" si="4"/>
        <v>15</v>
      </c>
      <c r="B29" s="18" t="s">
        <v>41</v>
      </c>
      <c r="C29" s="19" t="s">
        <v>42</v>
      </c>
      <c r="D29" s="22">
        <f>ROUND('2023 plant additions'!D29*'2023 plant retirements'!$D$65,0)</f>
        <v>2845</v>
      </c>
      <c r="E29" s="22">
        <f>ROUND('2023 plant additions'!E29*'2023 plant retirements'!$D$65,0)</f>
        <v>3793</v>
      </c>
      <c r="F29" s="22">
        <f>ROUND('2023 plant additions'!F29*'2023 plant retirements'!$D$65,0)</f>
        <v>4742</v>
      </c>
      <c r="G29" s="22">
        <f>ROUND('2023 plant additions'!G29*'2023 plant retirements'!$D$65,0)</f>
        <v>7587</v>
      </c>
      <c r="H29" s="22">
        <f>ROUND('2023 plant additions'!H29*'2023 plant retirements'!$D$65,0)</f>
        <v>7587</v>
      </c>
      <c r="I29" s="22">
        <f>ROUND('2023 plant additions'!I29*'2023 plant retirements'!$D$65,0)</f>
        <v>7587</v>
      </c>
      <c r="J29" s="22">
        <f>ROUND('2023 plant additions'!J29*'2023 plant retirements'!$D$65,0)</f>
        <v>8535</v>
      </c>
      <c r="K29" s="22">
        <f>ROUND('2023 plant additions'!K29*'2023 plant retirements'!$D$65,0)</f>
        <v>8535</v>
      </c>
      <c r="L29" s="22">
        <f>ROUND('2023 plant additions'!L29*'2023 plant retirements'!$D$65,0)</f>
        <v>8535</v>
      </c>
      <c r="M29" s="22">
        <f>ROUND('2023 plant additions'!M29*'2023 plant retirements'!$D$65,0)</f>
        <v>8535</v>
      </c>
      <c r="N29" s="22">
        <f>ROUND('2023 plant additions'!N29*'2023 plant retirements'!$D$65,0)</f>
        <v>7587</v>
      </c>
      <c r="O29" s="22">
        <f>ROUND('2023 plant additions'!O29*'2023 plant retirements'!$D$65,0)</f>
        <v>18967</v>
      </c>
      <c r="P29" s="23">
        <f t="shared" si="0"/>
        <v>94835</v>
      </c>
      <c r="R29" s="2">
        <f t="shared" si="2"/>
        <v>-2845</v>
      </c>
      <c r="S29" s="2">
        <f t="shared" si="1"/>
        <v>-3793</v>
      </c>
      <c r="T29" s="2">
        <f t="shared" si="1"/>
        <v>-4742</v>
      </c>
      <c r="U29" s="2">
        <f t="shared" si="1"/>
        <v>-7587</v>
      </c>
      <c r="V29" s="2">
        <f t="shared" si="1"/>
        <v>-7587</v>
      </c>
      <c r="W29" s="2">
        <f t="shared" si="1"/>
        <v>-7587</v>
      </c>
      <c r="X29" s="2">
        <f t="shared" si="1"/>
        <v>-8535</v>
      </c>
      <c r="Y29" s="2">
        <f t="shared" si="1"/>
        <v>-8535</v>
      </c>
      <c r="Z29" s="2">
        <f t="shared" si="1"/>
        <v>-8535</v>
      </c>
      <c r="AA29" s="2">
        <f t="shared" si="1"/>
        <v>-8535</v>
      </c>
      <c r="AB29" s="2">
        <f t="shared" si="1"/>
        <v>-7587</v>
      </c>
      <c r="AC29" s="2">
        <f t="shared" si="1"/>
        <v>-18967</v>
      </c>
      <c r="AD29" s="2">
        <f t="shared" si="3"/>
        <v>-94835</v>
      </c>
    </row>
    <row r="30" spans="1:30">
      <c r="A30" s="17">
        <f t="shared" si="4"/>
        <v>16</v>
      </c>
      <c r="B30" s="18">
        <v>3811</v>
      </c>
      <c r="C30" s="19" t="s">
        <v>43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3">
        <f t="shared" si="0"/>
        <v>0</v>
      </c>
      <c r="R30" s="2">
        <f t="shared" si="2"/>
        <v>0</v>
      </c>
      <c r="S30" s="2">
        <f t="shared" si="1"/>
        <v>0</v>
      </c>
      <c r="T30" s="2">
        <f t="shared" si="1"/>
        <v>0</v>
      </c>
      <c r="U30" s="2">
        <f t="shared" si="1"/>
        <v>0</v>
      </c>
      <c r="V30" s="2">
        <f t="shared" si="1"/>
        <v>0</v>
      </c>
      <c r="W30" s="2">
        <f t="shared" si="1"/>
        <v>0</v>
      </c>
      <c r="X30" s="2">
        <f t="shared" si="1"/>
        <v>0</v>
      </c>
      <c r="Y30" s="2">
        <f t="shared" si="1"/>
        <v>0</v>
      </c>
      <c r="Z30" s="2">
        <f t="shared" si="1"/>
        <v>0</v>
      </c>
      <c r="AA30" s="2">
        <f t="shared" si="1"/>
        <v>0</v>
      </c>
      <c r="AB30" s="2">
        <f t="shared" si="1"/>
        <v>0</v>
      </c>
      <c r="AC30" s="2">
        <f t="shared" si="1"/>
        <v>0</v>
      </c>
      <c r="AD30" s="2">
        <f t="shared" si="3"/>
        <v>0</v>
      </c>
    </row>
    <row r="31" spans="1:30">
      <c r="A31" s="17">
        <f t="shared" si="4"/>
        <v>17</v>
      </c>
      <c r="B31" s="18" t="s">
        <v>44</v>
      </c>
      <c r="C31" s="19" t="s">
        <v>45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3">
        <f t="shared" si="0"/>
        <v>0</v>
      </c>
      <c r="R31" s="2">
        <f t="shared" si="2"/>
        <v>0</v>
      </c>
      <c r="S31" s="2">
        <f t="shared" si="1"/>
        <v>0</v>
      </c>
      <c r="T31" s="2">
        <f t="shared" si="1"/>
        <v>0</v>
      </c>
      <c r="U31" s="2">
        <f t="shared" si="1"/>
        <v>0</v>
      </c>
      <c r="V31" s="2">
        <f t="shared" si="1"/>
        <v>0</v>
      </c>
      <c r="W31" s="2">
        <f t="shared" si="1"/>
        <v>0</v>
      </c>
      <c r="X31" s="2">
        <f t="shared" si="1"/>
        <v>0</v>
      </c>
      <c r="Y31" s="2">
        <f t="shared" si="1"/>
        <v>0</v>
      </c>
      <c r="Z31" s="2">
        <f t="shared" si="1"/>
        <v>0</v>
      </c>
      <c r="AA31" s="2">
        <f t="shared" si="1"/>
        <v>0</v>
      </c>
      <c r="AB31" s="2">
        <f t="shared" si="1"/>
        <v>0</v>
      </c>
      <c r="AC31" s="2">
        <f t="shared" si="1"/>
        <v>0</v>
      </c>
      <c r="AD31" s="2">
        <f t="shared" si="3"/>
        <v>0</v>
      </c>
    </row>
    <row r="32" spans="1:30">
      <c r="A32" s="17">
        <f t="shared" si="4"/>
        <v>18</v>
      </c>
      <c r="B32" s="18">
        <v>3821</v>
      </c>
      <c r="C32" s="25" t="s">
        <v>46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3">
        <f t="shared" si="0"/>
        <v>0</v>
      </c>
      <c r="R32" s="2">
        <f t="shared" si="2"/>
        <v>0</v>
      </c>
      <c r="S32" s="2">
        <f t="shared" si="1"/>
        <v>0</v>
      </c>
      <c r="T32" s="2">
        <f t="shared" si="1"/>
        <v>0</v>
      </c>
      <c r="U32" s="2">
        <f t="shared" si="1"/>
        <v>0</v>
      </c>
      <c r="V32" s="2">
        <f t="shared" si="1"/>
        <v>0</v>
      </c>
      <c r="W32" s="2">
        <f t="shared" si="1"/>
        <v>0</v>
      </c>
      <c r="X32" s="2">
        <f t="shared" si="1"/>
        <v>0</v>
      </c>
      <c r="Y32" s="2">
        <f t="shared" si="1"/>
        <v>0</v>
      </c>
      <c r="Z32" s="2">
        <f t="shared" si="1"/>
        <v>0</v>
      </c>
      <c r="AA32" s="2">
        <f t="shared" si="1"/>
        <v>0</v>
      </c>
      <c r="AB32" s="2">
        <f t="shared" si="1"/>
        <v>0</v>
      </c>
      <c r="AC32" s="2">
        <f t="shared" si="1"/>
        <v>0</v>
      </c>
      <c r="AD32" s="2">
        <f t="shared" si="3"/>
        <v>0</v>
      </c>
    </row>
    <row r="33" spans="1:30">
      <c r="A33" s="17">
        <f t="shared" si="4"/>
        <v>19</v>
      </c>
      <c r="B33" s="18" t="s">
        <v>47</v>
      </c>
      <c r="C33" s="19" t="s">
        <v>48</v>
      </c>
      <c r="D33" s="22">
        <f>ROUND('2023 plant additions'!D33*'2023 plant retirements'!$D$66,0)</f>
        <v>107</v>
      </c>
      <c r="E33" s="22">
        <f>ROUND('2023 plant additions'!E33*'2023 plant retirements'!$D$66,0)</f>
        <v>142</v>
      </c>
      <c r="F33" s="22">
        <f>ROUND('2023 plant additions'!F33*'2023 plant retirements'!$D$66,0)</f>
        <v>178</v>
      </c>
      <c r="G33" s="22">
        <f>ROUND('2023 plant additions'!G33*'2023 plant retirements'!$D$66,0)</f>
        <v>284</v>
      </c>
      <c r="H33" s="22">
        <f>ROUND('2023 plant additions'!H33*'2023 plant retirements'!$D$66,0)</f>
        <v>284</v>
      </c>
      <c r="I33" s="22">
        <f>ROUND('2023 plant additions'!I33*'2023 plant retirements'!$D$66,0)</f>
        <v>284</v>
      </c>
      <c r="J33" s="22">
        <f>ROUND('2023 plant additions'!J33*'2023 plant retirements'!$D$66,0)</f>
        <v>320</v>
      </c>
      <c r="K33" s="22">
        <f>ROUND('2023 plant additions'!K33*'2023 plant retirements'!$D$66,0)</f>
        <v>320</v>
      </c>
      <c r="L33" s="22">
        <f>ROUND('2023 plant additions'!L33*'2023 plant retirements'!$D$66,0)</f>
        <v>320</v>
      </c>
      <c r="M33" s="22">
        <f>ROUND('2023 plant additions'!M33*'2023 plant retirements'!$D$66,0)</f>
        <v>320</v>
      </c>
      <c r="N33" s="22">
        <f>ROUND('2023 plant additions'!N33*'2023 plant retirements'!$D$66,0)</f>
        <v>284</v>
      </c>
      <c r="O33" s="22">
        <f>ROUND('2023 plant additions'!O33*'2023 plant retirements'!$D$66,0)</f>
        <v>710</v>
      </c>
      <c r="P33" s="23">
        <f t="shared" si="0"/>
        <v>3553</v>
      </c>
      <c r="R33" s="2">
        <f t="shared" si="2"/>
        <v>-107</v>
      </c>
      <c r="S33" s="2">
        <f t="shared" si="1"/>
        <v>-142</v>
      </c>
      <c r="T33" s="2">
        <f t="shared" si="1"/>
        <v>-178</v>
      </c>
      <c r="U33" s="2">
        <f t="shared" si="1"/>
        <v>-284</v>
      </c>
      <c r="V33" s="2">
        <f t="shared" si="1"/>
        <v>-284</v>
      </c>
      <c r="W33" s="2">
        <f t="shared" si="1"/>
        <v>-284</v>
      </c>
      <c r="X33" s="2">
        <f t="shared" si="1"/>
        <v>-320</v>
      </c>
      <c r="Y33" s="2">
        <f t="shared" si="1"/>
        <v>-320</v>
      </c>
      <c r="Z33" s="2">
        <f t="shared" si="1"/>
        <v>-320</v>
      </c>
      <c r="AA33" s="2">
        <f t="shared" si="1"/>
        <v>-320</v>
      </c>
      <c r="AB33" s="2">
        <f t="shared" si="1"/>
        <v>-284</v>
      </c>
      <c r="AC33" s="2">
        <f t="shared" si="1"/>
        <v>-710</v>
      </c>
      <c r="AD33" s="2">
        <f t="shared" si="3"/>
        <v>-3553</v>
      </c>
    </row>
    <row r="34" spans="1:30">
      <c r="A34" s="17">
        <f t="shared" si="4"/>
        <v>20</v>
      </c>
      <c r="B34" s="18" t="s">
        <v>49</v>
      </c>
      <c r="C34" s="19" t="s">
        <v>50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f>SUM(D34:O34)</f>
        <v>0</v>
      </c>
      <c r="R34" s="2">
        <f t="shared" si="2"/>
        <v>0</v>
      </c>
      <c r="S34" s="2">
        <f t="shared" si="1"/>
        <v>0</v>
      </c>
      <c r="T34" s="2">
        <f t="shared" si="1"/>
        <v>0</v>
      </c>
      <c r="U34" s="2">
        <f t="shared" si="1"/>
        <v>0</v>
      </c>
      <c r="V34" s="2">
        <f t="shared" si="1"/>
        <v>0</v>
      </c>
      <c r="W34" s="2">
        <f t="shared" si="1"/>
        <v>0</v>
      </c>
      <c r="X34" s="2">
        <f t="shared" si="1"/>
        <v>0</v>
      </c>
      <c r="Y34" s="2">
        <f t="shared" si="1"/>
        <v>0</v>
      </c>
      <c r="Z34" s="2">
        <f t="shared" si="1"/>
        <v>0</v>
      </c>
      <c r="AA34" s="2">
        <f t="shared" si="1"/>
        <v>0</v>
      </c>
      <c r="AB34" s="2">
        <f t="shared" si="1"/>
        <v>0</v>
      </c>
      <c r="AC34" s="2">
        <f t="shared" si="1"/>
        <v>0</v>
      </c>
      <c r="AD34" s="2">
        <f t="shared" si="3"/>
        <v>0</v>
      </c>
    </row>
    <row r="35" spans="1:30">
      <c r="A35" s="17">
        <f t="shared" si="4"/>
        <v>21</v>
      </c>
      <c r="B35" s="18" t="s">
        <v>51</v>
      </c>
      <c r="C35" s="19" t="s">
        <v>52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3">
        <f t="shared" si="0"/>
        <v>0</v>
      </c>
      <c r="R35" s="2">
        <f t="shared" si="2"/>
        <v>0</v>
      </c>
      <c r="S35" s="2">
        <f t="shared" si="1"/>
        <v>0</v>
      </c>
      <c r="T35" s="2">
        <f t="shared" si="1"/>
        <v>0</v>
      </c>
      <c r="U35" s="2">
        <f t="shared" si="1"/>
        <v>0</v>
      </c>
      <c r="V35" s="2">
        <f t="shared" si="1"/>
        <v>0</v>
      </c>
      <c r="W35" s="2">
        <f t="shared" si="1"/>
        <v>0</v>
      </c>
      <c r="X35" s="2">
        <f t="shared" si="1"/>
        <v>0</v>
      </c>
      <c r="Y35" s="2">
        <f t="shared" si="1"/>
        <v>0</v>
      </c>
      <c r="Z35" s="2">
        <f t="shared" si="1"/>
        <v>0</v>
      </c>
      <c r="AA35" s="2">
        <f t="shared" si="1"/>
        <v>0</v>
      </c>
      <c r="AB35" s="2">
        <f t="shared" si="1"/>
        <v>0</v>
      </c>
      <c r="AC35" s="2">
        <f t="shared" si="1"/>
        <v>0</v>
      </c>
      <c r="AD35" s="2">
        <f t="shared" si="3"/>
        <v>0</v>
      </c>
    </row>
    <row r="36" spans="1:30">
      <c r="A36" s="17">
        <f t="shared" si="4"/>
        <v>22</v>
      </c>
      <c r="B36" s="18" t="s">
        <v>53</v>
      </c>
      <c r="C36" s="19" t="s">
        <v>54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3">
        <f t="shared" si="0"/>
        <v>0</v>
      </c>
      <c r="R36" s="2">
        <f t="shared" si="2"/>
        <v>0</v>
      </c>
      <c r="S36" s="2">
        <f t="shared" si="1"/>
        <v>0</v>
      </c>
      <c r="T36" s="2">
        <f t="shared" si="1"/>
        <v>0</v>
      </c>
      <c r="U36" s="2">
        <f t="shared" si="1"/>
        <v>0</v>
      </c>
      <c r="V36" s="2">
        <f t="shared" si="1"/>
        <v>0</v>
      </c>
      <c r="W36" s="2">
        <f t="shared" si="1"/>
        <v>0</v>
      </c>
      <c r="X36" s="2">
        <f t="shared" si="1"/>
        <v>0</v>
      </c>
      <c r="Y36" s="2">
        <f t="shared" si="1"/>
        <v>0</v>
      </c>
      <c r="Z36" s="2">
        <f t="shared" si="1"/>
        <v>0</v>
      </c>
      <c r="AA36" s="2">
        <f t="shared" si="1"/>
        <v>0</v>
      </c>
      <c r="AB36" s="2">
        <f t="shared" si="1"/>
        <v>0</v>
      </c>
      <c r="AC36" s="2">
        <f t="shared" si="1"/>
        <v>0</v>
      </c>
      <c r="AD36" s="2">
        <f t="shared" si="3"/>
        <v>0</v>
      </c>
    </row>
    <row r="37" spans="1:30">
      <c r="A37" s="17">
        <f t="shared" si="4"/>
        <v>23</v>
      </c>
      <c r="B37" s="18" t="s">
        <v>55</v>
      </c>
      <c r="C37" s="19" t="s">
        <v>27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3">
        <f t="shared" si="0"/>
        <v>0</v>
      </c>
      <c r="R37" s="2">
        <f t="shared" si="2"/>
        <v>0</v>
      </c>
      <c r="S37" s="2">
        <f t="shared" si="1"/>
        <v>0</v>
      </c>
      <c r="T37" s="2">
        <f t="shared" si="1"/>
        <v>0</v>
      </c>
      <c r="U37" s="2">
        <f t="shared" si="1"/>
        <v>0</v>
      </c>
      <c r="V37" s="2">
        <f t="shared" si="1"/>
        <v>0</v>
      </c>
      <c r="W37" s="2">
        <f t="shared" si="1"/>
        <v>0</v>
      </c>
      <c r="X37" s="2">
        <f t="shared" si="1"/>
        <v>0</v>
      </c>
      <c r="Y37" s="2">
        <f t="shared" si="1"/>
        <v>0</v>
      </c>
      <c r="Z37" s="2">
        <f t="shared" si="1"/>
        <v>0</v>
      </c>
      <c r="AA37" s="2">
        <f t="shared" si="1"/>
        <v>0</v>
      </c>
      <c r="AB37" s="2">
        <f t="shared" si="1"/>
        <v>0</v>
      </c>
      <c r="AC37" s="2">
        <f t="shared" si="1"/>
        <v>0</v>
      </c>
      <c r="AD37" s="2">
        <f t="shared" si="3"/>
        <v>0</v>
      </c>
    </row>
    <row r="38" spans="1:30">
      <c r="A38" s="17">
        <f t="shared" si="4"/>
        <v>24</v>
      </c>
      <c r="B38" s="18" t="s">
        <v>56</v>
      </c>
      <c r="C38" s="19" t="s">
        <v>25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3">
        <f t="shared" si="0"/>
        <v>0</v>
      </c>
      <c r="R38" s="2">
        <f t="shared" si="2"/>
        <v>0</v>
      </c>
      <c r="S38" s="2">
        <f t="shared" si="1"/>
        <v>0</v>
      </c>
      <c r="T38" s="2">
        <f t="shared" si="1"/>
        <v>0</v>
      </c>
      <c r="U38" s="2">
        <f t="shared" ref="U38:AC52" si="5">-G38</f>
        <v>0</v>
      </c>
      <c r="V38" s="2">
        <f t="shared" si="5"/>
        <v>0</v>
      </c>
      <c r="W38" s="2">
        <f t="shared" si="5"/>
        <v>0</v>
      </c>
      <c r="X38" s="2">
        <f t="shared" si="5"/>
        <v>0</v>
      </c>
      <c r="Y38" s="2">
        <f t="shared" si="5"/>
        <v>0</v>
      </c>
      <c r="Z38" s="2">
        <f t="shared" si="5"/>
        <v>0</v>
      </c>
      <c r="AA38" s="2">
        <f t="shared" si="5"/>
        <v>0</v>
      </c>
      <c r="AB38" s="2">
        <f t="shared" si="5"/>
        <v>0</v>
      </c>
      <c r="AC38" s="2">
        <f t="shared" si="5"/>
        <v>0</v>
      </c>
      <c r="AD38" s="2">
        <f t="shared" si="3"/>
        <v>0</v>
      </c>
    </row>
    <row r="39" spans="1:30">
      <c r="A39" s="17">
        <f t="shared" si="4"/>
        <v>25</v>
      </c>
      <c r="B39" s="18">
        <v>3910</v>
      </c>
      <c r="C39" s="19" t="s">
        <v>57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3">
        <f t="shared" si="0"/>
        <v>0</v>
      </c>
      <c r="R39" s="2">
        <f t="shared" si="2"/>
        <v>0</v>
      </c>
      <c r="S39" s="2">
        <f t="shared" si="2"/>
        <v>0</v>
      </c>
      <c r="T39" s="2">
        <f t="shared" si="2"/>
        <v>0</v>
      </c>
      <c r="U39" s="2">
        <f t="shared" si="5"/>
        <v>0</v>
      </c>
      <c r="V39" s="2">
        <f t="shared" si="5"/>
        <v>0</v>
      </c>
      <c r="W39" s="2">
        <f t="shared" si="5"/>
        <v>0</v>
      </c>
      <c r="X39" s="2">
        <f t="shared" si="5"/>
        <v>0</v>
      </c>
      <c r="Y39" s="2">
        <f t="shared" si="5"/>
        <v>0</v>
      </c>
      <c r="Z39" s="2">
        <f t="shared" si="5"/>
        <v>0</v>
      </c>
      <c r="AA39" s="2">
        <f t="shared" si="5"/>
        <v>0</v>
      </c>
      <c r="AB39" s="2">
        <f t="shared" si="5"/>
        <v>0</v>
      </c>
      <c r="AC39" s="2">
        <f t="shared" si="5"/>
        <v>0</v>
      </c>
      <c r="AD39" s="2">
        <f t="shared" si="3"/>
        <v>0</v>
      </c>
    </row>
    <row r="40" spans="1:30">
      <c r="A40" s="17">
        <f t="shared" si="4"/>
        <v>26</v>
      </c>
      <c r="B40" s="18">
        <v>3911</v>
      </c>
      <c r="C40" s="19" t="s">
        <v>58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3">
        <f t="shared" si="0"/>
        <v>0</v>
      </c>
      <c r="R40" s="2">
        <f t="shared" si="2"/>
        <v>0</v>
      </c>
      <c r="S40" s="2">
        <f t="shared" si="2"/>
        <v>0</v>
      </c>
      <c r="T40" s="2">
        <f t="shared" si="2"/>
        <v>0</v>
      </c>
      <c r="U40" s="2">
        <f t="shared" si="5"/>
        <v>0</v>
      </c>
      <c r="V40" s="2">
        <f t="shared" si="5"/>
        <v>0</v>
      </c>
      <c r="W40" s="2">
        <f t="shared" si="5"/>
        <v>0</v>
      </c>
      <c r="X40" s="2">
        <f t="shared" si="5"/>
        <v>0</v>
      </c>
      <c r="Y40" s="2">
        <f t="shared" si="5"/>
        <v>0</v>
      </c>
      <c r="Z40" s="2">
        <f t="shared" si="5"/>
        <v>0</v>
      </c>
      <c r="AA40" s="2">
        <f t="shared" si="5"/>
        <v>0</v>
      </c>
      <c r="AB40" s="2">
        <f t="shared" si="5"/>
        <v>0</v>
      </c>
      <c r="AC40" s="2">
        <f t="shared" si="5"/>
        <v>0</v>
      </c>
      <c r="AD40" s="2">
        <f t="shared" si="3"/>
        <v>0</v>
      </c>
    </row>
    <row r="41" spans="1:30">
      <c r="A41" s="17">
        <f t="shared" si="4"/>
        <v>27</v>
      </c>
      <c r="B41" s="18">
        <v>3912</v>
      </c>
      <c r="C41" s="19" t="s">
        <v>59</v>
      </c>
      <c r="D41" s="22">
        <f>ROUND('2023 plant additions'!D41*'2023 plant retirements'!$D$67,0)</f>
        <v>0</v>
      </c>
      <c r="E41" s="22">
        <f>ROUND('2023 plant additions'!E41*'2023 plant retirements'!$D$67,0)</f>
        <v>0</v>
      </c>
      <c r="F41" s="22">
        <f>ROUND('2023 plant additions'!F41*'2023 plant retirements'!$D$67,0)</f>
        <v>0</v>
      </c>
      <c r="G41" s="22">
        <f>ROUND('2023 plant additions'!G41*'2023 plant retirements'!$D$67,0)</f>
        <v>0</v>
      </c>
      <c r="H41" s="22">
        <f>ROUND('2023 plant additions'!H41*'2023 plant retirements'!$D$67,0)</f>
        <v>0</v>
      </c>
      <c r="I41" s="22">
        <f>ROUND('2023 plant additions'!I41*'2023 plant retirements'!$D$67,0)</f>
        <v>0</v>
      </c>
      <c r="J41" s="22">
        <f>ROUND('2023 plant additions'!J41*'2023 plant retirements'!$D$67,0)</f>
        <v>0</v>
      </c>
      <c r="K41" s="22">
        <f>ROUND('2023 plant additions'!K41*'2023 plant retirements'!$D$67,0)</f>
        <v>0</v>
      </c>
      <c r="L41" s="22">
        <f>ROUND('2023 plant additions'!L41*'2023 plant retirements'!$D$67,0)</f>
        <v>0</v>
      </c>
      <c r="M41" s="22">
        <f>ROUND('2023 plant additions'!M41*'2023 plant retirements'!$D$67,0)</f>
        <v>0</v>
      </c>
      <c r="N41" s="22">
        <f>ROUND('2023 plant additions'!N41*'2023 plant retirements'!$D$67,0)</f>
        <v>0</v>
      </c>
      <c r="O41" s="22">
        <v>38327.949999999997</v>
      </c>
      <c r="P41" s="23">
        <f t="shared" si="0"/>
        <v>38327.949999999997</v>
      </c>
      <c r="R41" s="2">
        <f t="shared" si="2"/>
        <v>0</v>
      </c>
      <c r="S41" s="2">
        <f t="shared" si="2"/>
        <v>0</v>
      </c>
      <c r="T41" s="2">
        <f t="shared" si="2"/>
        <v>0</v>
      </c>
      <c r="U41" s="2">
        <f t="shared" si="5"/>
        <v>0</v>
      </c>
      <c r="V41" s="2">
        <f t="shared" si="5"/>
        <v>0</v>
      </c>
      <c r="W41" s="2">
        <f t="shared" si="5"/>
        <v>0</v>
      </c>
      <c r="X41" s="2">
        <f t="shared" si="5"/>
        <v>0</v>
      </c>
      <c r="Y41" s="2">
        <f t="shared" si="5"/>
        <v>0</v>
      </c>
      <c r="Z41" s="2">
        <f t="shared" si="5"/>
        <v>0</v>
      </c>
      <c r="AA41" s="2">
        <f t="shared" si="5"/>
        <v>0</v>
      </c>
      <c r="AB41" s="2">
        <f t="shared" si="5"/>
        <v>0</v>
      </c>
      <c r="AC41" s="2">
        <f t="shared" si="5"/>
        <v>-38327.949999999997</v>
      </c>
      <c r="AD41" s="2">
        <f t="shared" si="3"/>
        <v>-38327.949999999997</v>
      </c>
    </row>
    <row r="42" spans="1:30">
      <c r="A42" s="17">
        <f t="shared" si="4"/>
        <v>28</v>
      </c>
      <c r="B42" s="18">
        <v>3913</v>
      </c>
      <c r="C42" s="19" t="s">
        <v>60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3">
        <f t="shared" si="0"/>
        <v>0</v>
      </c>
      <c r="R42" s="2">
        <f t="shared" si="2"/>
        <v>0</v>
      </c>
      <c r="S42" s="2">
        <f t="shared" si="2"/>
        <v>0</v>
      </c>
      <c r="T42" s="2">
        <f t="shared" si="2"/>
        <v>0</v>
      </c>
      <c r="U42" s="2">
        <f t="shared" si="5"/>
        <v>0</v>
      </c>
      <c r="V42" s="2">
        <f t="shared" si="5"/>
        <v>0</v>
      </c>
      <c r="W42" s="2">
        <f t="shared" si="5"/>
        <v>0</v>
      </c>
      <c r="X42" s="2">
        <f t="shared" si="5"/>
        <v>0</v>
      </c>
      <c r="Y42" s="2">
        <f t="shared" si="5"/>
        <v>0</v>
      </c>
      <c r="Z42" s="2">
        <f t="shared" si="5"/>
        <v>0</v>
      </c>
      <c r="AA42" s="2">
        <f t="shared" si="5"/>
        <v>0</v>
      </c>
      <c r="AB42" s="2">
        <f t="shared" si="5"/>
        <v>0</v>
      </c>
      <c r="AC42" s="2">
        <f t="shared" si="5"/>
        <v>0</v>
      </c>
      <c r="AD42" s="2">
        <f t="shared" si="3"/>
        <v>0</v>
      </c>
    </row>
    <row r="43" spans="1:30">
      <c r="A43" s="17">
        <f t="shared" si="4"/>
        <v>29</v>
      </c>
      <c r="B43" s="18">
        <v>3914</v>
      </c>
      <c r="C43" s="19" t="s">
        <v>61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289277.83</v>
      </c>
      <c r="P43" s="23">
        <f t="shared" si="0"/>
        <v>289277.83</v>
      </c>
      <c r="R43" s="2">
        <f t="shared" si="2"/>
        <v>0</v>
      </c>
      <c r="S43" s="2">
        <f t="shared" si="2"/>
        <v>0</v>
      </c>
      <c r="T43" s="2">
        <f t="shared" si="2"/>
        <v>0</v>
      </c>
      <c r="U43" s="2">
        <f t="shared" si="5"/>
        <v>0</v>
      </c>
      <c r="V43" s="2">
        <f t="shared" si="5"/>
        <v>0</v>
      </c>
      <c r="W43" s="2">
        <f t="shared" si="5"/>
        <v>0</v>
      </c>
      <c r="X43" s="2">
        <f t="shared" si="5"/>
        <v>0</v>
      </c>
      <c r="Y43" s="2">
        <f t="shared" si="5"/>
        <v>0</v>
      </c>
      <c r="Z43" s="2">
        <f t="shared" si="5"/>
        <v>0</v>
      </c>
      <c r="AA43" s="2">
        <f t="shared" si="5"/>
        <v>0</v>
      </c>
      <c r="AB43" s="2">
        <f t="shared" si="5"/>
        <v>0</v>
      </c>
      <c r="AC43" s="2">
        <f t="shared" si="5"/>
        <v>-289277.83</v>
      </c>
      <c r="AD43" s="2">
        <f t="shared" si="3"/>
        <v>-289277.83</v>
      </c>
    </row>
    <row r="44" spans="1:30">
      <c r="A44" s="17">
        <f t="shared" si="4"/>
        <v>30</v>
      </c>
      <c r="B44" s="18">
        <v>392</v>
      </c>
      <c r="C44" s="25" t="s">
        <v>62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3">
        <f t="shared" si="0"/>
        <v>0</v>
      </c>
      <c r="R44" s="2">
        <f t="shared" si="2"/>
        <v>0</v>
      </c>
      <c r="S44" s="2">
        <f t="shared" si="2"/>
        <v>0</v>
      </c>
      <c r="T44" s="2">
        <f t="shared" si="2"/>
        <v>0</v>
      </c>
      <c r="U44" s="2">
        <f t="shared" si="5"/>
        <v>0</v>
      </c>
      <c r="V44" s="2">
        <f t="shared" si="5"/>
        <v>0</v>
      </c>
      <c r="W44" s="2">
        <f t="shared" si="5"/>
        <v>0</v>
      </c>
      <c r="X44" s="2">
        <f t="shared" si="5"/>
        <v>0</v>
      </c>
      <c r="Y44" s="2">
        <f t="shared" si="5"/>
        <v>0</v>
      </c>
      <c r="Z44" s="2">
        <f t="shared" si="5"/>
        <v>0</v>
      </c>
      <c r="AA44" s="2">
        <f t="shared" si="5"/>
        <v>0</v>
      </c>
      <c r="AB44" s="2">
        <f t="shared" si="5"/>
        <v>0</v>
      </c>
      <c r="AC44" s="2">
        <f t="shared" si="5"/>
        <v>0</v>
      </c>
      <c r="AD44" s="2">
        <f t="shared" si="3"/>
        <v>0</v>
      </c>
    </row>
    <row r="45" spans="1:30">
      <c r="A45" s="17">
        <f t="shared" si="4"/>
        <v>31</v>
      </c>
      <c r="B45" s="18">
        <v>3921</v>
      </c>
      <c r="C45" s="19" t="s">
        <v>63</v>
      </c>
      <c r="D45" s="22">
        <f>ROUND('2023 plant additions'!D45*'2023 plant retirements'!$D$68,0)</f>
        <v>0</v>
      </c>
      <c r="E45" s="22">
        <f>ROUND('2023 plant additions'!E45*'2023 plant retirements'!$D$68,0)</f>
        <v>0</v>
      </c>
      <c r="F45" s="22">
        <f>ROUND('2023 plant additions'!F45*'2023 plant retirements'!$D$68,0)</f>
        <v>0</v>
      </c>
      <c r="G45" s="22">
        <f>ROUND('2023 plant additions'!G45*'2023 plant retirements'!$D$68,0)</f>
        <v>0</v>
      </c>
      <c r="H45" s="22">
        <f>ROUND('2023 plant additions'!H45*'2023 plant retirements'!$D$68,0)</f>
        <v>0</v>
      </c>
      <c r="I45" s="22">
        <f>ROUND('2023 plant additions'!I45*'2023 plant retirements'!$D$68,0)</f>
        <v>0</v>
      </c>
      <c r="J45" s="22">
        <f>ROUND('2023 plant additions'!J45*'2023 plant retirements'!$D$68,0)</f>
        <v>126000</v>
      </c>
      <c r="K45" s="22">
        <f>ROUND('2023 plant additions'!K45*'2023 plant retirements'!$D$68,0)</f>
        <v>0</v>
      </c>
      <c r="L45" s="22">
        <f>ROUND('2023 plant additions'!L45*'2023 plant retirements'!$D$68,0)</f>
        <v>0</v>
      </c>
      <c r="M45" s="22">
        <f>ROUND('2023 plant additions'!M45*'2023 plant retirements'!$D$68,0)</f>
        <v>0</v>
      </c>
      <c r="N45" s="22">
        <f>ROUND('2023 plant additions'!N45*'2023 plant retirements'!$D$68,0)</f>
        <v>0</v>
      </c>
      <c r="O45" s="22">
        <f>ROUND('2023 plant additions'!O45*'2023 plant retirements'!$D$68,0)</f>
        <v>0</v>
      </c>
      <c r="P45" s="23">
        <f t="shared" si="0"/>
        <v>126000</v>
      </c>
      <c r="R45" s="2">
        <f t="shared" si="2"/>
        <v>0</v>
      </c>
      <c r="S45" s="2">
        <f t="shared" si="2"/>
        <v>0</v>
      </c>
      <c r="T45" s="2">
        <f t="shared" si="2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-126000</v>
      </c>
      <c r="Y45" s="2">
        <f t="shared" si="5"/>
        <v>0</v>
      </c>
      <c r="Z45" s="2">
        <f t="shared" si="5"/>
        <v>0</v>
      </c>
      <c r="AA45" s="2">
        <f t="shared" si="5"/>
        <v>0</v>
      </c>
      <c r="AB45" s="2">
        <f t="shared" si="5"/>
        <v>0</v>
      </c>
      <c r="AC45" s="2">
        <f t="shared" si="5"/>
        <v>0</v>
      </c>
      <c r="AD45" s="2">
        <f t="shared" si="3"/>
        <v>-126000</v>
      </c>
    </row>
    <row r="46" spans="1:30">
      <c r="A46" s="17">
        <f t="shared" si="4"/>
        <v>32</v>
      </c>
      <c r="B46" s="18">
        <v>3922</v>
      </c>
      <c r="C46" s="19" t="s">
        <v>64</v>
      </c>
      <c r="D46" s="22">
        <f>ROUND('2023 plant additions'!D46*'2023 plant retirements'!$D$69,0)</f>
        <v>0</v>
      </c>
      <c r="E46" s="22">
        <f>ROUND('2023 plant additions'!E46*'2023 plant retirements'!$D$69,0)</f>
        <v>0</v>
      </c>
      <c r="F46" s="22">
        <f>ROUND('2023 plant additions'!F46*'2023 plant retirements'!$D$69,0)</f>
        <v>0</v>
      </c>
      <c r="G46" s="22">
        <f>ROUND('2023 plant additions'!G46*'2023 plant retirements'!$D$69,0)</f>
        <v>0</v>
      </c>
      <c r="H46" s="22">
        <f>ROUND('2023 plant additions'!H46*'2023 plant retirements'!$D$69,0)</f>
        <v>0</v>
      </c>
      <c r="I46" s="22">
        <f>ROUND('2023 plant additions'!I46*'2023 plant retirements'!$D$69,0)</f>
        <v>0</v>
      </c>
      <c r="J46" s="22">
        <f>ROUND('2023 plant additions'!J46*'2023 plant retirements'!$D$69,0)</f>
        <v>181171</v>
      </c>
      <c r="K46" s="22">
        <f>ROUND('2023 plant additions'!K46*'2023 plant retirements'!$D$69,0)</f>
        <v>0</v>
      </c>
      <c r="L46" s="22">
        <f>ROUND('2023 plant additions'!L46*'2023 plant retirements'!$D$69,0)</f>
        <v>0</v>
      </c>
      <c r="M46" s="22">
        <f>ROUND('2023 plant additions'!M46*'2023 plant retirements'!$D$69,0)</f>
        <v>0</v>
      </c>
      <c r="N46" s="22">
        <f>ROUND('2023 plant additions'!N46*'2023 plant retirements'!$D$69,0)</f>
        <v>0</v>
      </c>
      <c r="O46" s="22">
        <f>ROUND('2023 plant additions'!O46*'2023 plant retirements'!$D$69,0)</f>
        <v>0</v>
      </c>
      <c r="P46" s="23">
        <f t="shared" si="0"/>
        <v>181171</v>
      </c>
      <c r="R46" s="2">
        <f t="shared" si="2"/>
        <v>0</v>
      </c>
      <c r="S46" s="2">
        <f t="shared" si="2"/>
        <v>0</v>
      </c>
      <c r="T46" s="2">
        <f t="shared" si="2"/>
        <v>0</v>
      </c>
      <c r="U46" s="2">
        <f t="shared" si="5"/>
        <v>0</v>
      </c>
      <c r="V46" s="2">
        <f t="shared" si="5"/>
        <v>0</v>
      </c>
      <c r="W46" s="2">
        <f t="shared" si="5"/>
        <v>0</v>
      </c>
      <c r="X46" s="2">
        <f t="shared" si="5"/>
        <v>-181171</v>
      </c>
      <c r="Y46" s="2">
        <f t="shared" si="5"/>
        <v>0</v>
      </c>
      <c r="Z46" s="2">
        <f t="shared" si="5"/>
        <v>0</v>
      </c>
      <c r="AA46" s="2">
        <f t="shared" si="5"/>
        <v>0</v>
      </c>
      <c r="AB46" s="2">
        <f t="shared" si="5"/>
        <v>0</v>
      </c>
      <c r="AC46" s="2">
        <f t="shared" si="5"/>
        <v>0</v>
      </c>
      <c r="AD46" s="2">
        <f t="shared" si="3"/>
        <v>-181171</v>
      </c>
    </row>
    <row r="47" spans="1:30">
      <c r="A47" s="17">
        <f t="shared" si="4"/>
        <v>33</v>
      </c>
      <c r="B47" s="18">
        <v>3924</v>
      </c>
      <c r="C47" s="25" t="s">
        <v>65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3">
        <f t="shared" si="0"/>
        <v>0</v>
      </c>
      <c r="R47" s="2">
        <f t="shared" si="2"/>
        <v>0</v>
      </c>
      <c r="S47" s="2">
        <f t="shared" si="2"/>
        <v>0</v>
      </c>
      <c r="T47" s="2">
        <f t="shared" si="2"/>
        <v>0</v>
      </c>
      <c r="U47" s="2">
        <f t="shared" si="5"/>
        <v>0</v>
      </c>
      <c r="V47" s="2">
        <f t="shared" si="5"/>
        <v>0</v>
      </c>
      <c r="W47" s="2">
        <f t="shared" si="5"/>
        <v>0</v>
      </c>
      <c r="X47" s="2">
        <f t="shared" si="5"/>
        <v>0</v>
      </c>
      <c r="Y47" s="2">
        <f t="shared" si="5"/>
        <v>0</v>
      </c>
      <c r="Z47" s="2">
        <f t="shared" si="5"/>
        <v>0</v>
      </c>
      <c r="AA47" s="2">
        <f t="shared" si="5"/>
        <v>0</v>
      </c>
      <c r="AB47" s="2">
        <f t="shared" si="5"/>
        <v>0</v>
      </c>
      <c r="AC47" s="2">
        <f t="shared" si="5"/>
        <v>0</v>
      </c>
      <c r="AD47" s="2">
        <f t="shared" si="3"/>
        <v>0</v>
      </c>
    </row>
    <row r="48" spans="1:30">
      <c r="A48" s="17">
        <f t="shared" si="4"/>
        <v>34</v>
      </c>
      <c r="B48" s="18" t="s">
        <v>66</v>
      </c>
      <c r="C48" s="19" t="s">
        <v>67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3">
        <f t="shared" si="0"/>
        <v>0</v>
      </c>
      <c r="R48" s="2">
        <f t="shared" si="2"/>
        <v>0</v>
      </c>
      <c r="S48" s="2">
        <f t="shared" si="2"/>
        <v>0</v>
      </c>
      <c r="T48" s="2">
        <f t="shared" si="2"/>
        <v>0</v>
      </c>
      <c r="U48" s="2">
        <f t="shared" si="5"/>
        <v>0</v>
      </c>
      <c r="V48" s="2">
        <f t="shared" si="5"/>
        <v>0</v>
      </c>
      <c r="W48" s="2">
        <f t="shared" si="5"/>
        <v>0</v>
      </c>
      <c r="X48" s="2">
        <f t="shared" si="5"/>
        <v>0</v>
      </c>
      <c r="Y48" s="2">
        <f t="shared" si="5"/>
        <v>0</v>
      </c>
      <c r="Z48" s="2">
        <f t="shared" si="5"/>
        <v>0</v>
      </c>
      <c r="AA48" s="2">
        <f t="shared" si="5"/>
        <v>0</v>
      </c>
      <c r="AB48" s="2">
        <f t="shared" si="5"/>
        <v>0</v>
      </c>
      <c r="AC48" s="2">
        <f t="shared" si="5"/>
        <v>0</v>
      </c>
      <c r="AD48" s="2">
        <f t="shared" si="3"/>
        <v>0</v>
      </c>
    </row>
    <row r="49" spans="1:30">
      <c r="A49" s="17">
        <f t="shared" si="4"/>
        <v>35</v>
      </c>
      <c r="B49" s="18" t="s">
        <v>68</v>
      </c>
      <c r="C49" s="19" t="s">
        <v>69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13376.460000000001</v>
      </c>
      <c r="P49" s="23">
        <f t="shared" si="0"/>
        <v>13376.460000000001</v>
      </c>
      <c r="R49" s="2">
        <f t="shared" si="2"/>
        <v>0</v>
      </c>
      <c r="S49" s="2">
        <f t="shared" si="2"/>
        <v>0</v>
      </c>
      <c r="T49" s="2">
        <f t="shared" si="2"/>
        <v>0</v>
      </c>
      <c r="U49" s="2">
        <f t="shared" si="5"/>
        <v>0</v>
      </c>
      <c r="V49" s="2">
        <f t="shared" si="5"/>
        <v>0</v>
      </c>
      <c r="W49" s="2">
        <f t="shared" si="5"/>
        <v>0</v>
      </c>
      <c r="X49" s="2">
        <f t="shared" si="5"/>
        <v>0</v>
      </c>
      <c r="Y49" s="2">
        <f t="shared" si="5"/>
        <v>0</v>
      </c>
      <c r="Z49" s="2">
        <f t="shared" si="5"/>
        <v>0</v>
      </c>
      <c r="AA49" s="2">
        <f t="shared" si="5"/>
        <v>0</v>
      </c>
      <c r="AB49" s="2">
        <f t="shared" si="5"/>
        <v>0</v>
      </c>
      <c r="AC49" s="2">
        <f t="shared" si="5"/>
        <v>-13376.460000000001</v>
      </c>
      <c r="AD49" s="2">
        <f t="shared" si="3"/>
        <v>-13376.460000000001</v>
      </c>
    </row>
    <row r="50" spans="1:30">
      <c r="A50" s="17">
        <f t="shared" si="4"/>
        <v>36</v>
      </c>
      <c r="B50" s="18" t="s">
        <v>70</v>
      </c>
      <c r="C50" s="19" t="s">
        <v>71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3">
        <f t="shared" si="0"/>
        <v>0</v>
      </c>
      <c r="R50" s="2">
        <f t="shared" si="2"/>
        <v>0</v>
      </c>
      <c r="S50" s="2">
        <f t="shared" si="2"/>
        <v>0</v>
      </c>
      <c r="T50" s="2">
        <f t="shared" si="2"/>
        <v>0</v>
      </c>
      <c r="U50" s="2">
        <f t="shared" si="5"/>
        <v>0</v>
      </c>
      <c r="V50" s="2">
        <f t="shared" si="5"/>
        <v>0</v>
      </c>
      <c r="W50" s="2">
        <f t="shared" si="5"/>
        <v>0</v>
      </c>
      <c r="X50" s="2">
        <f t="shared" si="5"/>
        <v>0</v>
      </c>
      <c r="Y50" s="2">
        <f t="shared" si="5"/>
        <v>0</v>
      </c>
      <c r="Z50" s="2">
        <f t="shared" si="5"/>
        <v>0</v>
      </c>
      <c r="AA50" s="2">
        <f t="shared" si="5"/>
        <v>0</v>
      </c>
      <c r="AB50" s="2">
        <f t="shared" si="5"/>
        <v>0</v>
      </c>
      <c r="AC50" s="2">
        <f t="shared" si="5"/>
        <v>0</v>
      </c>
      <c r="AD50" s="2">
        <f t="shared" si="3"/>
        <v>0</v>
      </c>
    </row>
    <row r="51" spans="1:30">
      <c r="A51" s="17">
        <f t="shared" si="4"/>
        <v>37</v>
      </c>
      <c r="B51" s="18" t="s">
        <v>72</v>
      </c>
      <c r="C51" s="19" t="s">
        <v>73</v>
      </c>
      <c r="D51" s="22">
        <f>ROUND('2023 plant additions'!D51*'2023 plant retirements'!$D$71,0)</f>
        <v>0</v>
      </c>
      <c r="E51" s="22">
        <f>ROUND('2023 plant additions'!E51*'2023 plant retirements'!$D$71,0)</f>
        <v>0</v>
      </c>
      <c r="F51" s="22">
        <f>ROUND('2023 plant additions'!F51*'2023 plant retirements'!$D$71,0)</f>
        <v>0</v>
      </c>
      <c r="G51" s="22">
        <f>ROUND('2023 plant additions'!G51*'2023 plant retirements'!$D$71,0)</f>
        <v>0</v>
      </c>
      <c r="H51" s="22">
        <f>ROUND('2023 plant additions'!H51*'2023 plant retirements'!$D$71,0)</f>
        <v>0</v>
      </c>
      <c r="I51" s="22">
        <f>ROUND('2023 plant additions'!I51*'2023 plant retirements'!$D$71,0)</f>
        <v>0</v>
      </c>
      <c r="J51" s="22">
        <f>ROUND('2023 plant additions'!J51*'2023 plant retirements'!$D$71,0)</f>
        <v>0</v>
      </c>
      <c r="K51" s="22">
        <f>ROUND('2023 plant additions'!K51*'2023 plant retirements'!$D$71,0)</f>
        <v>0</v>
      </c>
      <c r="L51" s="22">
        <f>ROUND('2023 plant additions'!L51*'2023 plant retirements'!$D$71,0)</f>
        <v>0</v>
      </c>
      <c r="M51" s="22">
        <f>ROUND('2023 plant additions'!M51*'2023 plant retirements'!$D$71,0)</f>
        <v>0</v>
      </c>
      <c r="N51" s="22">
        <f>ROUND('2023 plant additions'!N51*'2023 plant retirements'!$D$71,0)</f>
        <v>0</v>
      </c>
      <c r="O51" s="22">
        <f>ROUND('2023 plant additions'!O51*'2023 plant retirements'!$D$71,0)</f>
        <v>0</v>
      </c>
      <c r="P51" s="23">
        <f t="shared" si="0"/>
        <v>0</v>
      </c>
      <c r="R51" s="2">
        <f t="shared" si="2"/>
        <v>0</v>
      </c>
      <c r="S51" s="2">
        <f t="shared" si="2"/>
        <v>0</v>
      </c>
      <c r="T51" s="2">
        <f t="shared" si="2"/>
        <v>0</v>
      </c>
      <c r="U51" s="2">
        <f t="shared" si="5"/>
        <v>0</v>
      </c>
      <c r="V51" s="2">
        <f t="shared" si="5"/>
        <v>0</v>
      </c>
      <c r="W51" s="2">
        <f t="shared" si="5"/>
        <v>0</v>
      </c>
      <c r="X51" s="2">
        <f t="shared" si="5"/>
        <v>0</v>
      </c>
      <c r="Y51" s="2">
        <f t="shared" si="5"/>
        <v>0</v>
      </c>
      <c r="Z51" s="2">
        <f t="shared" si="5"/>
        <v>0</v>
      </c>
      <c r="AA51" s="2">
        <f t="shared" si="5"/>
        <v>0</v>
      </c>
      <c r="AB51" s="2">
        <f t="shared" si="5"/>
        <v>0</v>
      </c>
      <c r="AC51" s="2">
        <f t="shared" si="5"/>
        <v>0</v>
      </c>
      <c r="AD51" s="2">
        <f t="shared" si="3"/>
        <v>0</v>
      </c>
    </row>
    <row r="52" spans="1:30">
      <c r="A52" s="17">
        <f t="shared" si="4"/>
        <v>38</v>
      </c>
      <c r="B52" s="18" t="s">
        <v>74</v>
      </c>
      <c r="C52" s="19" t="s">
        <v>75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101238.12000000002</v>
      </c>
      <c r="P52" s="23">
        <f t="shared" si="0"/>
        <v>101238.12000000002</v>
      </c>
      <c r="R52" s="2">
        <f t="shared" si="2"/>
        <v>0</v>
      </c>
      <c r="S52" s="2">
        <f t="shared" si="2"/>
        <v>0</v>
      </c>
      <c r="T52" s="2">
        <f t="shared" si="2"/>
        <v>0</v>
      </c>
      <c r="U52" s="2">
        <f t="shared" si="5"/>
        <v>0</v>
      </c>
      <c r="V52" s="2">
        <f t="shared" si="5"/>
        <v>0</v>
      </c>
      <c r="W52" s="2">
        <f t="shared" si="5"/>
        <v>0</v>
      </c>
      <c r="X52" s="2">
        <f t="shared" si="5"/>
        <v>0</v>
      </c>
      <c r="Y52" s="2">
        <f t="shared" si="5"/>
        <v>0</v>
      </c>
      <c r="Z52" s="2">
        <f t="shared" si="5"/>
        <v>0</v>
      </c>
      <c r="AA52" s="2">
        <f t="shared" si="5"/>
        <v>0</v>
      </c>
      <c r="AB52" s="2">
        <f t="shared" si="5"/>
        <v>0</v>
      </c>
      <c r="AC52" s="2">
        <f t="shared" si="5"/>
        <v>-101238.12000000002</v>
      </c>
      <c r="AD52" s="2">
        <f t="shared" si="3"/>
        <v>-101238.12000000002</v>
      </c>
    </row>
    <row r="53" spans="1:30">
      <c r="A53" s="26"/>
      <c r="B53" s="27"/>
      <c r="C53" s="4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29"/>
    </row>
    <row r="54" spans="1:30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30" ht="15.75" thickBot="1">
      <c r="A55" s="4">
        <v>39</v>
      </c>
      <c r="C55" s="1" t="s">
        <v>84</v>
      </c>
      <c r="D55" s="31">
        <f t="shared" ref="D55:O55" si="6">SUM(D15:D54)</f>
        <v>27989</v>
      </c>
      <c r="E55" s="31">
        <f t="shared" si="6"/>
        <v>36195</v>
      </c>
      <c r="F55" s="31">
        <f t="shared" si="6"/>
        <v>44404</v>
      </c>
      <c r="G55" s="31">
        <f t="shared" si="6"/>
        <v>69025</v>
      </c>
      <c r="H55" s="31">
        <f t="shared" si="6"/>
        <v>69025</v>
      </c>
      <c r="I55" s="31">
        <f t="shared" si="6"/>
        <v>69025</v>
      </c>
      <c r="J55" s="31">
        <f t="shared" si="6"/>
        <v>384403</v>
      </c>
      <c r="K55" s="31">
        <f t="shared" si="6"/>
        <v>77232</v>
      </c>
      <c r="L55" s="31">
        <f t="shared" si="6"/>
        <v>289938</v>
      </c>
      <c r="M55" s="31">
        <f t="shared" si="6"/>
        <v>77232</v>
      </c>
      <c r="N55" s="31">
        <f t="shared" si="6"/>
        <v>69025</v>
      </c>
      <c r="O55" s="31">
        <f t="shared" si="6"/>
        <v>822437.36</v>
      </c>
      <c r="P55" s="31">
        <f>SUM(P15:P54)</f>
        <v>2035930.36</v>
      </c>
      <c r="R55" s="31">
        <f t="shared" ref="R55:AD55" si="7">SUM(R15:R54)</f>
        <v>-27989</v>
      </c>
      <c r="S55" s="31">
        <f t="shared" si="7"/>
        <v>-36195</v>
      </c>
      <c r="T55" s="31">
        <f t="shared" si="7"/>
        <v>-44404</v>
      </c>
      <c r="U55" s="31">
        <f t="shared" si="7"/>
        <v>-69025</v>
      </c>
      <c r="V55" s="31">
        <f t="shared" si="7"/>
        <v>-69025</v>
      </c>
      <c r="W55" s="31">
        <f t="shared" si="7"/>
        <v>-69025</v>
      </c>
      <c r="X55" s="31">
        <f t="shared" si="7"/>
        <v>-384403</v>
      </c>
      <c r="Y55" s="31">
        <f t="shared" si="7"/>
        <v>-77232</v>
      </c>
      <c r="Z55" s="31">
        <f t="shared" si="7"/>
        <v>-289938</v>
      </c>
      <c r="AA55" s="31">
        <f t="shared" si="7"/>
        <v>-77232</v>
      </c>
      <c r="AB55" s="31">
        <f t="shared" si="7"/>
        <v>-69025</v>
      </c>
      <c r="AC55" s="31">
        <f t="shared" si="7"/>
        <v>-822437.36</v>
      </c>
      <c r="AD55" s="31">
        <f t="shared" si="7"/>
        <v>-2035930.36</v>
      </c>
    </row>
    <row r="56" spans="1:30" ht="15.75" thickTop="1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30" ht="15.75" thickBo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30">
      <c r="A58" s="1" t="s">
        <v>77</v>
      </c>
      <c r="D58" s="29"/>
      <c r="E58" s="29"/>
      <c r="F58" s="29"/>
      <c r="G58" s="29"/>
      <c r="H58" s="29"/>
      <c r="I58" s="29"/>
      <c r="J58" s="33" t="s">
        <v>111</v>
      </c>
      <c r="K58" s="29"/>
      <c r="L58" s="29"/>
      <c r="M58" s="29"/>
      <c r="N58" s="29"/>
      <c r="O58" s="33"/>
      <c r="P58" s="29"/>
    </row>
    <row r="59" spans="1:30">
      <c r="A59" s="3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1" spans="1:30">
      <c r="C61" s="2" t="s">
        <v>145</v>
      </c>
      <c r="D61" s="86">
        <v>0.10100000000000001</v>
      </c>
    </row>
    <row r="62" spans="1:30">
      <c r="C62" s="2" t="s">
        <v>146</v>
      </c>
      <c r="D62" s="85">
        <v>0.10100000000000001</v>
      </c>
    </row>
    <row r="63" spans="1:30">
      <c r="C63" s="2" t="s">
        <v>147</v>
      </c>
      <c r="D63" s="85">
        <v>0.10837351894159537</v>
      </c>
    </row>
    <row r="64" spans="1:30">
      <c r="C64" s="2" t="s">
        <v>148</v>
      </c>
      <c r="D64" s="85">
        <v>0.15807121019728756</v>
      </c>
    </row>
    <row r="65" spans="3:4">
      <c r="C65" s="2" t="s">
        <v>149</v>
      </c>
      <c r="D65" s="85">
        <v>0.10886423951126652</v>
      </c>
    </row>
    <row r="66" spans="3:4">
      <c r="C66" s="2" t="s">
        <v>150</v>
      </c>
      <c r="D66" s="85">
        <v>2.3938144639215113E-2</v>
      </c>
    </row>
    <row r="67" spans="3:4">
      <c r="C67" s="2" t="s">
        <v>151</v>
      </c>
      <c r="D67" s="85">
        <v>34.82986190336495</v>
      </c>
    </row>
    <row r="68" spans="3:4">
      <c r="C68" s="2" t="s">
        <v>152</v>
      </c>
      <c r="D68" s="85">
        <v>0.35</v>
      </c>
    </row>
    <row r="69" spans="3:4">
      <c r="C69" s="2" t="s">
        <v>153</v>
      </c>
      <c r="D69" s="85">
        <v>0.35022301235526088</v>
      </c>
    </row>
    <row r="70" spans="3:4">
      <c r="C70" s="2" t="s">
        <v>154</v>
      </c>
      <c r="D70" s="85">
        <v>0.25497885195895348</v>
      </c>
    </row>
    <row r="71" spans="3:4">
      <c r="C71" s="2" t="s">
        <v>155</v>
      </c>
      <c r="D71" s="85">
        <v>1.414497502331804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D21" workbookViewId="0">
      <selection activeCell="D15" sqref="D15:O52"/>
    </sheetView>
  </sheetViews>
  <sheetFormatPr defaultColWidth="14.42578125" defaultRowHeight="15"/>
  <cols>
    <col min="1" max="1" width="11.42578125" style="4" customWidth="1"/>
    <col min="2" max="2" width="11.42578125" style="2" customWidth="1"/>
    <col min="3" max="3" width="57" style="2" customWidth="1"/>
    <col min="4" max="256" width="14.42578125" style="2"/>
    <col min="257" max="258" width="11.42578125" style="2" customWidth="1"/>
    <col min="259" max="259" width="57" style="2" customWidth="1"/>
    <col min="260" max="512" width="14.42578125" style="2"/>
    <col min="513" max="514" width="11.42578125" style="2" customWidth="1"/>
    <col min="515" max="515" width="57" style="2" customWidth="1"/>
    <col min="516" max="768" width="14.42578125" style="2"/>
    <col min="769" max="770" width="11.42578125" style="2" customWidth="1"/>
    <col min="771" max="771" width="57" style="2" customWidth="1"/>
    <col min="772" max="1024" width="14.42578125" style="2"/>
    <col min="1025" max="1026" width="11.42578125" style="2" customWidth="1"/>
    <col min="1027" max="1027" width="57" style="2" customWidth="1"/>
    <col min="1028" max="1280" width="14.42578125" style="2"/>
    <col min="1281" max="1282" width="11.42578125" style="2" customWidth="1"/>
    <col min="1283" max="1283" width="57" style="2" customWidth="1"/>
    <col min="1284" max="1536" width="14.42578125" style="2"/>
    <col min="1537" max="1538" width="11.42578125" style="2" customWidth="1"/>
    <col min="1539" max="1539" width="57" style="2" customWidth="1"/>
    <col min="1540" max="1792" width="14.42578125" style="2"/>
    <col min="1793" max="1794" width="11.42578125" style="2" customWidth="1"/>
    <col min="1795" max="1795" width="57" style="2" customWidth="1"/>
    <col min="1796" max="2048" width="14.42578125" style="2"/>
    <col min="2049" max="2050" width="11.42578125" style="2" customWidth="1"/>
    <col min="2051" max="2051" width="57" style="2" customWidth="1"/>
    <col min="2052" max="2304" width="14.42578125" style="2"/>
    <col min="2305" max="2306" width="11.42578125" style="2" customWidth="1"/>
    <col min="2307" max="2307" width="57" style="2" customWidth="1"/>
    <col min="2308" max="2560" width="14.42578125" style="2"/>
    <col min="2561" max="2562" width="11.42578125" style="2" customWidth="1"/>
    <col min="2563" max="2563" width="57" style="2" customWidth="1"/>
    <col min="2564" max="2816" width="14.42578125" style="2"/>
    <col min="2817" max="2818" width="11.42578125" style="2" customWidth="1"/>
    <col min="2819" max="2819" width="57" style="2" customWidth="1"/>
    <col min="2820" max="3072" width="14.42578125" style="2"/>
    <col min="3073" max="3074" width="11.42578125" style="2" customWidth="1"/>
    <col min="3075" max="3075" width="57" style="2" customWidth="1"/>
    <col min="3076" max="3328" width="14.42578125" style="2"/>
    <col min="3329" max="3330" width="11.42578125" style="2" customWidth="1"/>
    <col min="3331" max="3331" width="57" style="2" customWidth="1"/>
    <col min="3332" max="3584" width="14.42578125" style="2"/>
    <col min="3585" max="3586" width="11.42578125" style="2" customWidth="1"/>
    <col min="3587" max="3587" width="57" style="2" customWidth="1"/>
    <col min="3588" max="3840" width="14.42578125" style="2"/>
    <col min="3841" max="3842" width="11.42578125" style="2" customWidth="1"/>
    <col min="3843" max="3843" width="57" style="2" customWidth="1"/>
    <col min="3844" max="4096" width="14.42578125" style="2"/>
    <col min="4097" max="4098" width="11.42578125" style="2" customWidth="1"/>
    <col min="4099" max="4099" width="57" style="2" customWidth="1"/>
    <col min="4100" max="4352" width="14.42578125" style="2"/>
    <col min="4353" max="4354" width="11.42578125" style="2" customWidth="1"/>
    <col min="4355" max="4355" width="57" style="2" customWidth="1"/>
    <col min="4356" max="4608" width="14.42578125" style="2"/>
    <col min="4609" max="4610" width="11.42578125" style="2" customWidth="1"/>
    <col min="4611" max="4611" width="57" style="2" customWidth="1"/>
    <col min="4612" max="4864" width="14.42578125" style="2"/>
    <col min="4865" max="4866" width="11.42578125" style="2" customWidth="1"/>
    <col min="4867" max="4867" width="57" style="2" customWidth="1"/>
    <col min="4868" max="5120" width="14.42578125" style="2"/>
    <col min="5121" max="5122" width="11.42578125" style="2" customWidth="1"/>
    <col min="5123" max="5123" width="57" style="2" customWidth="1"/>
    <col min="5124" max="5376" width="14.42578125" style="2"/>
    <col min="5377" max="5378" width="11.42578125" style="2" customWidth="1"/>
    <col min="5379" max="5379" width="57" style="2" customWidth="1"/>
    <col min="5380" max="5632" width="14.42578125" style="2"/>
    <col min="5633" max="5634" width="11.42578125" style="2" customWidth="1"/>
    <col min="5635" max="5635" width="57" style="2" customWidth="1"/>
    <col min="5636" max="5888" width="14.42578125" style="2"/>
    <col min="5889" max="5890" width="11.42578125" style="2" customWidth="1"/>
    <col min="5891" max="5891" width="57" style="2" customWidth="1"/>
    <col min="5892" max="6144" width="14.42578125" style="2"/>
    <col min="6145" max="6146" width="11.42578125" style="2" customWidth="1"/>
    <col min="6147" max="6147" width="57" style="2" customWidth="1"/>
    <col min="6148" max="6400" width="14.42578125" style="2"/>
    <col min="6401" max="6402" width="11.42578125" style="2" customWidth="1"/>
    <col min="6403" max="6403" width="57" style="2" customWidth="1"/>
    <col min="6404" max="6656" width="14.42578125" style="2"/>
    <col min="6657" max="6658" width="11.42578125" style="2" customWidth="1"/>
    <col min="6659" max="6659" width="57" style="2" customWidth="1"/>
    <col min="6660" max="6912" width="14.42578125" style="2"/>
    <col min="6913" max="6914" width="11.42578125" style="2" customWidth="1"/>
    <col min="6915" max="6915" width="57" style="2" customWidth="1"/>
    <col min="6916" max="7168" width="14.42578125" style="2"/>
    <col min="7169" max="7170" width="11.42578125" style="2" customWidth="1"/>
    <col min="7171" max="7171" width="57" style="2" customWidth="1"/>
    <col min="7172" max="7424" width="14.42578125" style="2"/>
    <col min="7425" max="7426" width="11.42578125" style="2" customWidth="1"/>
    <col min="7427" max="7427" width="57" style="2" customWidth="1"/>
    <col min="7428" max="7680" width="14.42578125" style="2"/>
    <col min="7681" max="7682" width="11.42578125" style="2" customWidth="1"/>
    <col min="7683" max="7683" width="57" style="2" customWidth="1"/>
    <col min="7684" max="7936" width="14.42578125" style="2"/>
    <col min="7937" max="7938" width="11.42578125" style="2" customWidth="1"/>
    <col min="7939" max="7939" width="57" style="2" customWidth="1"/>
    <col min="7940" max="8192" width="14.42578125" style="2"/>
    <col min="8193" max="8194" width="11.42578125" style="2" customWidth="1"/>
    <col min="8195" max="8195" width="57" style="2" customWidth="1"/>
    <col min="8196" max="8448" width="14.42578125" style="2"/>
    <col min="8449" max="8450" width="11.42578125" style="2" customWidth="1"/>
    <col min="8451" max="8451" width="57" style="2" customWidth="1"/>
    <col min="8452" max="8704" width="14.42578125" style="2"/>
    <col min="8705" max="8706" width="11.42578125" style="2" customWidth="1"/>
    <col min="8707" max="8707" width="57" style="2" customWidth="1"/>
    <col min="8708" max="8960" width="14.42578125" style="2"/>
    <col min="8961" max="8962" width="11.42578125" style="2" customWidth="1"/>
    <col min="8963" max="8963" width="57" style="2" customWidth="1"/>
    <col min="8964" max="9216" width="14.42578125" style="2"/>
    <col min="9217" max="9218" width="11.42578125" style="2" customWidth="1"/>
    <col min="9219" max="9219" width="57" style="2" customWidth="1"/>
    <col min="9220" max="9472" width="14.42578125" style="2"/>
    <col min="9473" max="9474" width="11.42578125" style="2" customWidth="1"/>
    <col min="9475" max="9475" width="57" style="2" customWidth="1"/>
    <col min="9476" max="9728" width="14.42578125" style="2"/>
    <col min="9729" max="9730" width="11.42578125" style="2" customWidth="1"/>
    <col min="9731" max="9731" width="57" style="2" customWidth="1"/>
    <col min="9732" max="9984" width="14.42578125" style="2"/>
    <col min="9985" max="9986" width="11.42578125" style="2" customWidth="1"/>
    <col min="9987" max="9987" width="57" style="2" customWidth="1"/>
    <col min="9988" max="10240" width="14.42578125" style="2"/>
    <col min="10241" max="10242" width="11.42578125" style="2" customWidth="1"/>
    <col min="10243" max="10243" width="57" style="2" customWidth="1"/>
    <col min="10244" max="10496" width="14.42578125" style="2"/>
    <col min="10497" max="10498" width="11.42578125" style="2" customWidth="1"/>
    <col min="10499" max="10499" width="57" style="2" customWidth="1"/>
    <col min="10500" max="10752" width="14.42578125" style="2"/>
    <col min="10753" max="10754" width="11.42578125" style="2" customWidth="1"/>
    <col min="10755" max="10755" width="57" style="2" customWidth="1"/>
    <col min="10756" max="11008" width="14.42578125" style="2"/>
    <col min="11009" max="11010" width="11.42578125" style="2" customWidth="1"/>
    <col min="11011" max="11011" width="57" style="2" customWidth="1"/>
    <col min="11012" max="11264" width="14.42578125" style="2"/>
    <col min="11265" max="11266" width="11.42578125" style="2" customWidth="1"/>
    <col min="11267" max="11267" width="57" style="2" customWidth="1"/>
    <col min="11268" max="11520" width="14.42578125" style="2"/>
    <col min="11521" max="11522" width="11.42578125" style="2" customWidth="1"/>
    <col min="11523" max="11523" width="57" style="2" customWidth="1"/>
    <col min="11524" max="11776" width="14.42578125" style="2"/>
    <col min="11777" max="11778" width="11.42578125" style="2" customWidth="1"/>
    <col min="11779" max="11779" width="57" style="2" customWidth="1"/>
    <col min="11780" max="12032" width="14.42578125" style="2"/>
    <col min="12033" max="12034" width="11.42578125" style="2" customWidth="1"/>
    <col min="12035" max="12035" width="57" style="2" customWidth="1"/>
    <col min="12036" max="12288" width="14.42578125" style="2"/>
    <col min="12289" max="12290" width="11.42578125" style="2" customWidth="1"/>
    <col min="12291" max="12291" width="57" style="2" customWidth="1"/>
    <col min="12292" max="12544" width="14.42578125" style="2"/>
    <col min="12545" max="12546" width="11.42578125" style="2" customWidth="1"/>
    <col min="12547" max="12547" width="57" style="2" customWidth="1"/>
    <col min="12548" max="12800" width="14.42578125" style="2"/>
    <col min="12801" max="12802" width="11.42578125" style="2" customWidth="1"/>
    <col min="12803" max="12803" width="57" style="2" customWidth="1"/>
    <col min="12804" max="13056" width="14.42578125" style="2"/>
    <col min="13057" max="13058" width="11.42578125" style="2" customWidth="1"/>
    <col min="13059" max="13059" width="57" style="2" customWidth="1"/>
    <col min="13060" max="13312" width="14.42578125" style="2"/>
    <col min="13313" max="13314" width="11.42578125" style="2" customWidth="1"/>
    <col min="13315" max="13315" width="57" style="2" customWidth="1"/>
    <col min="13316" max="13568" width="14.42578125" style="2"/>
    <col min="13569" max="13570" width="11.42578125" style="2" customWidth="1"/>
    <col min="13571" max="13571" width="57" style="2" customWidth="1"/>
    <col min="13572" max="13824" width="14.42578125" style="2"/>
    <col min="13825" max="13826" width="11.42578125" style="2" customWidth="1"/>
    <col min="13827" max="13827" width="57" style="2" customWidth="1"/>
    <col min="13828" max="14080" width="14.42578125" style="2"/>
    <col min="14081" max="14082" width="11.42578125" style="2" customWidth="1"/>
    <col min="14083" max="14083" width="57" style="2" customWidth="1"/>
    <col min="14084" max="14336" width="14.42578125" style="2"/>
    <col min="14337" max="14338" width="11.42578125" style="2" customWidth="1"/>
    <col min="14339" max="14339" width="57" style="2" customWidth="1"/>
    <col min="14340" max="14592" width="14.42578125" style="2"/>
    <col min="14593" max="14594" width="11.42578125" style="2" customWidth="1"/>
    <col min="14595" max="14595" width="57" style="2" customWidth="1"/>
    <col min="14596" max="14848" width="14.42578125" style="2"/>
    <col min="14849" max="14850" width="11.42578125" style="2" customWidth="1"/>
    <col min="14851" max="14851" width="57" style="2" customWidth="1"/>
    <col min="14852" max="15104" width="14.42578125" style="2"/>
    <col min="15105" max="15106" width="11.42578125" style="2" customWidth="1"/>
    <col min="15107" max="15107" width="57" style="2" customWidth="1"/>
    <col min="15108" max="15360" width="14.42578125" style="2"/>
    <col min="15361" max="15362" width="11.42578125" style="2" customWidth="1"/>
    <col min="15363" max="15363" width="57" style="2" customWidth="1"/>
    <col min="15364" max="15616" width="14.42578125" style="2"/>
    <col min="15617" max="15618" width="11.42578125" style="2" customWidth="1"/>
    <col min="15619" max="15619" width="57" style="2" customWidth="1"/>
    <col min="15620" max="15872" width="14.42578125" style="2"/>
    <col min="15873" max="15874" width="11.42578125" style="2" customWidth="1"/>
    <col min="15875" max="15875" width="57" style="2" customWidth="1"/>
    <col min="15876" max="16128" width="14.42578125" style="2"/>
    <col min="16129" max="16130" width="11.42578125" style="2" customWidth="1"/>
    <col min="16131" max="16131" width="57" style="2" customWidth="1"/>
    <col min="16132" max="16384" width="14.42578125" style="2"/>
  </cols>
  <sheetData>
    <row r="1" spans="1:16">
      <c r="A1" s="1" t="s">
        <v>0</v>
      </c>
      <c r="B1" s="2" t="s">
        <v>112</v>
      </c>
      <c r="E1" s="75" t="s">
        <v>157</v>
      </c>
      <c r="F1" s="76"/>
      <c r="H1" s="1"/>
      <c r="I1" s="14"/>
      <c r="L1" s="41" t="s">
        <v>113</v>
      </c>
      <c r="O1" s="1"/>
      <c r="P1" s="5"/>
    </row>
    <row r="2" spans="1:16" ht="15.75" thickBot="1">
      <c r="A2" s="6"/>
      <c r="B2" s="7"/>
      <c r="C2" s="7"/>
      <c r="D2" s="7"/>
      <c r="E2" s="7"/>
      <c r="F2" s="7"/>
      <c r="G2" s="7"/>
      <c r="H2" s="7"/>
      <c r="I2" s="77"/>
      <c r="J2" s="7"/>
      <c r="K2" s="7"/>
      <c r="L2" s="45"/>
      <c r="M2" s="7"/>
      <c r="N2" s="7"/>
      <c r="O2" s="7"/>
      <c r="P2" s="7"/>
    </row>
    <row r="3" spans="1:16">
      <c r="A3" s="8"/>
      <c r="B3" s="9"/>
      <c r="C3" s="9"/>
      <c r="D3" s="9"/>
      <c r="E3" s="9"/>
      <c r="F3" s="9"/>
      <c r="G3" s="9"/>
      <c r="H3" s="9"/>
      <c r="I3" s="78"/>
      <c r="J3" s="9"/>
      <c r="K3" s="9"/>
      <c r="L3" s="47"/>
      <c r="M3" s="9"/>
      <c r="N3" s="9"/>
      <c r="O3" s="9"/>
      <c r="P3" s="9"/>
    </row>
    <row r="4" spans="1:16">
      <c r="A4" s="1" t="s">
        <v>5</v>
      </c>
      <c r="E4" s="2" t="s">
        <v>81</v>
      </c>
      <c r="F4" s="3" t="s">
        <v>82</v>
      </c>
      <c r="H4" s="1"/>
      <c r="I4" s="1"/>
      <c r="L4" s="3" t="s">
        <v>8</v>
      </c>
      <c r="N4" s="1"/>
    </row>
    <row r="5" spans="1:16">
      <c r="F5" s="3" t="s">
        <v>109</v>
      </c>
      <c r="H5" s="1"/>
      <c r="I5" s="1"/>
      <c r="L5" s="3" t="s">
        <v>110</v>
      </c>
      <c r="N5" s="10"/>
    </row>
    <row r="6" spans="1:16">
      <c r="A6" s="1" t="s">
        <v>11</v>
      </c>
      <c r="B6" s="11" t="str">
        <f>'[1]G1-1'!B6</f>
        <v>Florida Public Utilities Company Consolidated Gas</v>
      </c>
      <c r="C6" s="1"/>
      <c r="L6" s="3" t="s">
        <v>90</v>
      </c>
      <c r="N6" s="1"/>
      <c r="O6" s="12"/>
    </row>
    <row r="7" spans="1:16">
      <c r="B7" s="11"/>
    </row>
    <row r="8" spans="1:16">
      <c r="A8" s="1" t="s">
        <v>13</v>
      </c>
      <c r="B8" s="11">
        <f>'[1]G1-1'!B8</f>
        <v>0</v>
      </c>
      <c r="C8" s="35" t="s">
        <v>137</v>
      </c>
    </row>
    <row r="9" spans="1:16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G10" s="1" t="s">
        <v>14</v>
      </c>
      <c r="H10" s="1" t="s">
        <v>14</v>
      </c>
      <c r="I10" s="1" t="s">
        <v>14</v>
      </c>
      <c r="J10" s="1" t="s">
        <v>14</v>
      </c>
      <c r="K10" s="13" t="s">
        <v>14</v>
      </c>
      <c r="N10" s="1" t="s">
        <v>14</v>
      </c>
    </row>
    <row r="11" spans="1:16">
      <c r="A11" s="1" t="s">
        <v>15</v>
      </c>
      <c r="B11" s="14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>
      <c r="A12" s="1" t="s">
        <v>17</v>
      </c>
      <c r="B12" s="14" t="s">
        <v>17</v>
      </c>
      <c r="C12" s="14" t="s">
        <v>18</v>
      </c>
      <c r="D12" s="16">
        <v>44927</v>
      </c>
      <c r="E12" s="16">
        <v>44958</v>
      </c>
      <c r="F12" s="16">
        <v>44986</v>
      </c>
      <c r="G12" s="16">
        <v>45017</v>
      </c>
      <c r="H12" s="16">
        <v>45047</v>
      </c>
      <c r="I12" s="16">
        <v>45078</v>
      </c>
      <c r="J12" s="16">
        <v>45108</v>
      </c>
      <c r="K12" s="16">
        <v>45139</v>
      </c>
      <c r="L12" s="16">
        <v>45170</v>
      </c>
      <c r="M12" s="16">
        <v>45200</v>
      </c>
      <c r="N12" s="16">
        <v>45231</v>
      </c>
      <c r="O12" s="16">
        <v>45261</v>
      </c>
      <c r="P12" s="14" t="s">
        <v>19</v>
      </c>
    </row>
    <row r="13" spans="1:16" ht="15.75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A15" s="17">
        <v>1</v>
      </c>
      <c r="B15" s="18" t="s">
        <v>20</v>
      </c>
      <c r="C15" s="19" t="s">
        <v>21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1">
        <f t="shared" ref="P15:P52" si="0">SUM(D15:O15)</f>
        <v>0</v>
      </c>
    </row>
    <row r="16" spans="1:16">
      <c r="A16" s="17">
        <f>+A15+1</f>
        <v>2</v>
      </c>
      <c r="B16" s="18" t="s">
        <v>22</v>
      </c>
      <c r="C16" s="19" t="s">
        <v>23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3">
        <f t="shared" si="0"/>
        <v>0</v>
      </c>
    </row>
    <row r="17" spans="1:16">
      <c r="A17" s="17">
        <f t="shared" ref="A17:A52" si="1">+A16+1</f>
        <v>3</v>
      </c>
      <c r="B17" s="18">
        <v>303</v>
      </c>
      <c r="C17" s="19" t="s">
        <v>24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3">
        <f t="shared" si="0"/>
        <v>0</v>
      </c>
    </row>
    <row r="18" spans="1:16">
      <c r="A18" s="17">
        <f t="shared" si="1"/>
        <v>4</v>
      </c>
      <c r="B18" s="18">
        <v>305</v>
      </c>
      <c r="C18" s="19" t="s">
        <v>25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3">
        <f t="shared" si="0"/>
        <v>0</v>
      </c>
    </row>
    <row r="19" spans="1:16">
      <c r="A19" s="17">
        <f t="shared" si="1"/>
        <v>5</v>
      </c>
      <c r="B19" s="18" t="s">
        <v>26</v>
      </c>
      <c r="C19" s="19" t="s">
        <v>27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3">
        <f t="shared" si="0"/>
        <v>0</v>
      </c>
    </row>
    <row r="20" spans="1:16">
      <c r="A20" s="17">
        <f t="shared" si="1"/>
        <v>6</v>
      </c>
      <c r="B20" s="18" t="s">
        <v>28</v>
      </c>
      <c r="C20" s="19" t="s">
        <v>25</v>
      </c>
      <c r="D20" s="22">
        <f>ROUND('2023 plant additions'!D20*'2023 Cost of Removal'!$D$61,0)</f>
        <v>0</v>
      </c>
      <c r="E20" s="22">
        <f>ROUND('2023 plant additions'!E20*'2023 Cost of Removal'!$D$61,0)</f>
        <v>0</v>
      </c>
      <c r="F20" s="22">
        <f>ROUND('2023 plant additions'!F20*'2023 Cost of Removal'!$D$61,0)</f>
        <v>0</v>
      </c>
      <c r="G20" s="22">
        <f>ROUND('2023 plant additions'!G20*'2023 Cost of Removal'!$D$61,0)</f>
        <v>0</v>
      </c>
      <c r="H20" s="22">
        <f>ROUND('2023 plant additions'!H20*'2023 Cost of Removal'!$D$61,0)</f>
        <v>0</v>
      </c>
      <c r="I20" s="22">
        <f>ROUND('2023 plant additions'!I20*'2023 Cost of Removal'!$D$61,0)</f>
        <v>0</v>
      </c>
      <c r="J20" s="22">
        <f>ROUND('2023 plant additions'!J20*'2023 Cost of Removal'!$D$61,0)</f>
        <v>0</v>
      </c>
      <c r="K20" s="22">
        <f>ROUND('2023 plant additions'!K20*'2023 Cost of Removal'!$D$61,0)</f>
        <v>0</v>
      </c>
      <c r="L20" s="22">
        <f>ROUND('2023 plant additions'!L20*'2023 Cost of Removal'!$D$61,0)</f>
        <v>0</v>
      </c>
      <c r="M20" s="22">
        <f>ROUND('2023 plant additions'!M20*'2023 Cost of Removal'!$D$61,0)</f>
        <v>0</v>
      </c>
      <c r="N20" s="22">
        <f>ROUND('2023 plant additions'!N20*'2023 Cost of Removal'!$D$61,0)</f>
        <v>0</v>
      </c>
      <c r="O20" s="22">
        <f>ROUND('2023 plant additions'!O20*'2023 Cost of Removal'!$D$61,0)</f>
        <v>0</v>
      </c>
      <c r="P20" s="23">
        <f t="shared" si="0"/>
        <v>0</v>
      </c>
    </row>
    <row r="21" spans="1:16">
      <c r="A21" s="17">
        <f t="shared" si="1"/>
        <v>7</v>
      </c>
      <c r="B21" s="24">
        <v>3761</v>
      </c>
      <c r="C21" s="25" t="s">
        <v>29</v>
      </c>
      <c r="D21" s="22">
        <f>ROUND('2023 plant additions'!D21*'2023 Cost of Removal'!$D$62,0)</f>
        <v>3926</v>
      </c>
      <c r="E21" s="22">
        <f>ROUND('2023 plant additions'!E21*'2023 Cost of Removal'!$D$62,0)</f>
        <v>4945</v>
      </c>
      <c r="F21" s="22">
        <f>ROUND('2023 plant additions'!F21*'2023 Cost of Removal'!$D$62,0)</f>
        <v>5965</v>
      </c>
      <c r="G21" s="22">
        <f>ROUND('2023 plant additions'!G21*'2023 Cost of Removal'!$D$62,0)</f>
        <v>9024</v>
      </c>
      <c r="H21" s="22">
        <f>ROUND('2023 plant additions'!H21*'2023 Cost of Removal'!$D$62,0)</f>
        <v>9024</v>
      </c>
      <c r="I21" s="22">
        <f>ROUND('2023 plant additions'!I21*'2023 Cost of Removal'!$D$62,0)</f>
        <v>9024</v>
      </c>
      <c r="J21" s="22">
        <f>ROUND('2023 plant additions'!J21*'2023 Cost of Removal'!$D$62,0)</f>
        <v>10044</v>
      </c>
      <c r="K21" s="22">
        <f>ROUND('2023 plant additions'!K21*'2023 Cost of Removal'!$D$62,0)</f>
        <v>10044</v>
      </c>
      <c r="L21" s="22">
        <f>ROUND('2023 plant additions'!L21*'2023 Cost of Removal'!$D$62,0)</f>
        <v>64800</v>
      </c>
      <c r="M21" s="22">
        <f>ROUND('2023 plant additions'!M21*'2023 Cost of Removal'!$D$62,0)</f>
        <v>10044</v>
      </c>
      <c r="N21" s="22">
        <f>ROUND('2023 plant additions'!N21*'2023 Cost of Removal'!$D$62,0)</f>
        <v>9024</v>
      </c>
      <c r="O21" s="22">
        <f>ROUND('2023 plant additions'!O21*'2023 Cost of Removal'!$D$62,0)</f>
        <v>76017</v>
      </c>
      <c r="P21" s="23">
        <f t="shared" si="0"/>
        <v>221881</v>
      </c>
    </row>
    <row r="22" spans="1:16">
      <c r="A22" s="17">
        <f t="shared" si="1"/>
        <v>8</v>
      </c>
      <c r="B22" s="24">
        <v>3762</v>
      </c>
      <c r="C22" s="25" t="s">
        <v>30</v>
      </c>
      <c r="D22" s="22">
        <f>ROUND('2023 plant additions'!D22*'2023 Cost of Removal'!$D$63,0)</f>
        <v>0</v>
      </c>
      <c r="E22" s="22">
        <f>ROUND('2023 plant additions'!E22*'2023 Cost of Removal'!$D$63,0)</f>
        <v>0</v>
      </c>
      <c r="F22" s="22">
        <f>ROUND('2023 plant additions'!F22*'2023 Cost of Removal'!$D$63,0)</f>
        <v>0</v>
      </c>
      <c r="G22" s="22">
        <f>ROUND('2023 plant additions'!G22*'2023 Cost of Removal'!$D$63,0)</f>
        <v>0</v>
      </c>
      <c r="H22" s="22">
        <f>ROUND('2023 plant additions'!H22*'2023 Cost of Removal'!$D$63,0)</f>
        <v>0</v>
      </c>
      <c r="I22" s="22">
        <f>ROUND('2023 plant additions'!I22*'2023 Cost of Removal'!$D$63,0)</f>
        <v>0</v>
      </c>
      <c r="J22" s="22">
        <f>ROUND('2023 plant additions'!J22*'2023 Cost of Removal'!$D$63,0)</f>
        <v>0</v>
      </c>
      <c r="K22" s="22">
        <f>ROUND('2023 plant additions'!K22*'2023 Cost of Removal'!$D$63,0)</f>
        <v>0</v>
      </c>
      <c r="L22" s="22">
        <f>ROUND('2023 plant additions'!L22*'2023 Cost of Removal'!$D$63,0)</f>
        <v>0</v>
      </c>
      <c r="M22" s="22">
        <f>ROUND('2023 plant additions'!M22*'2023 Cost of Removal'!$D$63,0)</f>
        <v>0</v>
      </c>
      <c r="N22" s="22">
        <f>ROUND('2023 plant additions'!N22*'2023 Cost of Removal'!$D$63,0)</f>
        <v>0</v>
      </c>
      <c r="O22" s="22">
        <f>ROUND('2023 plant additions'!O22*'2023 Cost of Removal'!$D$63,0)</f>
        <v>0</v>
      </c>
      <c r="P22" s="23">
        <f t="shared" si="0"/>
        <v>0</v>
      </c>
    </row>
    <row r="23" spans="1:16">
      <c r="A23" s="17">
        <f t="shared" si="1"/>
        <v>9</v>
      </c>
      <c r="B23" s="24" t="s">
        <v>31</v>
      </c>
      <c r="C23" s="25" t="s">
        <v>32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3">
        <f t="shared" si="0"/>
        <v>0</v>
      </c>
    </row>
    <row r="24" spans="1:16">
      <c r="A24" s="17">
        <f t="shared" si="1"/>
        <v>10</v>
      </c>
      <c r="B24" s="18" t="s">
        <v>33</v>
      </c>
      <c r="C24" s="19" t="s">
        <v>34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3">
        <f t="shared" si="0"/>
        <v>0</v>
      </c>
    </row>
    <row r="25" spans="1:16">
      <c r="A25" s="17">
        <f t="shared" si="1"/>
        <v>11</v>
      </c>
      <c r="B25" s="18" t="s">
        <v>35</v>
      </c>
      <c r="C25" s="19" t="s">
        <v>36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3">
        <f t="shared" si="0"/>
        <v>0</v>
      </c>
    </row>
    <row r="26" spans="1:16">
      <c r="A26" s="17">
        <f t="shared" si="1"/>
        <v>12</v>
      </c>
      <c r="B26" s="18">
        <v>3801</v>
      </c>
      <c r="C26" s="19" t="s">
        <v>37</v>
      </c>
      <c r="D26" s="22">
        <f>ROUND('2023 plant additions'!D26*'2023 Cost of Removal'!$D$66,0)</f>
        <v>6502</v>
      </c>
      <c r="E26" s="22">
        <f>ROUND('2023 plant additions'!E26*'2023 Cost of Removal'!$D$66,0)</f>
        <v>8669</v>
      </c>
      <c r="F26" s="22">
        <f>ROUND('2023 plant additions'!F26*'2023 Cost of Removal'!$D$66,0)</f>
        <v>10837</v>
      </c>
      <c r="G26" s="22">
        <f>ROUND('2023 plant additions'!G26*'2023 Cost of Removal'!$D$66,0)</f>
        <v>17338</v>
      </c>
      <c r="H26" s="22">
        <f>ROUND('2023 plant additions'!H26*'2023 Cost of Removal'!$D$66,0)</f>
        <v>17338</v>
      </c>
      <c r="I26" s="22">
        <f>ROUND('2023 plant additions'!I26*'2023 Cost of Removal'!$D$66,0)</f>
        <v>17338</v>
      </c>
      <c r="J26" s="22">
        <f>ROUND('2023 plant additions'!J26*'2023 Cost of Removal'!$D$66,0)</f>
        <v>19506</v>
      </c>
      <c r="K26" s="22">
        <f>ROUND('2023 plant additions'!K26*'2023 Cost of Removal'!$D$66,0)</f>
        <v>19506</v>
      </c>
      <c r="L26" s="22">
        <f>ROUND('2023 plant additions'!L26*'2023 Cost of Removal'!$D$66,0)</f>
        <v>19506</v>
      </c>
      <c r="M26" s="22">
        <f>ROUND('2023 plant additions'!M26*'2023 Cost of Removal'!$D$66,0)</f>
        <v>19506</v>
      </c>
      <c r="N26" s="22">
        <f>ROUND('2023 plant additions'!N26*'2023 Cost of Removal'!$D$66,0)</f>
        <v>17338</v>
      </c>
      <c r="O26" s="22">
        <f>ROUND('2023 plant additions'!O26*'2023 Cost of Removal'!$D$66,0)</f>
        <v>43346</v>
      </c>
      <c r="P26" s="23">
        <f t="shared" si="0"/>
        <v>216730</v>
      </c>
    </row>
    <row r="27" spans="1:16">
      <c r="A27" s="17">
        <f t="shared" si="1"/>
        <v>13</v>
      </c>
      <c r="B27" s="18">
        <v>3802</v>
      </c>
      <c r="C27" s="19" t="s">
        <v>38</v>
      </c>
      <c r="D27" s="22">
        <f>ROUND('2023 plant additions'!D27*'2023 Cost of Removal'!$D$67,0)</f>
        <v>0</v>
      </c>
      <c r="E27" s="22">
        <f>ROUND('2023 plant additions'!E27*'2023 Cost of Removal'!$D$67,0)</f>
        <v>0</v>
      </c>
      <c r="F27" s="22">
        <f>ROUND('2023 plant additions'!F27*'2023 Cost of Removal'!$D$67,0)</f>
        <v>0</v>
      </c>
      <c r="G27" s="22">
        <f>ROUND('2023 plant additions'!G27*'2023 Cost of Removal'!$D$67,0)</f>
        <v>0</v>
      </c>
      <c r="H27" s="22">
        <f>ROUND('2023 plant additions'!H27*'2023 Cost of Removal'!$D$67,0)</f>
        <v>0</v>
      </c>
      <c r="I27" s="22">
        <f>ROUND('2023 plant additions'!I27*'2023 Cost of Removal'!$D$67,0)</f>
        <v>0</v>
      </c>
      <c r="J27" s="22">
        <f>ROUND('2023 plant additions'!J27*'2023 Cost of Removal'!$D$67,0)</f>
        <v>0</v>
      </c>
      <c r="K27" s="22">
        <f>ROUND('2023 plant additions'!K27*'2023 Cost of Removal'!$D$67,0)</f>
        <v>0</v>
      </c>
      <c r="L27" s="22">
        <f>ROUND('2023 plant additions'!L27*'2023 Cost of Removal'!$D$67,0)</f>
        <v>0</v>
      </c>
      <c r="M27" s="22">
        <f>ROUND('2023 plant additions'!M27*'2023 Cost of Removal'!$D$67,0)</f>
        <v>0</v>
      </c>
      <c r="N27" s="22">
        <f>ROUND('2023 plant additions'!N27*'2023 Cost of Removal'!$D$67,0)</f>
        <v>0</v>
      </c>
      <c r="O27" s="22">
        <f>ROUND('2023 plant additions'!O27*'2023 Cost of Removal'!$D$67,0)</f>
        <v>0</v>
      </c>
      <c r="P27" s="23">
        <f t="shared" si="0"/>
        <v>0</v>
      </c>
    </row>
    <row r="28" spans="1:16">
      <c r="A28" s="17">
        <f t="shared" si="1"/>
        <v>14</v>
      </c>
      <c r="B28" s="18" t="s">
        <v>39</v>
      </c>
      <c r="C28" s="19" t="s">
        <v>40</v>
      </c>
      <c r="D28" s="22">
        <f>ROUND('2023 plant additions'!D28*'2023 Cost of Removal'!$D$68,0)</f>
        <v>0</v>
      </c>
      <c r="E28" s="22">
        <f>ROUND('2023 plant additions'!E28*'2023 Cost of Removal'!$D$68,0)</f>
        <v>0</v>
      </c>
      <c r="F28" s="22">
        <f>ROUND('2023 plant additions'!F28*'2023 Cost of Removal'!$D$68,0)</f>
        <v>0</v>
      </c>
      <c r="G28" s="22">
        <f>ROUND('2023 plant additions'!G28*'2023 Cost of Removal'!$D$68,0)</f>
        <v>0</v>
      </c>
      <c r="H28" s="22">
        <f>ROUND('2023 plant additions'!H28*'2023 Cost of Removal'!$D$68,0)</f>
        <v>0</v>
      </c>
      <c r="I28" s="22">
        <f>ROUND('2023 plant additions'!I28*'2023 Cost of Removal'!$D$68,0)</f>
        <v>0</v>
      </c>
      <c r="J28" s="22">
        <f>ROUND('2023 plant additions'!J28*'2023 Cost of Removal'!$D$68,0)</f>
        <v>0</v>
      </c>
      <c r="K28" s="22">
        <f>ROUND('2023 plant additions'!K28*'2023 Cost of Removal'!$D$68,0)</f>
        <v>0</v>
      </c>
      <c r="L28" s="22">
        <f>ROUND('2023 plant additions'!L28*'2023 Cost of Removal'!$D$68,0)</f>
        <v>0</v>
      </c>
      <c r="M28" s="22">
        <f>ROUND('2023 plant additions'!M28*'2023 Cost of Removal'!$D$68,0)</f>
        <v>0</v>
      </c>
      <c r="N28" s="22">
        <f>ROUND('2023 plant additions'!N28*'2023 Cost of Removal'!$D$68,0)</f>
        <v>0</v>
      </c>
      <c r="O28" s="22">
        <f>ROUND('2023 plant additions'!O28*'2023 Cost of Removal'!$D$68,0)</f>
        <v>0</v>
      </c>
      <c r="P28" s="23">
        <f t="shared" si="0"/>
        <v>0</v>
      </c>
    </row>
    <row r="29" spans="1:16">
      <c r="A29" s="17">
        <f t="shared" si="1"/>
        <v>15</v>
      </c>
      <c r="B29" s="18" t="s">
        <v>41</v>
      </c>
      <c r="C29" s="19" t="s">
        <v>42</v>
      </c>
      <c r="D29" s="22">
        <f>ROUND('2023 plant additions'!D29*'2023 Cost of Removal'!$D$69,0)</f>
        <v>993</v>
      </c>
      <c r="E29" s="22">
        <f>ROUND('2023 plant additions'!E29*'2023 Cost of Removal'!$D$69,0)</f>
        <v>1324</v>
      </c>
      <c r="F29" s="22">
        <f>ROUND('2023 plant additions'!F29*'2023 Cost of Removal'!$D$69,0)</f>
        <v>1655</v>
      </c>
      <c r="G29" s="22">
        <f>ROUND('2023 plant additions'!G29*'2023 Cost of Removal'!$D$69,0)</f>
        <v>2648</v>
      </c>
      <c r="H29" s="22">
        <f>ROUND('2023 plant additions'!H29*'2023 Cost of Removal'!$D$69,0)</f>
        <v>2648</v>
      </c>
      <c r="I29" s="22">
        <f>ROUND('2023 plant additions'!I29*'2023 Cost of Removal'!$D$69,0)</f>
        <v>2648</v>
      </c>
      <c r="J29" s="22">
        <f>ROUND('2023 plant additions'!J29*'2023 Cost of Removal'!$D$69,0)</f>
        <v>2979</v>
      </c>
      <c r="K29" s="22">
        <f>ROUND('2023 plant additions'!K29*'2023 Cost of Removal'!$D$69,0)</f>
        <v>2979</v>
      </c>
      <c r="L29" s="22">
        <f>ROUND('2023 plant additions'!L29*'2023 Cost of Removal'!$D$69,0)</f>
        <v>2979</v>
      </c>
      <c r="M29" s="22">
        <f>ROUND('2023 plant additions'!M29*'2023 Cost of Removal'!$D$69,0)</f>
        <v>2979</v>
      </c>
      <c r="N29" s="22">
        <f>ROUND('2023 plant additions'!N29*'2023 Cost of Removal'!$D$69,0)</f>
        <v>2648</v>
      </c>
      <c r="O29" s="22">
        <f>ROUND('2023 plant additions'!O29*'2023 Cost of Removal'!$D$69,0)</f>
        <v>6620</v>
      </c>
      <c r="P29" s="23">
        <f t="shared" si="0"/>
        <v>33100</v>
      </c>
    </row>
    <row r="30" spans="1:16">
      <c r="A30" s="17">
        <f t="shared" si="1"/>
        <v>16</v>
      </c>
      <c r="B30" s="18">
        <v>3811</v>
      </c>
      <c r="C30" s="19" t="s">
        <v>43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3">
        <f t="shared" si="0"/>
        <v>0</v>
      </c>
    </row>
    <row r="31" spans="1:16">
      <c r="A31" s="17">
        <f t="shared" si="1"/>
        <v>17</v>
      </c>
      <c r="B31" s="18" t="s">
        <v>44</v>
      </c>
      <c r="C31" s="19" t="s">
        <v>45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3">
        <f t="shared" si="0"/>
        <v>0</v>
      </c>
    </row>
    <row r="32" spans="1:16">
      <c r="A32" s="17">
        <f t="shared" si="1"/>
        <v>18</v>
      </c>
      <c r="B32" s="18">
        <v>3821</v>
      </c>
      <c r="C32" s="25" t="s">
        <v>46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3">
        <f t="shared" si="0"/>
        <v>0</v>
      </c>
    </row>
    <row r="33" spans="1:16">
      <c r="A33" s="17">
        <f t="shared" si="1"/>
        <v>19</v>
      </c>
      <c r="B33" s="18" t="s">
        <v>47</v>
      </c>
      <c r="C33" s="19" t="s">
        <v>48</v>
      </c>
      <c r="D33" s="22">
        <f>ROUND('2023 plant additions'!D33*'2023 Cost of Removal'!$D$71,0)</f>
        <v>22</v>
      </c>
      <c r="E33" s="22">
        <f>ROUND('2023 plant additions'!E33*'2023 Cost of Removal'!$D$71,0)</f>
        <v>30</v>
      </c>
      <c r="F33" s="22">
        <f>ROUND('2023 plant additions'!F33*'2023 Cost of Removal'!$D$71,0)</f>
        <v>37</v>
      </c>
      <c r="G33" s="22">
        <f>ROUND('2023 plant additions'!G33*'2023 Cost of Removal'!$D$71,0)</f>
        <v>59</v>
      </c>
      <c r="H33" s="22">
        <f>ROUND('2023 plant additions'!H33*'2023 Cost of Removal'!$D$71,0)</f>
        <v>59</v>
      </c>
      <c r="I33" s="22">
        <f>ROUND('2023 plant additions'!I33*'2023 Cost of Removal'!$D$71,0)</f>
        <v>59</v>
      </c>
      <c r="J33" s="22">
        <f>ROUND('2023 plant additions'!J33*'2023 Cost of Removal'!$D$71,0)</f>
        <v>67</v>
      </c>
      <c r="K33" s="22">
        <f>ROUND('2023 plant additions'!K33*'2023 Cost of Removal'!$D$71,0)</f>
        <v>67</v>
      </c>
      <c r="L33" s="22">
        <f>ROUND('2023 plant additions'!L33*'2023 Cost of Removal'!$D$71,0)</f>
        <v>67</v>
      </c>
      <c r="M33" s="22">
        <f>ROUND('2023 plant additions'!M33*'2023 Cost of Removal'!$D$71,0)</f>
        <v>67</v>
      </c>
      <c r="N33" s="22">
        <f>ROUND('2023 plant additions'!N33*'2023 Cost of Removal'!$D$71,0)</f>
        <v>59</v>
      </c>
      <c r="O33" s="22">
        <f>ROUND('2023 plant additions'!O33*'2023 Cost of Removal'!$D$71,0)</f>
        <v>148</v>
      </c>
      <c r="P33" s="23">
        <f t="shared" si="0"/>
        <v>741</v>
      </c>
    </row>
    <row r="34" spans="1:16">
      <c r="A34" s="17">
        <f t="shared" si="1"/>
        <v>20</v>
      </c>
      <c r="B34" s="18" t="s">
        <v>49</v>
      </c>
      <c r="C34" s="19" t="s">
        <v>50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f>SUM(D34:O34)</f>
        <v>0</v>
      </c>
    </row>
    <row r="35" spans="1:16">
      <c r="A35" s="17">
        <f t="shared" si="1"/>
        <v>21</v>
      </c>
      <c r="B35" s="18" t="s">
        <v>51</v>
      </c>
      <c r="C35" s="19" t="s">
        <v>52</v>
      </c>
      <c r="D35" s="22">
        <f>ROUND('2023 plant additions'!D35*'2023 Cost of Removal'!$D$72,0)</f>
        <v>0</v>
      </c>
      <c r="E35" s="22">
        <f>ROUND('2023 plant additions'!E35*'2023 Cost of Removal'!$D$72,0)</f>
        <v>0</v>
      </c>
      <c r="F35" s="22">
        <f>ROUND('2023 plant additions'!F35*'2023 Cost of Removal'!$D$72,0)</f>
        <v>0</v>
      </c>
      <c r="G35" s="22">
        <f>ROUND('2023 plant additions'!G35*'2023 Cost of Removal'!$D$72,0)</f>
        <v>0</v>
      </c>
      <c r="H35" s="22">
        <f>ROUND('2023 plant additions'!H35*'2023 Cost of Removal'!$D$72,0)</f>
        <v>0</v>
      </c>
      <c r="I35" s="22">
        <f>ROUND('2023 plant additions'!I35*'2023 Cost of Removal'!$D$72,0)</f>
        <v>0</v>
      </c>
      <c r="J35" s="22">
        <f>ROUND('2023 plant additions'!J35*'2023 Cost of Removal'!$D$72,0)</f>
        <v>0</v>
      </c>
      <c r="K35" s="22">
        <f>ROUND('2023 plant additions'!K35*'2023 Cost of Removal'!$D$72,0)</f>
        <v>0</v>
      </c>
      <c r="L35" s="22">
        <f>ROUND('2023 plant additions'!L35*'2023 Cost of Removal'!$D$72,0)</f>
        <v>0</v>
      </c>
      <c r="M35" s="22">
        <f>ROUND('2023 plant additions'!M35*'2023 Cost of Removal'!$D$72,0)</f>
        <v>0</v>
      </c>
      <c r="N35" s="22">
        <f>ROUND('2023 plant additions'!N35*'2023 Cost of Removal'!$D$72,0)</f>
        <v>0</v>
      </c>
      <c r="O35" s="22">
        <f>ROUND('2023 plant additions'!O35*'2023 Cost of Removal'!$D$72,0)</f>
        <v>0</v>
      </c>
      <c r="P35" s="23">
        <f t="shared" si="0"/>
        <v>0</v>
      </c>
    </row>
    <row r="36" spans="1:16">
      <c r="A36" s="17">
        <f t="shared" si="1"/>
        <v>22</v>
      </c>
      <c r="B36" s="18" t="s">
        <v>53</v>
      </c>
      <c r="C36" s="19" t="s">
        <v>54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3">
        <f t="shared" si="0"/>
        <v>0</v>
      </c>
    </row>
    <row r="37" spans="1:16">
      <c r="A37" s="17">
        <f t="shared" si="1"/>
        <v>23</v>
      </c>
      <c r="B37" s="18" t="s">
        <v>55</v>
      </c>
      <c r="C37" s="19" t="s">
        <v>27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3">
        <f t="shared" si="0"/>
        <v>0</v>
      </c>
    </row>
    <row r="38" spans="1:16">
      <c r="A38" s="17">
        <f t="shared" si="1"/>
        <v>24</v>
      </c>
      <c r="B38" s="18" t="s">
        <v>56</v>
      </c>
      <c r="C38" s="19" t="s">
        <v>25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3">
        <f t="shared" si="0"/>
        <v>0</v>
      </c>
    </row>
    <row r="39" spans="1:16">
      <c r="A39" s="17">
        <f t="shared" si="1"/>
        <v>25</v>
      </c>
      <c r="B39" s="18">
        <v>3910</v>
      </c>
      <c r="C39" s="19" t="s">
        <v>57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3">
        <f t="shared" si="0"/>
        <v>0</v>
      </c>
    </row>
    <row r="40" spans="1:16">
      <c r="A40" s="17">
        <f t="shared" si="1"/>
        <v>26</v>
      </c>
      <c r="B40" s="18">
        <v>3911</v>
      </c>
      <c r="C40" s="19" t="s">
        <v>58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3">
        <f t="shared" si="0"/>
        <v>0</v>
      </c>
    </row>
    <row r="41" spans="1:16">
      <c r="A41" s="17">
        <f t="shared" si="1"/>
        <v>27</v>
      </c>
      <c r="B41" s="18">
        <v>3912</v>
      </c>
      <c r="C41" s="19" t="s">
        <v>59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3">
        <f t="shared" si="0"/>
        <v>0</v>
      </c>
    </row>
    <row r="42" spans="1:16">
      <c r="A42" s="17">
        <f t="shared" si="1"/>
        <v>28</v>
      </c>
      <c r="B42" s="18">
        <v>3913</v>
      </c>
      <c r="C42" s="19" t="s">
        <v>60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3">
        <f t="shared" si="0"/>
        <v>0</v>
      </c>
    </row>
    <row r="43" spans="1:16">
      <c r="A43" s="17">
        <f t="shared" si="1"/>
        <v>29</v>
      </c>
      <c r="B43" s="18">
        <v>3914</v>
      </c>
      <c r="C43" s="19" t="s">
        <v>61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3">
        <f t="shared" si="0"/>
        <v>0</v>
      </c>
    </row>
    <row r="44" spans="1:16">
      <c r="A44" s="17">
        <f t="shared" si="1"/>
        <v>30</v>
      </c>
      <c r="B44" s="18">
        <v>392</v>
      </c>
      <c r="C44" s="25" t="s">
        <v>62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3">
        <f t="shared" si="0"/>
        <v>0</v>
      </c>
    </row>
    <row r="45" spans="1:16">
      <c r="A45" s="17">
        <f t="shared" si="1"/>
        <v>31</v>
      </c>
      <c r="B45" s="18">
        <v>3921</v>
      </c>
      <c r="C45" s="19" t="s">
        <v>63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3">
        <f t="shared" si="0"/>
        <v>0</v>
      </c>
    </row>
    <row r="46" spans="1:16">
      <c r="A46" s="17">
        <f t="shared" si="1"/>
        <v>32</v>
      </c>
      <c r="B46" s="18">
        <v>3922</v>
      </c>
      <c r="C46" s="19" t="s">
        <v>64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3">
        <f t="shared" si="0"/>
        <v>0</v>
      </c>
    </row>
    <row r="47" spans="1:16">
      <c r="A47" s="17">
        <f t="shared" si="1"/>
        <v>33</v>
      </c>
      <c r="B47" s="18">
        <v>3924</v>
      </c>
      <c r="C47" s="25" t="s">
        <v>65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3">
        <f t="shared" si="0"/>
        <v>0</v>
      </c>
    </row>
    <row r="48" spans="1:16">
      <c r="A48" s="17">
        <f t="shared" si="1"/>
        <v>34</v>
      </c>
      <c r="B48" s="18" t="s">
        <v>66</v>
      </c>
      <c r="C48" s="19" t="s">
        <v>67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3">
        <f t="shared" si="0"/>
        <v>0</v>
      </c>
    </row>
    <row r="49" spans="1:16">
      <c r="A49" s="17">
        <f t="shared" si="1"/>
        <v>35</v>
      </c>
      <c r="B49" s="18" t="s">
        <v>68</v>
      </c>
      <c r="C49" s="19" t="s">
        <v>69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3">
        <f t="shared" si="0"/>
        <v>0</v>
      </c>
    </row>
    <row r="50" spans="1:16">
      <c r="A50" s="17">
        <f t="shared" si="1"/>
        <v>36</v>
      </c>
      <c r="B50" s="18" t="s">
        <v>70</v>
      </c>
      <c r="C50" s="19" t="s">
        <v>71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3">
        <f t="shared" si="0"/>
        <v>0</v>
      </c>
    </row>
    <row r="51" spans="1:16">
      <c r="A51" s="17">
        <f t="shared" si="1"/>
        <v>37</v>
      </c>
      <c r="B51" s="18" t="s">
        <v>72</v>
      </c>
      <c r="C51" s="19" t="s">
        <v>73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3">
        <f t="shared" si="0"/>
        <v>0</v>
      </c>
    </row>
    <row r="52" spans="1:16">
      <c r="A52" s="17">
        <f t="shared" si="1"/>
        <v>38</v>
      </c>
      <c r="B52" s="18" t="s">
        <v>74</v>
      </c>
      <c r="C52" s="19" t="s">
        <v>75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3">
        <f t="shared" si="0"/>
        <v>0</v>
      </c>
    </row>
    <row r="53" spans="1:16">
      <c r="A53" s="26"/>
      <c r="B53" s="27"/>
      <c r="C53" s="4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29"/>
    </row>
    <row r="54" spans="1:16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5.75" thickBot="1">
      <c r="A55" s="4">
        <v>39</v>
      </c>
      <c r="C55" s="1" t="s">
        <v>84</v>
      </c>
      <c r="D55" s="31">
        <f t="shared" ref="D55:O55" si="2">SUM(D15:D54)</f>
        <v>11443</v>
      </c>
      <c r="E55" s="31">
        <f t="shared" si="2"/>
        <v>14968</v>
      </c>
      <c r="F55" s="31">
        <f t="shared" si="2"/>
        <v>18494</v>
      </c>
      <c r="G55" s="31">
        <f t="shared" si="2"/>
        <v>29069</v>
      </c>
      <c r="H55" s="31">
        <f t="shared" si="2"/>
        <v>29069</v>
      </c>
      <c r="I55" s="31">
        <f t="shared" si="2"/>
        <v>29069</v>
      </c>
      <c r="J55" s="31">
        <f t="shared" si="2"/>
        <v>32596</v>
      </c>
      <c r="K55" s="31">
        <f t="shared" si="2"/>
        <v>32596</v>
      </c>
      <c r="L55" s="31">
        <f t="shared" si="2"/>
        <v>87352</v>
      </c>
      <c r="M55" s="31">
        <f t="shared" si="2"/>
        <v>32596</v>
      </c>
      <c r="N55" s="31">
        <f t="shared" si="2"/>
        <v>29069</v>
      </c>
      <c r="O55" s="31">
        <f t="shared" si="2"/>
        <v>126131</v>
      </c>
      <c r="P55" s="31">
        <f>SUM(P15:P54)</f>
        <v>472452</v>
      </c>
    </row>
    <row r="56" spans="1:16" ht="15.75" thickTop="1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.75" thickBo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1" t="s">
        <v>77</v>
      </c>
      <c r="D58" s="29"/>
      <c r="E58" s="29"/>
      <c r="F58" s="29"/>
      <c r="G58" s="29"/>
      <c r="H58" s="29"/>
      <c r="I58" s="29"/>
      <c r="J58" s="33" t="s">
        <v>111</v>
      </c>
      <c r="K58" s="29"/>
      <c r="L58" s="29"/>
      <c r="M58" s="29"/>
      <c r="N58" s="29"/>
      <c r="O58" s="33"/>
      <c r="P58" s="29"/>
    </row>
    <row r="59" spans="1:16">
      <c r="A59" s="3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1" spans="1:16">
      <c r="C61" s="4">
        <v>3750</v>
      </c>
      <c r="D61" s="86">
        <v>0.03</v>
      </c>
    </row>
    <row r="62" spans="1:16">
      <c r="C62" s="4" t="s">
        <v>145</v>
      </c>
      <c r="D62" s="86">
        <v>2.5999999999999999E-2</v>
      </c>
    </row>
    <row r="63" spans="1:16">
      <c r="C63" s="4" t="s">
        <v>146</v>
      </c>
      <c r="D63" s="86">
        <v>0.47099999999999997</v>
      </c>
    </row>
    <row r="64" spans="1:16">
      <c r="C64" s="4">
        <v>3780</v>
      </c>
      <c r="D64" s="86">
        <v>6.4000000000000001E-2</v>
      </c>
    </row>
    <row r="65" spans="3:4">
      <c r="C65" s="4">
        <v>379</v>
      </c>
      <c r="D65" s="86">
        <v>5.8000000000000003E-2</v>
      </c>
    </row>
    <row r="66" spans="3:4">
      <c r="C66" s="4" t="s">
        <v>147</v>
      </c>
      <c r="D66" s="86">
        <v>7.1999999999999995E-2</v>
      </c>
    </row>
    <row r="67" spans="3:4">
      <c r="C67" s="4" t="s">
        <v>148</v>
      </c>
      <c r="D67" s="86">
        <v>27.341000000000001</v>
      </c>
    </row>
    <row r="68" spans="3:4">
      <c r="C68" s="4" t="s">
        <v>39</v>
      </c>
      <c r="D68" s="86">
        <v>3.0000000000000001E-3</v>
      </c>
    </row>
    <row r="69" spans="3:4">
      <c r="C69" s="4">
        <v>3810</v>
      </c>
      <c r="D69" s="86">
        <v>3.7999999999999999E-2</v>
      </c>
    </row>
    <row r="70" spans="3:4">
      <c r="C70" s="4">
        <v>3820</v>
      </c>
      <c r="D70" s="86">
        <v>3.7999999999999999E-2</v>
      </c>
    </row>
    <row r="71" spans="3:4">
      <c r="C71" s="4" t="s">
        <v>150</v>
      </c>
      <c r="D71" s="86">
        <v>5.0000000000000001E-3</v>
      </c>
    </row>
    <row r="72" spans="3:4">
      <c r="C72" s="4">
        <v>3850</v>
      </c>
      <c r="D72" s="86">
        <v>0.01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D31" workbookViewId="0">
      <selection activeCell="G31" sqref="G31"/>
    </sheetView>
  </sheetViews>
  <sheetFormatPr defaultColWidth="12.140625" defaultRowHeight="15"/>
  <cols>
    <col min="1" max="1" width="11.42578125" style="50" customWidth="1"/>
    <col min="2" max="2" width="11.42578125" style="42" customWidth="1"/>
    <col min="3" max="3" width="46.42578125" style="42" customWidth="1"/>
    <col min="4" max="8" width="33" style="42" customWidth="1"/>
    <col min="9" max="19" width="12.140625" style="42"/>
    <col min="20" max="20" width="35" style="42" customWidth="1"/>
    <col min="21" max="38" width="12.140625" style="42"/>
    <col min="39" max="39" width="7.5703125" style="42" customWidth="1"/>
    <col min="40" max="40" width="35" style="42" customWidth="1"/>
    <col min="41" max="41" width="6.42578125" style="42" customWidth="1"/>
    <col min="42" max="42" width="11" style="42" customWidth="1"/>
    <col min="43" max="43" width="3" style="42" customWidth="1"/>
    <col min="44" max="256" width="12.140625" style="42"/>
    <col min="257" max="258" width="11.42578125" style="42" customWidth="1"/>
    <col min="259" max="259" width="46.42578125" style="42" customWidth="1"/>
    <col min="260" max="264" width="33" style="42" customWidth="1"/>
    <col min="265" max="275" width="12.140625" style="42"/>
    <col min="276" max="276" width="35" style="42" customWidth="1"/>
    <col min="277" max="294" width="12.140625" style="42"/>
    <col min="295" max="295" width="7.5703125" style="42" customWidth="1"/>
    <col min="296" max="296" width="35" style="42" customWidth="1"/>
    <col min="297" max="297" width="6.42578125" style="42" customWidth="1"/>
    <col min="298" max="298" width="11" style="42" customWidth="1"/>
    <col min="299" max="299" width="3" style="42" customWidth="1"/>
    <col min="300" max="512" width="12.140625" style="42"/>
    <col min="513" max="514" width="11.42578125" style="42" customWidth="1"/>
    <col min="515" max="515" width="46.42578125" style="42" customWidth="1"/>
    <col min="516" max="520" width="33" style="42" customWidth="1"/>
    <col min="521" max="531" width="12.140625" style="42"/>
    <col min="532" max="532" width="35" style="42" customWidth="1"/>
    <col min="533" max="550" width="12.140625" style="42"/>
    <col min="551" max="551" width="7.5703125" style="42" customWidth="1"/>
    <col min="552" max="552" width="35" style="42" customWidth="1"/>
    <col min="553" max="553" width="6.42578125" style="42" customWidth="1"/>
    <col min="554" max="554" width="11" style="42" customWidth="1"/>
    <col min="555" max="555" width="3" style="42" customWidth="1"/>
    <col min="556" max="768" width="12.140625" style="42"/>
    <col min="769" max="770" width="11.42578125" style="42" customWidth="1"/>
    <col min="771" max="771" width="46.42578125" style="42" customWidth="1"/>
    <col min="772" max="776" width="33" style="42" customWidth="1"/>
    <col min="777" max="787" width="12.140625" style="42"/>
    <col min="788" max="788" width="35" style="42" customWidth="1"/>
    <col min="789" max="806" width="12.140625" style="42"/>
    <col min="807" max="807" width="7.5703125" style="42" customWidth="1"/>
    <col min="808" max="808" width="35" style="42" customWidth="1"/>
    <col min="809" max="809" width="6.42578125" style="42" customWidth="1"/>
    <col min="810" max="810" width="11" style="42" customWidth="1"/>
    <col min="811" max="811" width="3" style="42" customWidth="1"/>
    <col min="812" max="1024" width="12.140625" style="42"/>
    <col min="1025" max="1026" width="11.42578125" style="42" customWidth="1"/>
    <col min="1027" max="1027" width="46.42578125" style="42" customWidth="1"/>
    <col min="1028" max="1032" width="33" style="42" customWidth="1"/>
    <col min="1033" max="1043" width="12.140625" style="42"/>
    <col min="1044" max="1044" width="35" style="42" customWidth="1"/>
    <col min="1045" max="1062" width="12.140625" style="42"/>
    <col min="1063" max="1063" width="7.5703125" style="42" customWidth="1"/>
    <col min="1064" max="1064" width="35" style="42" customWidth="1"/>
    <col min="1065" max="1065" width="6.42578125" style="42" customWidth="1"/>
    <col min="1066" max="1066" width="11" style="42" customWidth="1"/>
    <col min="1067" max="1067" width="3" style="42" customWidth="1"/>
    <col min="1068" max="1280" width="12.140625" style="42"/>
    <col min="1281" max="1282" width="11.42578125" style="42" customWidth="1"/>
    <col min="1283" max="1283" width="46.42578125" style="42" customWidth="1"/>
    <col min="1284" max="1288" width="33" style="42" customWidth="1"/>
    <col min="1289" max="1299" width="12.140625" style="42"/>
    <col min="1300" max="1300" width="35" style="42" customWidth="1"/>
    <col min="1301" max="1318" width="12.140625" style="42"/>
    <col min="1319" max="1319" width="7.5703125" style="42" customWidth="1"/>
    <col min="1320" max="1320" width="35" style="42" customWidth="1"/>
    <col min="1321" max="1321" width="6.42578125" style="42" customWidth="1"/>
    <col min="1322" max="1322" width="11" style="42" customWidth="1"/>
    <col min="1323" max="1323" width="3" style="42" customWidth="1"/>
    <col min="1324" max="1536" width="12.140625" style="42"/>
    <col min="1537" max="1538" width="11.42578125" style="42" customWidth="1"/>
    <col min="1539" max="1539" width="46.42578125" style="42" customWidth="1"/>
    <col min="1540" max="1544" width="33" style="42" customWidth="1"/>
    <col min="1545" max="1555" width="12.140625" style="42"/>
    <col min="1556" max="1556" width="35" style="42" customWidth="1"/>
    <col min="1557" max="1574" width="12.140625" style="42"/>
    <col min="1575" max="1575" width="7.5703125" style="42" customWidth="1"/>
    <col min="1576" max="1576" width="35" style="42" customWidth="1"/>
    <col min="1577" max="1577" width="6.42578125" style="42" customWidth="1"/>
    <col min="1578" max="1578" width="11" style="42" customWidth="1"/>
    <col min="1579" max="1579" width="3" style="42" customWidth="1"/>
    <col min="1580" max="1792" width="12.140625" style="42"/>
    <col min="1793" max="1794" width="11.42578125" style="42" customWidth="1"/>
    <col min="1795" max="1795" width="46.42578125" style="42" customWidth="1"/>
    <col min="1796" max="1800" width="33" style="42" customWidth="1"/>
    <col min="1801" max="1811" width="12.140625" style="42"/>
    <col min="1812" max="1812" width="35" style="42" customWidth="1"/>
    <col min="1813" max="1830" width="12.140625" style="42"/>
    <col min="1831" max="1831" width="7.5703125" style="42" customWidth="1"/>
    <col min="1832" max="1832" width="35" style="42" customWidth="1"/>
    <col min="1833" max="1833" width="6.42578125" style="42" customWidth="1"/>
    <col min="1834" max="1834" width="11" style="42" customWidth="1"/>
    <col min="1835" max="1835" width="3" style="42" customWidth="1"/>
    <col min="1836" max="2048" width="12.140625" style="42"/>
    <col min="2049" max="2050" width="11.42578125" style="42" customWidth="1"/>
    <col min="2051" max="2051" width="46.42578125" style="42" customWidth="1"/>
    <col min="2052" max="2056" width="33" style="42" customWidth="1"/>
    <col min="2057" max="2067" width="12.140625" style="42"/>
    <col min="2068" max="2068" width="35" style="42" customWidth="1"/>
    <col min="2069" max="2086" width="12.140625" style="42"/>
    <col min="2087" max="2087" width="7.5703125" style="42" customWidth="1"/>
    <col min="2088" max="2088" width="35" style="42" customWidth="1"/>
    <col min="2089" max="2089" width="6.42578125" style="42" customWidth="1"/>
    <col min="2090" max="2090" width="11" style="42" customWidth="1"/>
    <col min="2091" max="2091" width="3" style="42" customWidth="1"/>
    <col min="2092" max="2304" width="12.140625" style="42"/>
    <col min="2305" max="2306" width="11.42578125" style="42" customWidth="1"/>
    <col min="2307" max="2307" width="46.42578125" style="42" customWidth="1"/>
    <col min="2308" max="2312" width="33" style="42" customWidth="1"/>
    <col min="2313" max="2323" width="12.140625" style="42"/>
    <col min="2324" max="2324" width="35" style="42" customWidth="1"/>
    <col min="2325" max="2342" width="12.140625" style="42"/>
    <col min="2343" max="2343" width="7.5703125" style="42" customWidth="1"/>
    <col min="2344" max="2344" width="35" style="42" customWidth="1"/>
    <col min="2345" max="2345" width="6.42578125" style="42" customWidth="1"/>
    <col min="2346" max="2346" width="11" style="42" customWidth="1"/>
    <col min="2347" max="2347" width="3" style="42" customWidth="1"/>
    <col min="2348" max="2560" width="12.140625" style="42"/>
    <col min="2561" max="2562" width="11.42578125" style="42" customWidth="1"/>
    <col min="2563" max="2563" width="46.42578125" style="42" customWidth="1"/>
    <col min="2564" max="2568" width="33" style="42" customWidth="1"/>
    <col min="2569" max="2579" width="12.140625" style="42"/>
    <col min="2580" max="2580" width="35" style="42" customWidth="1"/>
    <col min="2581" max="2598" width="12.140625" style="42"/>
    <col min="2599" max="2599" width="7.5703125" style="42" customWidth="1"/>
    <col min="2600" max="2600" width="35" style="42" customWidth="1"/>
    <col min="2601" max="2601" width="6.42578125" style="42" customWidth="1"/>
    <col min="2602" max="2602" width="11" style="42" customWidth="1"/>
    <col min="2603" max="2603" width="3" style="42" customWidth="1"/>
    <col min="2604" max="2816" width="12.140625" style="42"/>
    <col min="2817" max="2818" width="11.42578125" style="42" customWidth="1"/>
    <col min="2819" max="2819" width="46.42578125" style="42" customWidth="1"/>
    <col min="2820" max="2824" width="33" style="42" customWidth="1"/>
    <col min="2825" max="2835" width="12.140625" style="42"/>
    <col min="2836" max="2836" width="35" style="42" customWidth="1"/>
    <col min="2837" max="2854" width="12.140625" style="42"/>
    <col min="2855" max="2855" width="7.5703125" style="42" customWidth="1"/>
    <col min="2856" max="2856" width="35" style="42" customWidth="1"/>
    <col min="2857" max="2857" width="6.42578125" style="42" customWidth="1"/>
    <col min="2858" max="2858" width="11" style="42" customWidth="1"/>
    <col min="2859" max="2859" width="3" style="42" customWidth="1"/>
    <col min="2860" max="3072" width="12.140625" style="42"/>
    <col min="3073" max="3074" width="11.42578125" style="42" customWidth="1"/>
    <col min="3075" max="3075" width="46.42578125" style="42" customWidth="1"/>
    <col min="3076" max="3080" width="33" style="42" customWidth="1"/>
    <col min="3081" max="3091" width="12.140625" style="42"/>
    <col min="3092" max="3092" width="35" style="42" customWidth="1"/>
    <col min="3093" max="3110" width="12.140625" style="42"/>
    <col min="3111" max="3111" width="7.5703125" style="42" customWidth="1"/>
    <col min="3112" max="3112" width="35" style="42" customWidth="1"/>
    <col min="3113" max="3113" width="6.42578125" style="42" customWidth="1"/>
    <col min="3114" max="3114" width="11" style="42" customWidth="1"/>
    <col min="3115" max="3115" width="3" style="42" customWidth="1"/>
    <col min="3116" max="3328" width="12.140625" style="42"/>
    <col min="3329" max="3330" width="11.42578125" style="42" customWidth="1"/>
    <col min="3331" max="3331" width="46.42578125" style="42" customWidth="1"/>
    <col min="3332" max="3336" width="33" style="42" customWidth="1"/>
    <col min="3337" max="3347" width="12.140625" style="42"/>
    <col min="3348" max="3348" width="35" style="42" customWidth="1"/>
    <col min="3349" max="3366" width="12.140625" style="42"/>
    <col min="3367" max="3367" width="7.5703125" style="42" customWidth="1"/>
    <col min="3368" max="3368" width="35" style="42" customWidth="1"/>
    <col min="3369" max="3369" width="6.42578125" style="42" customWidth="1"/>
    <col min="3370" max="3370" width="11" style="42" customWidth="1"/>
    <col min="3371" max="3371" width="3" style="42" customWidth="1"/>
    <col min="3372" max="3584" width="12.140625" style="42"/>
    <col min="3585" max="3586" width="11.42578125" style="42" customWidth="1"/>
    <col min="3587" max="3587" width="46.42578125" style="42" customWidth="1"/>
    <col min="3588" max="3592" width="33" style="42" customWidth="1"/>
    <col min="3593" max="3603" width="12.140625" style="42"/>
    <col min="3604" max="3604" width="35" style="42" customWidth="1"/>
    <col min="3605" max="3622" width="12.140625" style="42"/>
    <col min="3623" max="3623" width="7.5703125" style="42" customWidth="1"/>
    <col min="3624" max="3624" width="35" style="42" customWidth="1"/>
    <col min="3625" max="3625" width="6.42578125" style="42" customWidth="1"/>
    <col min="3626" max="3626" width="11" style="42" customWidth="1"/>
    <col min="3627" max="3627" width="3" style="42" customWidth="1"/>
    <col min="3628" max="3840" width="12.140625" style="42"/>
    <col min="3841" max="3842" width="11.42578125" style="42" customWidth="1"/>
    <col min="3843" max="3843" width="46.42578125" style="42" customWidth="1"/>
    <col min="3844" max="3848" width="33" style="42" customWidth="1"/>
    <col min="3849" max="3859" width="12.140625" style="42"/>
    <col min="3860" max="3860" width="35" style="42" customWidth="1"/>
    <col min="3861" max="3878" width="12.140625" style="42"/>
    <col min="3879" max="3879" width="7.5703125" style="42" customWidth="1"/>
    <col min="3880" max="3880" width="35" style="42" customWidth="1"/>
    <col min="3881" max="3881" width="6.42578125" style="42" customWidth="1"/>
    <col min="3882" max="3882" width="11" style="42" customWidth="1"/>
    <col min="3883" max="3883" width="3" style="42" customWidth="1"/>
    <col min="3884" max="4096" width="12.140625" style="42"/>
    <col min="4097" max="4098" width="11.42578125" style="42" customWidth="1"/>
    <col min="4099" max="4099" width="46.42578125" style="42" customWidth="1"/>
    <col min="4100" max="4104" width="33" style="42" customWidth="1"/>
    <col min="4105" max="4115" width="12.140625" style="42"/>
    <col min="4116" max="4116" width="35" style="42" customWidth="1"/>
    <col min="4117" max="4134" width="12.140625" style="42"/>
    <col min="4135" max="4135" width="7.5703125" style="42" customWidth="1"/>
    <col min="4136" max="4136" width="35" style="42" customWidth="1"/>
    <col min="4137" max="4137" width="6.42578125" style="42" customWidth="1"/>
    <col min="4138" max="4138" width="11" style="42" customWidth="1"/>
    <col min="4139" max="4139" width="3" style="42" customWidth="1"/>
    <col min="4140" max="4352" width="12.140625" style="42"/>
    <col min="4353" max="4354" width="11.42578125" style="42" customWidth="1"/>
    <col min="4355" max="4355" width="46.42578125" style="42" customWidth="1"/>
    <col min="4356" max="4360" width="33" style="42" customWidth="1"/>
    <col min="4361" max="4371" width="12.140625" style="42"/>
    <col min="4372" max="4372" width="35" style="42" customWidth="1"/>
    <col min="4373" max="4390" width="12.140625" style="42"/>
    <col min="4391" max="4391" width="7.5703125" style="42" customWidth="1"/>
    <col min="4392" max="4392" width="35" style="42" customWidth="1"/>
    <col min="4393" max="4393" width="6.42578125" style="42" customWidth="1"/>
    <col min="4394" max="4394" width="11" style="42" customWidth="1"/>
    <col min="4395" max="4395" width="3" style="42" customWidth="1"/>
    <col min="4396" max="4608" width="12.140625" style="42"/>
    <col min="4609" max="4610" width="11.42578125" style="42" customWidth="1"/>
    <col min="4611" max="4611" width="46.42578125" style="42" customWidth="1"/>
    <col min="4612" max="4616" width="33" style="42" customWidth="1"/>
    <col min="4617" max="4627" width="12.140625" style="42"/>
    <col min="4628" max="4628" width="35" style="42" customWidth="1"/>
    <col min="4629" max="4646" width="12.140625" style="42"/>
    <col min="4647" max="4647" width="7.5703125" style="42" customWidth="1"/>
    <col min="4648" max="4648" width="35" style="42" customWidth="1"/>
    <col min="4649" max="4649" width="6.42578125" style="42" customWidth="1"/>
    <col min="4650" max="4650" width="11" style="42" customWidth="1"/>
    <col min="4651" max="4651" width="3" style="42" customWidth="1"/>
    <col min="4652" max="4864" width="12.140625" style="42"/>
    <col min="4865" max="4866" width="11.42578125" style="42" customWidth="1"/>
    <col min="4867" max="4867" width="46.42578125" style="42" customWidth="1"/>
    <col min="4868" max="4872" width="33" style="42" customWidth="1"/>
    <col min="4873" max="4883" width="12.140625" style="42"/>
    <col min="4884" max="4884" width="35" style="42" customWidth="1"/>
    <col min="4885" max="4902" width="12.140625" style="42"/>
    <col min="4903" max="4903" width="7.5703125" style="42" customWidth="1"/>
    <col min="4904" max="4904" width="35" style="42" customWidth="1"/>
    <col min="4905" max="4905" width="6.42578125" style="42" customWidth="1"/>
    <col min="4906" max="4906" width="11" style="42" customWidth="1"/>
    <col min="4907" max="4907" width="3" style="42" customWidth="1"/>
    <col min="4908" max="5120" width="12.140625" style="42"/>
    <col min="5121" max="5122" width="11.42578125" style="42" customWidth="1"/>
    <col min="5123" max="5123" width="46.42578125" style="42" customWidth="1"/>
    <col min="5124" max="5128" width="33" style="42" customWidth="1"/>
    <col min="5129" max="5139" width="12.140625" style="42"/>
    <col min="5140" max="5140" width="35" style="42" customWidth="1"/>
    <col min="5141" max="5158" width="12.140625" style="42"/>
    <col min="5159" max="5159" width="7.5703125" style="42" customWidth="1"/>
    <col min="5160" max="5160" width="35" style="42" customWidth="1"/>
    <col min="5161" max="5161" width="6.42578125" style="42" customWidth="1"/>
    <col min="5162" max="5162" width="11" style="42" customWidth="1"/>
    <col min="5163" max="5163" width="3" style="42" customWidth="1"/>
    <col min="5164" max="5376" width="12.140625" style="42"/>
    <col min="5377" max="5378" width="11.42578125" style="42" customWidth="1"/>
    <col min="5379" max="5379" width="46.42578125" style="42" customWidth="1"/>
    <col min="5380" max="5384" width="33" style="42" customWidth="1"/>
    <col min="5385" max="5395" width="12.140625" style="42"/>
    <col min="5396" max="5396" width="35" style="42" customWidth="1"/>
    <col min="5397" max="5414" width="12.140625" style="42"/>
    <col min="5415" max="5415" width="7.5703125" style="42" customWidth="1"/>
    <col min="5416" max="5416" width="35" style="42" customWidth="1"/>
    <col min="5417" max="5417" width="6.42578125" style="42" customWidth="1"/>
    <col min="5418" max="5418" width="11" style="42" customWidth="1"/>
    <col min="5419" max="5419" width="3" style="42" customWidth="1"/>
    <col min="5420" max="5632" width="12.140625" style="42"/>
    <col min="5633" max="5634" width="11.42578125" style="42" customWidth="1"/>
    <col min="5635" max="5635" width="46.42578125" style="42" customWidth="1"/>
    <col min="5636" max="5640" width="33" style="42" customWidth="1"/>
    <col min="5641" max="5651" width="12.140625" style="42"/>
    <col min="5652" max="5652" width="35" style="42" customWidth="1"/>
    <col min="5653" max="5670" width="12.140625" style="42"/>
    <col min="5671" max="5671" width="7.5703125" style="42" customWidth="1"/>
    <col min="5672" max="5672" width="35" style="42" customWidth="1"/>
    <col min="5673" max="5673" width="6.42578125" style="42" customWidth="1"/>
    <col min="5674" max="5674" width="11" style="42" customWidth="1"/>
    <col min="5675" max="5675" width="3" style="42" customWidth="1"/>
    <col min="5676" max="5888" width="12.140625" style="42"/>
    <col min="5889" max="5890" width="11.42578125" style="42" customWidth="1"/>
    <col min="5891" max="5891" width="46.42578125" style="42" customWidth="1"/>
    <col min="5892" max="5896" width="33" style="42" customWidth="1"/>
    <col min="5897" max="5907" width="12.140625" style="42"/>
    <col min="5908" max="5908" width="35" style="42" customWidth="1"/>
    <col min="5909" max="5926" width="12.140625" style="42"/>
    <col min="5927" max="5927" width="7.5703125" style="42" customWidth="1"/>
    <col min="5928" max="5928" width="35" style="42" customWidth="1"/>
    <col min="5929" max="5929" width="6.42578125" style="42" customWidth="1"/>
    <col min="5930" max="5930" width="11" style="42" customWidth="1"/>
    <col min="5931" max="5931" width="3" style="42" customWidth="1"/>
    <col min="5932" max="6144" width="12.140625" style="42"/>
    <col min="6145" max="6146" width="11.42578125" style="42" customWidth="1"/>
    <col min="6147" max="6147" width="46.42578125" style="42" customWidth="1"/>
    <col min="6148" max="6152" width="33" style="42" customWidth="1"/>
    <col min="6153" max="6163" width="12.140625" style="42"/>
    <col min="6164" max="6164" width="35" style="42" customWidth="1"/>
    <col min="6165" max="6182" width="12.140625" style="42"/>
    <col min="6183" max="6183" width="7.5703125" style="42" customWidth="1"/>
    <col min="6184" max="6184" width="35" style="42" customWidth="1"/>
    <col min="6185" max="6185" width="6.42578125" style="42" customWidth="1"/>
    <col min="6186" max="6186" width="11" style="42" customWidth="1"/>
    <col min="6187" max="6187" width="3" style="42" customWidth="1"/>
    <col min="6188" max="6400" width="12.140625" style="42"/>
    <col min="6401" max="6402" width="11.42578125" style="42" customWidth="1"/>
    <col min="6403" max="6403" width="46.42578125" style="42" customWidth="1"/>
    <col min="6404" max="6408" width="33" style="42" customWidth="1"/>
    <col min="6409" max="6419" width="12.140625" style="42"/>
    <col min="6420" max="6420" width="35" style="42" customWidth="1"/>
    <col min="6421" max="6438" width="12.140625" style="42"/>
    <col min="6439" max="6439" width="7.5703125" style="42" customWidth="1"/>
    <col min="6440" max="6440" width="35" style="42" customWidth="1"/>
    <col min="6441" max="6441" width="6.42578125" style="42" customWidth="1"/>
    <col min="6442" max="6442" width="11" style="42" customWidth="1"/>
    <col min="6443" max="6443" width="3" style="42" customWidth="1"/>
    <col min="6444" max="6656" width="12.140625" style="42"/>
    <col min="6657" max="6658" width="11.42578125" style="42" customWidth="1"/>
    <col min="6659" max="6659" width="46.42578125" style="42" customWidth="1"/>
    <col min="6660" max="6664" width="33" style="42" customWidth="1"/>
    <col min="6665" max="6675" width="12.140625" style="42"/>
    <col min="6676" max="6676" width="35" style="42" customWidth="1"/>
    <col min="6677" max="6694" width="12.140625" style="42"/>
    <col min="6695" max="6695" width="7.5703125" style="42" customWidth="1"/>
    <col min="6696" max="6696" width="35" style="42" customWidth="1"/>
    <col min="6697" max="6697" width="6.42578125" style="42" customWidth="1"/>
    <col min="6698" max="6698" width="11" style="42" customWidth="1"/>
    <col min="6699" max="6699" width="3" style="42" customWidth="1"/>
    <col min="6700" max="6912" width="12.140625" style="42"/>
    <col min="6913" max="6914" width="11.42578125" style="42" customWidth="1"/>
    <col min="6915" max="6915" width="46.42578125" style="42" customWidth="1"/>
    <col min="6916" max="6920" width="33" style="42" customWidth="1"/>
    <col min="6921" max="6931" width="12.140625" style="42"/>
    <col min="6932" max="6932" width="35" style="42" customWidth="1"/>
    <col min="6933" max="6950" width="12.140625" style="42"/>
    <col min="6951" max="6951" width="7.5703125" style="42" customWidth="1"/>
    <col min="6952" max="6952" width="35" style="42" customWidth="1"/>
    <col min="6953" max="6953" width="6.42578125" style="42" customWidth="1"/>
    <col min="6954" max="6954" width="11" style="42" customWidth="1"/>
    <col min="6955" max="6955" width="3" style="42" customWidth="1"/>
    <col min="6956" max="7168" width="12.140625" style="42"/>
    <col min="7169" max="7170" width="11.42578125" style="42" customWidth="1"/>
    <col min="7171" max="7171" width="46.42578125" style="42" customWidth="1"/>
    <col min="7172" max="7176" width="33" style="42" customWidth="1"/>
    <col min="7177" max="7187" width="12.140625" style="42"/>
    <col min="7188" max="7188" width="35" style="42" customWidth="1"/>
    <col min="7189" max="7206" width="12.140625" style="42"/>
    <col min="7207" max="7207" width="7.5703125" style="42" customWidth="1"/>
    <col min="7208" max="7208" width="35" style="42" customWidth="1"/>
    <col min="7209" max="7209" width="6.42578125" style="42" customWidth="1"/>
    <col min="7210" max="7210" width="11" style="42" customWidth="1"/>
    <col min="7211" max="7211" width="3" style="42" customWidth="1"/>
    <col min="7212" max="7424" width="12.140625" style="42"/>
    <col min="7425" max="7426" width="11.42578125" style="42" customWidth="1"/>
    <col min="7427" max="7427" width="46.42578125" style="42" customWidth="1"/>
    <col min="7428" max="7432" width="33" style="42" customWidth="1"/>
    <col min="7433" max="7443" width="12.140625" style="42"/>
    <col min="7444" max="7444" width="35" style="42" customWidth="1"/>
    <col min="7445" max="7462" width="12.140625" style="42"/>
    <col min="7463" max="7463" width="7.5703125" style="42" customWidth="1"/>
    <col min="7464" max="7464" width="35" style="42" customWidth="1"/>
    <col min="7465" max="7465" width="6.42578125" style="42" customWidth="1"/>
    <col min="7466" max="7466" width="11" style="42" customWidth="1"/>
    <col min="7467" max="7467" width="3" style="42" customWidth="1"/>
    <col min="7468" max="7680" width="12.140625" style="42"/>
    <col min="7681" max="7682" width="11.42578125" style="42" customWidth="1"/>
    <col min="7683" max="7683" width="46.42578125" style="42" customWidth="1"/>
    <col min="7684" max="7688" width="33" style="42" customWidth="1"/>
    <col min="7689" max="7699" width="12.140625" style="42"/>
    <col min="7700" max="7700" width="35" style="42" customWidth="1"/>
    <col min="7701" max="7718" width="12.140625" style="42"/>
    <col min="7719" max="7719" width="7.5703125" style="42" customWidth="1"/>
    <col min="7720" max="7720" width="35" style="42" customWidth="1"/>
    <col min="7721" max="7721" width="6.42578125" style="42" customWidth="1"/>
    <col min="7722" max="7722" width="11" style="42" customWidth="1"/>
    <col min="7723" max="7723" width="3" style="42" customWidth="1"/>
    <col min="7724" max="7936" width="12.140625" style="42"/>
    <col min="7937" max="7938" width="11.42578125" style="42" customWidth="1"/>
    <col min="7939" max="7939" width="46.42578125" style="42" customWidth="1"/>
    <col min="7940" max="7944" width="33" style="42" customWidth="1"/>
    <col min="7945" max="7955" width="12.140625" style="42"/>
    <col min="7956" max="7956" width="35" style="42" customWidth="1"/>
    <col min="7957" max="7974" width="12.140625" style="42"/>
    <col min="7975" max="7975" width="7.5703125" style="42" customWidth="1"/>
    <col min="7976" max="7976" width="35" style="42" customWidth="1"/>
    <col min="7977" max="7977" width="6.42578125" style="42" customWidth="1"/>
    <col min="7978" max="7978" width="11" style="42" customWidth="1"/>
    <col min="7979" max="7979" width="3" style="42" customWidth="1"/>
    <col min="7980" max="8192" width="12.140625" style="42"/>
    <col min="8193" max="8194" width="11.42578125" style="42" customWidth="1"/>
    <col min="8195" max="8195" width="46.42578125" style="42" customWidth="1"/>
    <col min="8196" max="8200" width="33" style="42" customWidth="1"/>
    <col min="8201" max="8211" width="12.140625" style="42"/>
    <col min="8212" max="8212" width="35" style="42" customWidth="1"/>
    <col min="8213" max="8230" width="12.140625" style="42"/>
    <col min="8231" max="8231" width="7.5703125" style="42" customWidth="1"/>
    <col min="8232" max="8232" width="35" style="42" customWidth="1"/>
    <col min="8233" max="8233" width="6.42578125" style="42" customWidth="1"/>
    <col min="8234" max="8234" width="11" style="42" customWidth="1"/>
    <col min="8235" max="8235" width="3" style="42" customWidth="1"/>
    <col min="8236" max="8448" width="12.140625" style="42"/>
    <col min="8449" max="8450" width="11.42578125" style="42" customWidth="1"/>
    <col min="8451" max="8451" width="46.42578125" style="42" customWidth="1"/>
    <col min="8452" max="8456" width="33" style="42" customWidth="1"/>
    <col min="8457" max="8467" width="12.140625" style="42"/>
    <col min="8468" max="8468" width="35" style="42" customWidth="1"/>
    <col min="8469" max="8486" width="12.140625" style="42"/>
    <col min="8487" max="8487" width="7.5703125" style="42" customWidth="1"/>
    <col min="8488" max="8488" width="35" style="42" customWidth="1"/>
    <col min="8489" max="8489" width="6.42578125" style="42" customWidth="1"/>
    <col min="8490" max="8490" width="11" style="42" customWidth="1"/>
    <col min="8491" max="8491" width="3" style="42" customWidth="1"/>
    <col min="8492" max="8704" width="12.140625" style="42"/>
    <col min="8705" max="8706" width="11.42578125" style="42" customWidth="1"/>
    <col min="8707" max="8707" width="46.42578125" style="42" customWidth="1"/>
    <col min="8708" max="8712" width="33" style="42" customWidth="1"/>
    <col min="8713" max="8723" width="12.140625" style="42"/>
    <col min="8724" max="8724" width="35" style="42" customWidth="1"/>
    <col min="8725" max="8742" width="12.140625" style="42"/>
    <col min="8743" max="8743" width="7.5703125" style="42" customWidth="1"/>
    <col min="8744" max="8744" width="35" style="42" customWidth="1"/>
    <col min="8745" max="8745" width="6.42578125" style="42" customWidth="1"/>
    <col min="8746" max="8746" width="11" style="42" customWidth="1"/>
    <col min="8747" max="8747" width="3" style="42" customWidth="1"/>
    <col min="8748" max="8960" width="12.140625" style="42"/>
    <col min="8961" max="8962" width="11.42578125" style="42" customWidth="1"/>
    <col min="8963" max="8963" width="46.42578125" style="42" customWidth="1"/>
    <col min="8964" max="8968" width="33" style="42" customWidth="1"/>
    <col min="8969" max="8979" width="12.140625" style="42"/>
    <col min="8980" max="8980" width="35" style="42" customWidth="1"/>
    <col min="8981" max="8998" width="12.140625" style="42"/>
    <col min="8999" max="8999" width="7.5703125" style="42" customWidth="1"/>
    <col min="9000" max="9000" width="35" style="42" customWidth="1"/>
    <col min="9001" max="9001" width="6.42578125" style="42" customWidth="1"/>
    <col min="9002" max="9002" width="11" style="42" customWidth="1"/>
    <col min="9003" max="9003" width="3" style="42" customWidth="1"/>
    <col min="9004" max="9216" width="12.140625" style="42"/>
    <col min="9217" max="9218" width="11.42578125" style="42" customWidth="1"/>
    <col min="9219" max="9219" width="46.42578125" style="42" customWidth="1"/>
    <col min="9220" max="9224" width="33" style="42" customWidth="1"/>
    <col min="9225" max="9235" width="12.140625" style="42"/>
    <col min="9236" max="9236" width="35" style="42" customWidth="1"/>
    <col min="9237" max="9254" width="12.140625" style="42"/>
    <col min="9255" max="9255" width="7.5703125" style="42" customWidth="1"/>
    <col min="9256" max="9256" width="35" style="42" customWidth="1"/>
    <col min="9257" max="9257" width="6.42578125" style="42" customWidth="1"/>
    <col min="9258" max="9258" width="11" style="42" customWidth="1"/>
    <col min="9259" max="9259" width="3" style="42" customWidth="1"/>
    <col min="9260" max="9472" width="12.140625" style="42"/>
    <col min="9473" max="9474" width="11.42578125" style="42" customWidth="1"/>
    <col min="9475" max="9475" width="46.42578125" style="42" customWidth="1"/>
    <col min="9476" max="9480" width="33" style="42" customWidth="1"/>
    <col min="9481" max="9491" width="12.140625" style="42"/>
    <col min="9492" max="9492" width="35" style="42" customWidth="1"/>
    <col min="9493" max="9510" width="12.140625" style="42"/>
    <col min="9511" max="9511" width="7.5703125" style="42" customWidth="1"/>
    <col min="9512" max="9512" width="35" style="42" customWidth="1"/>
    <col min="9513" max="9513" width="6.42578125" style="42" customWidth="1"/>
    <col min="9514" max="9514" width="11" style="42" customWidth="1"/>
    <col min="9515" max="9515" width="3" style="42" customWidth="1"/>
    <col min="9516" max="9728" width="12.140625" style="42"/>
    <col min="9729" max="9730" width="11.42578125" style="42" customWidth="1"/>
    <col min="9731" max="9731" width="46.42578125" style="42" customWidth="1"/>
    <col min="9732" max="9736" width="33" style="42" customWidth="1"/>
    <col min="9737" max="9747" width="12.140625" style="42"/>
    <col min="9748" max="9748" width="35" style="42" customWidth="1"/>
    <col min="9749" max="9766" width="12.140625" style="42"/>
    <col min="9767" max="9767" width="7.5703125" style="42" customWidth="1"/>
    <col min="9768" max="9768" width="35" style="42" customWidth="1"/>
    <col min="9769" max="9769" width="6.42578125" style="42" customWidth="1"/>
    <col min="9770" max="9770" width="11" style="42" customWidth="1"/>
    <col min="9771" max="9771" width="3" style="42" customWidth="1"/>
    <col min="9772" max="9984" width="12.140625" style="42"/>
    <col min="9985" max="9986" width="11.42578125" style="42" customWidth="1"/>
    <col min="9987" max="9987" width="46.42578125" style="42" customWidth="1"/>
    <col min="9988" max="9992" width="33" style="42" customWidth="1"/>
    <col min="9993" max="10003" width="12.140625" style="42"/>
    <col min="10004" max="10004" width="35" style="42" customWidth="1"/>
    <col min="10005" max="10022" width="12.140625" style="42"/>
    <col min="10023" max="10023" width="7.5703125" style="42" customWidth="1"/>
    <col min="10024" max="10024" width="35" style="42" customWidth="1"/>
    <col min="10025" max="10025" width="6.42578125" style="42" customWidth="1"/>
    <col min="10026" max="10026" width="11" style="42" customWidth="1"/>
    <col min="10027" max="10027" width="3" style="42" customWidth="1"/>
    <col min="10028" max="10240" width="12.140625" style="42"/>
    <col min="10241" max="10242" width="11.42578125" style="42" customWidth="1"/>
    <col min="10243" max="10243" width="46.42578125" style="42" customWidth="1"/>
    <col min="10244" max="10248" width="33" style="42" customWidth="1"/>
    <col min="10249" max="10259" width="12.140625" style="42"/>
    <col min="10260" max="10260" width="35" style="42" customWidth="1"/>
    <col min="10261" max="10278" width="12.140625" style="42"/>
    <col min="10279" max="10279" width="7.5703125" style="42" customWidth="1"/>
    <col min="10280" max="10280" width="35" style="42" customWidth="1"/>
    <col min="10281" max="10281" width="6.42578125" style="42" customWidth="1"/>
    <col min="10282" max="10282" width="11" style="42" customWidth="1"/>
    <col min="10283" max="10283" width="3" style="42" customWidth="1"/>
    <col min="10284" max="10496" width="12.140625" style="42"/>
    <col min="10497" max="10498" width="11.42578125" style="42" customWidth="1"/>
    <col min="10499" max="10499" width="46.42578125" style="42" customWidth="1"/>
    <col min="10500" max="10504" width="33" style="42" customWidth="1"/>
    <col min="10505" max="10515" width="12.140625" style="42"/>
    <col min="10516" max="10516" width="35" style="42" customWidth="1"/>
    <col min="10517" max="10534" width="12.140625" style="42"/>
    <col min="10535" max="10535" width="7.5703125" style="42" customWidth="1"/>
    <col min="10536" max="10536" width="35" style="42" customWidth="1"/>
    <col min="10537" max="10537" width="6.42578125" style="42" customWidth="1"/>
    <col min="10538" max="10538" width="11" style="42" customWidth="1"/>
    <col min="10539" max="10539" width="3" style="42" customWidth="1"/>
    <col min="10540" max="10752" width="12.140625" style="42"/>
    <col min="10753" max="10754" width="11.42578125" style="42" customWidth="1"/>
    <col min="10755" max="10755" width="46.42578125" style="42" customWidth="1"/>
    <col min="10756" max="10760" width="33" style="42" customWidth="1"/>
    <col min="10761" max="10771" width="12.140625" style="42"/>
    <col min="10772" max="10772" width="35" style="42" customWidth="1"/>
    <col min="10773" max="10790" width="12.140625" style="42"/>
    <col min="10791" max="10791" width="7.5703125" style="42" customWidth="1"/>
    <col min="10792" max="10792" width="35" style="42" customWidth="1"/>
    <col min="10793" max="10793" width="6.42578125" style="42" customWidth="1"/>
    <col min="10794" max="10794" width="11" style="42" customWidth="1"/>
    <col min="10795" max="10795" width="3" style="42" customWidth="1"/>
    <col min="10796" max="11008" width="12.140625" style="42"/>
    <col min="11009" max="11010" width="11.42578125" style="42" customWidth="1"/>
    <col min="11011" max="11011" width="46.42578125" style="42" customWidth="1"/>
    <col min="11012" max="11016" width="33" style="42" customWidth="1"/>
    <col min="11017" max="11027" width="12.140625" style="42"/>
    <col min="11028" max="11028" width="35" style="42" customWidth="1"/>
    <col min="11029" max="11046" width="12.140625" style="42"/>
    <col min="11047" max="11047" width="7.5703125" style="42" customWidth="1"/>
    <col min="11048" max="11048" width="35" style="42" customWidth="1"/>
    <col min="11049" max="11049" width="6.42578125" style="42" customWidth="1"/>
    <col min="11050" max="11050" width="11" style="42" customWidth="1"/>
    <col min="11051" max="11051" width="3" style="42" customWidth="1"/>
    <col min="11052" max="11264" width="12.140625" style="42"/>
    <col min="11265" max="11266" width="11.42578125" style="42" customWidth="1"/>
    <col min="11267" max="11267" width="46.42578125" style="42" customWidth="1"/>
    <col min="11268" max="11272" width="33" style="42" customWidth="1"/>
    <col min="11273" max="11283" width="12.140625" style="42"/>
    <col min="11284" max="11284" width="35" style="42" customWidth="1"/>
    <col min="11285" max="11302" width="12.140625" style="42"/>
    <col min="11303" max="11303" width="7.5703125" style="42" customWidth="1"/>
    <col min="11304" max="11304" width="35" style="42" customWidth="1"/>
    <col min="11305" max="11305" width="6.42578125" style="42" customWidth="1"/>
    <col min="11306" max="11306" width="11" style="42" customWidth="1"/>
    <col min="11307" max="11307" width="3" style="42" customWidth="1"/>
    <col min="11308" max="11520" width="12.140625" style="42"/>
    <col min="11521" max="11522" width="11.42578125" style="42" customWidth="1"/>
    <col min="11523" max="11523" width="46.42578125" style="42" customWidth="1"/>
    <col min="11524" max="11528" width="33" style="42" customWidth="1"/>
    <col min="11529" max="11539" width="12.140625" style="42"/>
    <col min="11540" max="11540" width="35" style="42" customWidth="1"/>
    <col min="11541" max="11558" width="12.140625" style="42"/>
    <col min="11559" max="11559" width="7.5703125" style="42" customWidth="1"/>
    <col min="11560" max="11560" width="35" style="42" customWidth="1"/>
    <col min="11561" max="11561" width="6.42578125" style="42" customWidth="1"/>
    <col min="11562" max="11562" width="11" style="42" customWidth="1"/>
    <col min="11563" max="11563" width="3" style="42" customWidth="1"/>
    <col min="11564" max="11776" width="12.140625" style="42"/>
    <col min="11777" max="11778" width="11.42578125" style="42" customWidth="1"/>
    <col min="11779" max="11779" width="46.42578125" style="42" customWidth="1"/>
    <col min="11780" max="11784" width="33" style="42" customWidth="1"/>
    <col min="11785" max="11795" width="12.140625" style="42"/>
    <col min="11796" max="11796" width="35" style="42" customWidth="1"/>
    <col min="11797" max="11814" width="12.140625" style="42"/>
    <col min="11815" max="11815" width="7.5703125" style="42" customWidth="1"/>
    <col min="11816" max="11816" width="35" style="42" customWidth="1"/>
    <col min="11817" max="11817" width="6.42578125" style="42" customWidth="1"/>
    <col min="11818" max="11818" width="11" style="42" customWidth="1"/>
    <col min="11819" max="11819" width="3" style="42" customWidth="1"/>
    <col min="11820" max="12032" width="12.140625" style="42"/>
    <col min="12033" max="12034" width="11.42578125" style="42" customWidth="1"/>
    <col min="12035" max="12035" width="46.42578125" style="42" customWidth="1"/>
    <col min="12036" max="12040" width="33" style="42" customWidth="1"/>
    <col min="12041" max="12051" width="12.140625" style="42"/>
    <col min="12052" max="12052" width="35" style="42" customWidth="1"/>
    <col min="12053" max="12070" width="12.140625" style="42"/>
    <col min="12071" max="12071" width="7.5703125" style="42" customWidth="1"/>
    <col min="12072" max="12072" width="35" style="42" customWidth="1"/>
    <col min="12073" max="12073" width="6.42578125" style="42" customWidth="1"/>
    <col min="12074" max="12074" width="11" style="42" customWidth="1"/>
    <col min="12075" max="12075" width="3" style="42" customWidth="1"/>
    <col min="12076" max="12288" width="12.140625" style="42"/>
    <col min="12289" max="12290" width="11.42578125" style="42" customWidth="1"/>
    <col min="12291" max="12291" width="46.42578125" style="42" customWidth="1"/>
    <col min="12292" max="12296" width="33" style="42" customWidth="1"/>
    <col min="12297" max="12307" width="12.140625" style="42"/>
    <col min="12308" max="12308" width="35" style="42" customWidth="1"/>
    <col min="12309" max="12326" width="12.140625" style="42"/>
    <col min="12327" max="12327" width="7.5703125" style="42" customWidth="1"/>
    <col min="12328" max="12328" width="35" style="42" customWidth="1"/>
    <col min="12329" max="12329" width="6.42578125" style="42" customWidth="1"/>
    <col min="12330" max="12330" width="11" style="42" customWidth="1"/>
    <col min="12331" max="12331" width="3" style="42" customWidth="1"/>
    <col min="12332" max="12544" width="12.140625" style="42"/>
    <col min="12545" max="12546" width="11.42578125" style="42" customWidth="1"/>
    <col min="12547" max="12547" width="46.42578125" style="42" customWidth="1"/>
    <col min="12548" max="12552" width="33" style="42" customWidth="1"/>
    <col min="12553" max="12563" width="12.140625" style="42"/>
    <col min="12564" max="12564" width="35" style="42" customWidth="1"/>
    <col min="12565" max="12582" width="12.140625" style="42"/>
    <col min="12583" max="12583" width="7.5703125" style="42" customWidth="1"/>
    <col min="12584" max="12584" width="35" style="42" customWidth="1"/>
    <col min="12585" max="12585" width="6.42578125" style="42" customWidth="1"/>
    <col min="12586" max="12586" width="11" style="42" customWidth="1"/>
    <col min="12587" max="12587" width="3" style="42" customWidth="1"/>
    <col min="12588" max="12800" width="12.140625" style="42"/>
    <col min="12801" max="12802" width="11.42578125" style="42" customWidth="1"/>
    <col min="12803" max="12803" width="46.42578125" style="42" customWidth="1"/>
    <col min="12804" max="12808" width="33" style="42" customWidth="1"/>
    <col min="12809" max="12819" width="12.140625" style="42"/>
    <col min="12820" max="12820" width="35" style="42" customWidth="1"/>
    <col min="12821" max="12838" width="12.140625" style="42"/>
    <col min="12839" max="12839" width="7.5703125" style="42" customWidth="1"/>
    <col min="12840" max="12840" width="35" style="42" customWidth="1"/>
    <col min="12841" max="12841" width="6.42578125" style="42" customWidth="1"/>
    <col min="12842" max="12842" width="11" style="42" customWidth="1"/>
    <col min="12843" max="12843" width="3" style="42" customWidth="1"/>
    <col min="12844" max="13056" width="12.140625" style="42"/>
    <col min="13057" max="13058" width="11.42578125" style="42" customWidth="1"/>
    <col min="13059" max="13059" width="46.42578125" style="42" customWidth="1"/>
    <col min="13060" max="13064" width="33" style="42" customWidth="1"/>
    <col min="13065" max="13075" width="12.140625" style="42"/>
    <col min="13076" max="13076" width="35" style="42" customWidth="1"/>
    <col min="13077" max="13094" width="12.140625" style="42"/>
    <col min="13095" max="13095" width="7.5703125" style="42" customWidth="1"/>
    <col min="13096" max="13096" width="35" style="42" customWidth="1"/>
    <col min="13097" max="13097" width="6.42578125" style="42" customWidth="1"/>
    <col min="13098" max="13098" width="11" style="42" customWidth="1"/>
    <col min="13099" max="13099" width="3" style="42" customWidth="1"/>
    <col min="13100" max="13312" width="12.140625" style="42"/>
    <col min="13313" max="13314" width="11.42578125" style="42" customWidth="1"/>
    <col min="13315" max="13315" width="46.42578125" style="42" customWidth="1"/>
    <col min="13316" max="13320" width="33" style="42" customWidth="1"/>
    <col min="13321" max="13331" width="12.140625" style="42"/>
    <col min="13332" max="13332" width="35" style="42" customWidth="1"/>
    <col min="13333" max="13350" width="12.140625" style="42"/>
    <col min="13351" max="13351" width="7.5703125" style="42" customWidth="1"/>
    <col min="13352" max="13352" width="35" style="42" customWidth="1"/>
    <col min="13353" max="13353" width="6.42578125" style="42" customWidth="1"/>
    <col min="13354" max="13354" width="11" style="42" customWidth="1"/>
    <col min="13355" max="13355" width="3" style="42" customWidth="1"/>
    <col min="13356" max="13568" width="12.140625" style="42"/>
    <col min="13569" max="13570" width="11.42578125" style="42" customWidth="1"/>
    <col min="13571" max="13571" width="46.42578125" style="42" customWidth="1"/>
    <col min="13572" max="13576" width="33" style="42" customWidth="1"/>
    <col min="13577" max="13587" width="12.140625" style="42"/>
    <col min="13588" max="13588" width="35" style="42" customWidth="1"/>
    <col min="13589" max="13606" width="12.140625" style="42"/>
    <col min="13607" max="13607" width="7.5703125" style="42" customWidth="1"/>
    <col min="13608" max="13608" width="35" style="42" customWidth="1"/>
    <col min="13609" max="13609" width="6.42578125" style="42" customWidth="1"/>
    <col min="13610" max="13610" width="11" style="42" customWidth="1"/>
    <col min="13611" max="13611" width="3" style="42" customWidth="1"/>
    <col min="13612" max="13824" width="12.140625" style="42"/>
    <col min="13825" max="13826" width="11.42578125" style="42" customWidth="1"/>
    <col min="13827" max="13827" width="46.42578125" style="42" customWidth="1"/>
    <col min="13828" max="13832" width="33" style="42" customWidth="1"/>
    <col min="13833" max="13843" width="12.140625" style="42"/>
    <col min="13844" max="13844" width="35" style="42" customWidth="1"/>
    <col min="13845" max="13862" width="12.140625" style="42"/>
    <col min="13863" max="13863" width="7.5703125" style="42" customWidth="1"/>
    <col min="13864" max="13864" width="35" style="42" customWidth="1"/>
    <col min="13865" max="13865" width="6.42578125" style="42" customWidth="1"/>
    <col min="13866" max="13866" width="11" style="42" customWidth="1"/>
    <col min="13867" max="13867" width="3" style="42" customWidth="1"/>
    <col min="13868" max="14080" width="12.140625" style="42"/>
    <col min="14081" max="14082" width="11.42578125" style="42" customWidth="1"/>
    <col min="14083" max="14083" width="46.42578125" style="42" customWidth="1"/>
    <col min="14084" max="14088" width="33" style="42" customWidth="1"/>
    <col min="14089" max="14099" width="12.140625" style="42"/>
    <col min="14100" max="14100" width="35" style="42" customWidth="1"/>
    <col min="14101" max="14118" width="12.140625" style="42"/>
    <col min="14119" max="14119" width="7.5703125" style="42" customWidth="1"/>
    <col min="14120" max="14120" width="35" style="42" customWidth="1"/>
    <col min="14121" max="14121" width="6.42578125" style="42" customWidth="1"/>
    <col min="14122" max="14122" width="11" style="42" customWidth="1"/>
    <col min="14123" max="14123" width="3" style="42" customWidth="1"/>
    <col min="14124" max="14336" width="12.140625" style="42"/>
    <col min="14337" max="14338" width="11.42578125" style="42" customWidth="1"/>
    <col min="14339" max="14339" width="46.42578125" style="42" customWidth="1"/>
    <col min="14340" max="14344" width="33" style="42" customWidth="1"/>
    <col min="14345" max="14355" width="12.140625" style="42"/>
    <col min="14356" max="14356" width="35" style="42" customWidth="1"/>
    <col min="14357" max="14374" width="12.140625" style="42"/>
    <col min="14375" max="14375" width="7.5703125" style="42" customWidth="1"/>
    <col min="14376" max="14376" width="35" style="42" customWidth="1"/>
    <col min="14377" max="14377" width="6.42578125" style="42" customWidth="1"/>
    <col min="14378" max="14378" width="11" style="42" customWidth="1"/>
    <col min="14379" max="14379" width="3" style="42" customWidth="1"/>
    <col min="14380" max="14592" width="12.140625" style="42"/>
    <col min="14593" max="14594" width="11.42578125" style="42" customWidth="1"/>
    <col min="14595" max="14595" width="46.42578125" style="42" customWidth="1"/>
    <col min="14596" max="14600" width="33" style="42" customWidth="1"/>
    <col min="14601" max="14611" width="12.140625" style="42"/>
    <col min="14612" max="14612" width="35" style="42" customWidth="1"/>
    <col min="14613" max="14630" width="12.140625" style="42"/>
    <col min="14631" max="14631" width="7.5703125" style="42" customWidth="1"/>
    <col min="14632" max="14632" width="35" style="42" customWidth="1"/>
    <col min="14633" max="14633" width="6.42578125" style="42" customWidth="1"/>
    <col min="14634" max="14634" width="11" style="42" customWidth="1"/>
    <col min="14635" max="14635" width="3" style="42" customWidth="1"/>
    <col min="14636" max="14848" width="12.140625" style="42"/>
    <col min="14849" max="14850" width="11.42578125" style="42" customWidth="1"/>
    <col min="14851" max="14851" width="46.42578125" style="42" customWidth="1"/>
    <col min="14852" max="14856" width="33" style="42" customWidth="1"/>
    <col min="14857" max="14867" width="12.140625" style="42"/>
    <col min="14868" max="14868" width="35" style="42" customWidth="1"/>
    <col min="14869" max="14886" width="12.140625" style="42"/>
    <col min="14887" max="14887" width="7.5703125" style="42" customWidth="1"/>
    <col min="14888" max="14888" width="35" style="42" customWidth="1"/>
    <col min="14889" max="14889" width="6.42578125" style="42" customWidth="1"/>
    <col min="14890" max="14890" width="11" style="42" customWidth="1"/>
    <col min="14891" max="14891" width="3" style="42" customWidth="1"/>
    <col min="14892" max="15104" width="12.140625" style="42"/>
    <col min="15105" max="15106" width="11.42578125" style="42" customWidth="1"/>
    <col min="15107" max="15107" width="46.42578125" style="42" customWidth="1"/>
    <col min="15108" max="15112" width="33" style="42" customWidth="1"/>
    <col min="15113" max="15123" width="12.140625" style="42"/>
    <col min="15124" max="15124" width="35" style="42" customWidth="1"/>
    <col min="15125" max="15142" width="12.140625" style="42"/>
    <col min="15143" max="15143" width="7.5703125" style="42" customWidth="1"/>
    <col min="15144" max="15144" width="35" style="42" customWidth="1"/>
    <col min="15145" max="15145" width="6.42578125" style="42" customWidth="1"/>
    <col min="15146" max="15146" width="11" style="42" customWidth="1"/>
    <col min="15147" max="15147" width="3" style="42" customWidth="1"/>
    <col min="15148" max="15360" width="12.140625" style="42"/>
    <col min="15361" max="15362" width="11.42578125" style="42" customWidth="1"/>
    <col min="15363" max="15363" width="46.42578125" style="42" customWidth="1"/>
    <col min="15364" max="15368" width="33" style="42" customWidth="1"/>
    <col min="15369" max="15379" width="12.140625" style="42"/>
    <col min="15380" max="15380" width="35" style="42" customWidth="1"/>
    <col min="15381" max="15398" width="12.140625" style="42"/>
    <col min="15399" max="15399" width="7.5703125" style="42" customWidth="1"/>
    <col min="15400" max="15400" width="35" style="42" customWidth="1"/>
    <col min="15401" max="15401" width="6.42578125" style="42" customWidth="1"/>
    <col min="15402" max="15402" width="11" style="42" customWidth="1"/>
    <col min="15403" max="15403" width="3" style="42" customWidth="1"/>
    <col min="15404" max="15616" width="12.140625" style="42"/>
    <col min="15617" max="15618" width="11.42578125" style="42" customWidth="1"/>
    <col min="15619" max="15619" width="46.42578125" style="42" customWidth="1"/>
    <col min="15620" max="15624" width="33" style="42" customWidth="1"/>
    <col min="15625" max="15635" width="12.140625" style="42"/>
    <col min="15636" max="15636" width="35" style="42" customWidth="1"/>
    <col min="15637" max="15654" width="12.140625" style="42"/>
    <col min="15655" max="15655" width="7.5703125" style="42" customWidth="1"/>
    <col min="15656" max="15656" width="35" style="42" customWidth="1"/>
    <col min="15657" max="15657" width="6.42578125" style="42" customWidth="1"/>
    <col min="15658" max="15658" width="11" style="42" customWidth="1"/>
    <col min="15659" max="15659" width="3" style="42" customWidth="1"/>
    <col min="15660" max="15872" width="12.140625" style="42"/>
    <col min="15873" max="15874" width="11.42578125" style="42" customWidth="1"/>
    <col min="15875" max="15875" width="46.42578125" style="42" customWidth="1"/>
    <col min="15876" max="15880" width="33" style="42" customWidth="1"/>
    <col min="15881" max="15891" width="12.140625" style="42"/>
    <col min="15892" max="15892" width="35" style="42" customWidth="1"/>
    <col min="15893" max="15910" width="12.140625" style="42"/>
    <col min="15911" max="15911" width="7.5703125" style="42" customWidth="1"/>
    <col min="15912" max="15912" width="35" style="42" customWidth="1"/>
    <col min="15913" max="15913" width="6.42578125" style="42" customWidth="1"/>
    <col min="15914" max="15914" width="11" style="42" customWidth="1"/>
    <col min="15915" max="15915" width="3" style="42" customWidth="1"/>
    <col min="15916" max="16128" width="12.140625" style="42"/>
    <col min="16129" max="16130" width="11.42578125" style="42" customWidth="1"/>
    <col min="16131" max="16131" width="46.42578125" style="42" customWidth="1"/>
    <col min="16132" max="16136" width="33" style="42" customWidth="1"/>
    <col min="16137" max="16147" width="12.140625" style="42"/>
    <col min="16148" max="16148" width="35" style="42" customWidth="1"/>
    <col min="16149" max="16166" width="12.140625" style="42"/>
    <col min="16167" max="16167" width="7.5703125" style="42" customWidth="1"/>
    <col min="16168" max="16168" width="35" style="42" customWidth="1"/>
    <col min="16169" max="16169" width="6.42578125" style="42" customWidth="1"/>
    <col min="16170" max="16170" width="11" style="42" customWidth="1"/>
    <col min="16171" max="16171" width="3" style="42" customWidth="1"/>
    <col min="16172" max="16384" width="12.140625" style="42"/>
  </cols>
  <sheetData>
    <row r="1" spans="1:9">
      <c r="A1" s="41" t="s">
        <v>0</v>
      </c>
      <c r="B1" s="42" t="s">
        <v>1</v>
      </c>
      <c r="D1" s="43" t="s">
        <v>85</v>
      </c>
      <c r="E1" s="44"/>
      <c r="G1" s="41" t="s">
        <v>86</v>
      </c>
    </row>
    <row r="2" spans="1:9" ht="15.75" thickBot="1">
      <c r="A2" s="45"/>
      <c r="B2" s="46"/>
      <c r="C2" s="46"/>
      <c r="D2" s="46"/>
      <c r="E2" s="46"/>
      <c r="F2" s="46"/>
      <c r="G2" s="45"/>
      <c r="H2" s="46"/>
    </row>
    <row r="3" spans="1:9">
      <c r="A3" s="47"/>
      <c r="B3" s="48"/>
      <c r="C3" s="48"/>
      <c r="D3" s="48"/>
      <c r="E3" s="48"/>
      <c r="F3" s="48"/>
      <c r="G3" s="47"/>
      <c r="H3" s="48"/>
    </row>
    <row r="4" spans="1:9">
      <c r="A4" s="41" t="s">
        <v>5</v>
      </c>
      <c r="D4" s="49" t="s">
        <v>81</v>
      </c>
      <c r="E4" s="3" t="s">
        <v>87</v>
      </c>
      <c r="G4" s="3" t="s">
        <v>8</v>
      </c>
    </row>
    <row r="5" spans="1:9">
      <c r="E5" s="51" t="s">
        <v>88</v>
      </c>
      <c r="G5" s="3" t="s">
        <v>89</v>
      </c>
    </row>
    <row r="6" spans="1:9">
      <c r="A6" s="41" t="s">
        <v>11</v>
      </c>
      <c r="B6" s="11" t="str">
        <f>'[1]G1-1'!B6</f>
        <v>Florida Public Utilities Company Consolidated Gas</v>
      </c>
      <c r="C6" s="41"/>
      <c r="G6" s="3" t="s">
        <v>90</v>
      </c>
    </row>
    <row r="7" spans="1:9">
      <c r="B7" s="11"/>
    </row>
    <row r="8" spans="1:9">
      <c r="A8" s="41" t="s">
        <v>13</v>
      </c>
      <c r="B8" s="11">
        <f>'[1]G1-1'!B8</f>
        <v>0</v>
      </c>
      <c r="C8" s="35" t="s">
        <v>137</v>
      </c>
    </row>
    <row r="9" spans="1:9" ht="15.75" thickBot="1">
      <c r="A9" s="45"/>
      <c r="B9" s="46"/>
      <c r="C9" s="46"/>
      <c r="D9" s="46"/>
      <c r="E9" s="46"/>
      <c r="F9" s="46"/>
      <c r="G9" s="45"/>
      <c r="H9" s="46"/>
    </row>
    <row r="10" spans="1:9">
      <c r="E10" s="52"/>
    </row>
    <row r="11" spans="1:9">
      <c r="D11" s="53" t="s">
        <v>91</v>
      </c>
      <c r="F11" s="53" t="s">
        <v>92</v>
      </c>
      <c r="G11" s="53" t="s">
        <v>93</v>
      </c>
      <c r="H11" s="53" t="s">
        <v>94</v>
      </c>
    </row>
    <row r="12" spans="1:9">
      <c r="A12" s="41" t="s">
        <v>15</v>
      </c>
      <c r="B12" s="44" t="s">
        <v>95</v>
      </c>
      <c r="C12" s="53" t="s">
        <v>96</v>
      </c>
      <c r="D12" s="53" t="s">
        <v>97</v>
      </c>
      <c r="E12" s="53" t="s">
        <v>98</v>
      </c>
      <c r="F12" s="53" t="s">
        <v>99</v>
      </c>
      <c r="G12" s="53" t="s">
        <v>100</v>
      </c>
      <c r="H12" s="53" t="s">
        <v>100</v>
      </c>
    </row>
    <row r="13" spans="1:9">
      <c r="A13" s="47" t="s">
        <v>17</v>
      </c>
      <c r="B13" s="15" t="s">
        <v>17</v>
      </c>
      <c r="C13" s="54" t="s">
        <v>101</v>
      </c>
      <c r="D13" s="55" t="s">
        <v>162</v>
      </c>
      <c r="E13" s="54" t="s">
        <v>103</v>
      </c>
      <c r="F13" s="55" t="s">
        <v>162</v>
      </c>
      <c r="G13" s="54" t="s">
        <v>99</v>
      </c>
      <c r="H13" s="54" t="s">
        <v>99</v>
      </c>
    </row>
    <row r="14" spans="1:9" ht="15.75" thickBot="1">
      <c r="A14" s="45"/>
      <c r="B14" s="56"/>
      <c r="C14" s="57"/>
      <c r="D14" s="58"/>
      <c r="E14" s="57"/>
      <c r="F14" s="58"/>
      <c r="G14" s="57"/>
      <c r="H14" s="57"/>
    </row>
    <row r="15" spans="1:9">
      <c r="A15" s="41"/>
      <c r="B15" s="41"/>
      <c r="C15" s="41"/>
      <c r="D15" s="44"/>
      <c r="E15" s="44"/>
      <c r="F15" s="49"/>
      <c r="G15" s="44"/>
      <c r="H15" s="44"/>
      <c r="I15" s="27"/>
    </row>
    <row r="16" spans="1:9">
      <c r="A16" s="59">
        <v>1</v>
      </c>
      <c r="B16" s="18">
        <v>305</v>
      </c>
      <c r="C16" s="19" t="s">
        <v>25</v>
      </c>
      <c r="D16" s="60" t="s">
        <v>163</v>
      </c>
      <c r="E16" s="61">
        <v>43375</v>
      </c>
      <c r="F16" s="60" t="s">
        <v>163</v>
      </c>
      <c r="G16" s="61">
        <v>0</v>
      </c>
      <c r="H16" s="61">
        <v>0</v>
      </c>
      <c r="I16" s="27"/>
    </row>
    <row r="17" spans="1:10">
      <c r="A17" s="59"/>
      <c r="B17" s="18" t="s">
        <v>26</v>
      </c>
      <c r="C17" s="19" t="s">
        <v>27</v>
      </c>
      <c r="D17" s="60" t="s">
        <v>163</v>
      </c>
      <c r="E17" s="62">
        <v>0</v>
      </c>
      <c r="F17" s="60" t="s">
        <v>163</v>
      </c>
      <c r="G17" s="62">
        <v>0</v>
      </c>
      <c r="H17" s="62">
        <v>0</v>
      </c>
      <c r="I17" s="27"/>
    </row>
    <row r="18" spans="1:10">
      <c r="A18" s="59">
        <f>+A16+1</f>
        <v>2</v>
      </c>
      <c r="B18" s="18" t="s">
        <v>28</v>
      </c>
      <c r="C18" s="19" t="s">
        <v>25</v>
      </c>
      <c r="D18" s="60" t="s">
        <v>163</v>
      </c>
      <c r="E18" s="62">
        <v>0</v>
      </c>
      <c r="F18" s="60" t="s">
        <v>163</v>
      </c>
      <c r="G18" s="62">
        <v>0</v>
      </c>
      <c r="H18" s="62">
        <v>0</v>
      </c>
      <c r="I18" s="27"/>
    </row>
    <row r="19" spans="1:10">
      <c r="A19" s="59">
        <f>+A18+1</f>
        <v>3</v>
      </c>
      <c r="B19" s="24">
        <v>3761</v>
      </c>
      <c r="C19" s="25" t="s">
        <v>29</v>
      </c>
      <c r="D19" s="60" t="s">
        <v>163</v>
      </c>
      <c r="E19" s="62">
        <v>9729620</v>
      </c>
      <c r="F19" s="60" t="s">
        <v>163</v>
      </c>
      <c r="G19" s="62">
        <f>'2022 plant retirements'!P21</f>
        <v>840888</v>
      </c>
      <c r="H19" s="62">
        <f>'2022 Cost of Removal'!P21</f>
        <v>216465</v>
      </c>
      <c r="I19" s="27"/>
    </row>
    <row r="20" spans="1:10">
      <c r="A20" s="59">
        <f t="shared" ref="A20:A50" si="0">+A19+1</f>
        <v>4</v>
      </c>
      <c r="B20" s="24">
        <v>3762</v>
      </c>
      <c r="C20" s="25" t="s">
        <v>30</v>
      </c>
      <c r="D20" s="60" t="s">
        <v>163</v>
      </c>
      <c r="E20" s="62">
        <v>174444</v>
      </c>
      <c r="F20" s="60" t="s">
        <v>163</v>
      </c>
      <c r="G20" s="62">
        <f>'2022 plant retirements'!P22</f>
        <v>560383</v>
      </c>
      <c r="H20" s="62">
        <f>'2022 Cost of Removal'!P22</f>
        <v>221884</v>
      </c>
      <c r="I20" s="27"/>
    </row>
    <row r="21" spans="1:10">
      <c r="A21" s="59">
        <f t="shared" si="0"/>
        <v>5</v>
      </c>
      <c r="B21" s="24" t="s">
        <v>31</v>
      </c>
      <c r="C21" s="25" t="s">
        <v>32</v>
      </c>
      <c r="D21" s="60" t="s">
        <v>163</v>
      </c>
      <c r="E21" s="62">
        <v>5373896</v>
      </c>
      <c r="F21" s="60" t="s">
        <v>163</v>
      </c>
      <c r="G21" s="62">
        <f>'2022 plant retirements'!P23</f>
        <v>0</v>
      </c>
      <c r="H21" s="62">
        <f>'2022 Cost of Removal'!P23</f>
        <v>0</v>
      </c>
      <c r="I21" s="27"/>
      <c r="J21" s="63"/>
    </row>
    <row r="22" spans="1:10">
      <c r="A22" s="59">
        <f t="shared" si="0"/>
        <v>6</v>
      </c>
      <c r="B22" s="18" t="s">
        <v>33</v>
      </c>
      <c r="C22" s="19" t="s">
        <v>34</v>
      </c>
      <c r="D22" s="60" t="s">
        <v>163</v>
      </c>
      <c r="E22" s="62">
        <v>1093250</v>
      </c>
      <c r="F22" s="60" t="s">
        <v>163</v>
      </c>
      <c r="G22" s="62">
        <v>0</v>
      </c>
      <c r="H22" s="62">
        <f>'2022 Cost of Removal'!P24</f>
        <v>0</v>
      </c>
      <c r="I22" s="64"/>
      <c r="J22" s="63"/>
    </row>
    <row r="23" spans="1:10">
      <c r="A23" s="59">
        <f t="shared" si="0"/>
        <v>7</v>
      </c>
      <c r="B23" s="18" t="s">
        <v>35</v>
      </c>
      <c r="C23" s="19" t="s">
        <v>36</v>
      </c>
      <c r="D23" s="60" t="s">
        <v>163</v>
      </c>
      <c r="E23" s="62">
        <v>0</v>
      </c>
      <c r="F23" s="60" t="s">
        <v>163</v>
      </c>
      <c r="G23" s="62">
        <v>0</v>
      </c>
      <c r="H23" s="62">
        <f>'2022 Cost of Removal'!P25</f>
        <v>0</v>
      </c>
      <c r="I23" s="27"/>
      <c r="J23" s="63"/>
    </row>
    <row r="24" spans="1:10">
      <c r="A24" s="59">
        <f t="shared" si="0"/>
        <v>8</v>
      </c>
      <c r="B24" s="18">
        <v>3801</v>
      </c>
      <c r="C24" s="19" t="s">
        <v>37</v>
      </c>
      <c r="D24" s="60" t="s">
        <v>163</v>
      </c>
      <c r="E24" s="62">
        <v>2771688.1629989445</v>
      </c>
      <c r="F24" s="60" t="s">
        <v>163</v>
      </c>
      <c r="G24" s="62">
        <f>'2022 plant retirements'!P26</f>
        <v>300377</v>
      </c>
      <c r="H24" s="62">
        <f>'2022 Cost of Removal'!P26</f>
        <v>199563</v>
      </c>
      <c r="I24" s="64"/>
      <c r="J24" s="63"/>
    </row>
    <row r="25" spans="1:10">
      <c r="A25" s="59">
        <f t="shared" si="0"/>
        <v>9</v>
      </c>
      <c r="B25" s="18">
        <v>3802</v>
      </c>
      <c r="C25" s="19" t="s">
        <v>38</v>
      </c>
      <c r="D25" s="60" t="s">
        <v>163</v>
      </c>
      <c r="E25" s="62">
        <v>0</v>
      </c>
      <c r="F25" s="60" t="s">
        <v>163</v>
      </c>
      <c r="G25" s="62">
        <f>'2022 plant retirements'!P27</f>
        <v>445488</v>
      </c>
      <c r="H25" s="62">
        <f>'2022 Cost of Removal'!P27</f>
        <v>295969</v>
      </c>
      <c r="I25" s="27"/>
      <c r="J25" s="63"/>
    </row>
    <row r="26" spans="1:10">
      <c r="A26" s="59">
        <f t="shared" si="0"/>
        <v>10</v>
      </c>
      <c r="B26" s="18" t="s">
        <v>39</v>
      </c>
      <c r="C26" s="19" t="s">
        <v>40</v>
      </c>
      <c r="D26" s="60" t="s">
        <v>163</v>
      </c>
      <c r="E26" s="62">
        <v>4110685</v>
      </c>
      <c r="F26" s="60" t="s">
        <v>163</v>
      </c>
      <c r="G26" s="62">
        <v>0</v>
      </c>
      <c r="H26" s="62">
        <f>'2022 Cost of Removal'!P28</f>
        <v>0</v>
      </c>
      <c r="I26" s="27"/>
      <c r="J26" s="63"/>
    </row>
    <row r="27" spans="1:10">
      <c r="A27" s="59">
        <f t="shared" si="0"/>
        <v>11</v>
      </c>
      <c r="B27" s="18" t="s">
        <v>41</v>
      </c>
      <c r="C27" s="19" t="s">
        <v>42</v>
      </c>
      <c r="D27" s="60" t="s">
        <v>163</v>
      </c>
      <c r="E27" s="62">
        <v>802040.35898668854</v>
      </c>
      <c r="F27" s="60" t="s">
        <v>163</v>
      </c>
      <c r="G27" s="62">
        <f>'2022 plant retirements'!P29</f>
        <v>87313</v>
      </c>
      <c r="H27" s="62">
        <f>'2022 Cost of Removal'!P29</f>
        <v>30477</v>
      </c>
      <c r="I27" s="27"/>
      <c r="J27" s="63"/>
    </row>
    <row r="28" spans="1:10">
      <c r="A28" s="59">
        <f t="shared" si="0"/>
        <v>12</v>
      </c>
      <c r="B28" s="18">
        <v>3811</v>
      </c>
      <c r="C28" s="19" t="s">
        <v>43</v>
      </c>
      <c r="D28" s="60" t="s">
        <v>163</v>
      </c>
      <c r="E28" s="118">
        <v>0</v>
      </c>
      <c r="F28" s="60" t="s">
        <v>163</v>
      </c>
      <c r="G28" s="62">
        <v>0</v>
      </c>
      <c r="H28" s="62">
        <f>'2022 Cost of Removal'!P30</f>
        <v>0</v>
      </c>
      <c r="I28" s="64"/>
      <c r="J28" s="63"/>
    </row>
    <row r="29" spans="1:10">
      <c r="A29" s="59">
        <f t="shared" si="0"/>
        <v>13</v>
      </c>
      <c r="B29" s="18" t="s">
        <v>44</v>
      </c>
      <c r="C29" s="19" t="s">
        <v>45</v>
      </c>
      <c r="D29" s="60" t="s">
        <v>163</v>
      </c>
      <c r="E29" s="62">
        <v>199507.43202559926</v>
      </c>
      <c r="F29" s="60" t="s">
        <v>163</v>
      </c>
      <c r="G29" s="62">
        <v>0</v>
      </c>
      <c r="H29" s="62">
        <f>'2022 Cost of Removal'!P31</f>
        <v>0</v>
      </c>
      <c r="I29" s="27"/>
      <c r="J29" s="63"/>
    </row>
    <row r="30" spans="1:10">
      <c r="A30" s="59">
        <f t="shared" si="0"/>
        <v>14</v>
      </c>
      <c r="B30" s="18">
        <v>3821</v>
      </c>
      <c r="C30" s="25" t="s">
        <v>46</v>
      </c>
      <c r="D30" s="60" t="s">
        <v>163</v>
      </c>
      <c r="E30" s="62">
        <v>0</v>
      </c>
      <c r="F30" s="60" t="s">
        <v>163</v>
      </c>
      <c r="G30" s="62">
        <v>0</v>
      </c>
      <c r="H30" s="62">
        <f>'2022 Cost of Removal'!P32</f>
        <v>0</v>
      </c>
      <c r="I30" s="27"/>
      <c r="J30" s="63"/>
    </row>
    <row r="31" spans="1:10">
      <c r="A31" s="59">
        <f t="shared" si="0"/>
        <v>15</v>
      </c>
      <c r="B31" s="18" t="s">
        <v>47</v>
      </c>
      <c r="C31" s="19" t="s">
        <v>48</v>
      </c>
      <c r="D31" s="60" t="s">
        <v>163</v>
      </c>
      <c r="E31" s="62">
        <v>136637.88800739837</v>
      </c>
      <c r="F31" s="60" t="s">
        <v>163</v>
      </c>
      <c r="G31" s="62">
        <f>'2022 plant retirements'!P33</f>
        <v>3271</v>
      </c>
      <c r="H31" s="62">
        <f>'2022 Cost of Removal'!P33</f>
        <v>682</v>
      </c>
      <c r="I31" s="27"/>
      <c r="J31" s="63"/>
    </row>
    <row r="32" spans="1:10">
      <c r="A32" s="59">
        <f t="shared" si="0"/>
        <v>16</v>
      </c>
      <c r="B32" s="18" t="s">
        <v>49</v>
      </c>
      <c r="C32" s="19" t="s">
        <v>50</v>
      </c>
      <c r="D32" s="60" t="s">
        <v>163</v>
      </c>
      <c r="E32" s="62">
        <v>22167.492447271921</v>
      </c>
      <c r="F32" s="60" t="s">
        <v>163</v>
      </c>
      <c r="G32" s="62">
        <v>0</v>
      </c>
      <c r="H32" s="62">
        <f>'2022 Cost of Removal'!P34</f>
        <v>0</v>
      </c>
      <c r="I32" s="27"/>
      <c r="J32" s="63"/>
    </row>
    <row r="33" spans="1:10">
      <c r="A33" s="59">
        <f t="shared" si="0"/>
        <v>17</v>
      </c>
      <c r="B33" s="18" t="s">
        <v>51</v>
      </c>
      <c r="C33" s="19" t="s">
        <v>52</v>
      </c>
      <c r="D33" s="60" t="s">
        <v>163</v>
      </c>
      <c r="E33" s="62">
        <v>690125</v>
      </c>
      <c r="F33" s="60" t="s">
        <v>163</v>
      </c>
      <c r="G33" s="62">
        <f>'2022 plant retirements'!P35</f>
        <v>45547</v>
      </c>
      <c r="H33" s="62">
        <f>'2022 Cost of Removal'!P35</f>
        <v>6901</v>
      </c>
      <c r="I33" s="27"/>
      <c r="J33" s="63"/>
    </row>
    <row r="34" spans="1:10">
      <c r="A34" s="59">
        <f t="shared" si="0"/>
        <v>18</v>
      </c>
      <c r="B34" s="18" t="s">
        <v>53</v>
      </c>
      <c r="C34" s="19" t="s">
        <v>54</v>
      </c>
      <c r="D34" s="60" t="s">
        <v>163</v>
      </c>
      <c r="E34" s="62">
        <v>574600</v>
      </c>
      <c r="F34" s="60" t="s">
        <v>163</v>
      </c>
      <c r="G34" s="62">
        <v>0</v>
      </c>
      <c r="H34" s="62">
        <f>'2022 Cost of Removal'!P36</f>
        <v>0</v>
      </c>
      <c r="I34" s="27"/>
      <c r="J34" s="63"/>
    </row>
    <row r="35" spans="1:10">
      <c r="A35" s="59">
        <f t="shared" si="0"/>
        <v>19</v>
      </c>
      <c r="B35" s="18" t="s">
        <v>55</v>
      </c>
      <c r="C35" s="19" t="s">
        <v>27</v>
      </c>
      <c r="D35" s="60" t="s">
        <v>163</v>
      </c>
      <c r="E35" s="62">
        <v>460000</v>
      </c>
      <c r="F35" s="60" t="s">
        <v>163</v>
      </c>
      <c r="G35" s="62">
        <v>0</v>
      </c>
      <c r="H35" s="62">
        <f>'2022 Cost of Removal'!P37</f>
        <v>0</v>
      </c>
      <c r="I35" s="27"/>
      <c r="J35" s="63"/>
    </row>
    <row r="36" spans="1:10">
      <c r="A36" s="59">
        <f t="shared" si="0"/>
        <v>20</v>
      </c>
      <c r="B36" s="18" t="s">
        <v>56</v>
      </c>
      <c r="C36" s="19" t="s">
        <v>25</v>
      </c>
      <c r="D36" s="60" t="s">
        <v>163</v>
      </c>
      <c r="E36" s="62">
        <v>2106788.4500000002</v>
      </c>
      <c r="F36" s="60" t="s">
        <v>163</v>
      </c>
      <c r="G36" s="62">
        <v>0</v>
      </c>
      <c r="H36" s="62">
        <f>'2022 Cost of Removal'!P38</f>
        <v>0</v>
      </c>
      <c r="I36" s="65"/>
      <c r="J36" s="63"/>
    </row>
    <row r="37" spans="1:10">
      <c r="A37" s="59">
        <f t="shared" si="0"/>
        <v>21</v>
      </c>
      <c r="B37" s="18">
        <v>3910</v>
      </c>
      <c r="C37" s="19" t="s">
        <v>57</v>
      </c>
      <c r="D37" s="60" t="s">
        <v>163</v>
      </c>
      <c r="E37" s="62">
        <v>1098376</v>
      </c>
      <c r="F37" s="60" t="s">
        <v>163</v>
      </c>
      <c r="G37" s="62">
        <f>'2022 plant retirements'!P39</f>
        <v>4053.5</v>
      </c>
      <c r="H37" s="62">
        <f>'2022 Cost of Removal'!P39</f>
        <v>0</v>
      </c>
      <c r="I37" s="36"/>
      <c r="J37" s="63"/>
    </row>
    <row r="38" spans="1:10">
      <c r="A38" s="59">
        <f t="shared" si="0"/>
        <v>22</v>
      </c>
      <c r="B38" s="18">
        <v>3911</v>
      </c>
      <c r="C38" s="19" t="s">
        <v>58</v>
      </c>
      <c r="D38" s="60" t="s">
        <v>163</v>
      </c>
      <c r="E38" s="62">
        <v>0</v>
      </c>
      <c r="F38" s="60" t="s">
        <v>163</v>
      </c>
      <c r="G38" s="62">
        <v>0</v>
      </c>
      <c r="H38" s="62">
        <f>'2022 Cost of Removal'!P40</f>
        <v>0</v>
      </c>
      <c r="I38" s="66"/>
      <c r="J38" s="63"/>
    </row>
    <row r="39" spans="1:10">
      <c r="A39" s="59">
        <f t="shared" si="0"/>
        <v>23</v>
      </c>
      <c r="B39" s="18">
        <v>3912</v>
      </c>
      <c r="C39" s="19" t="s">
        <v>59</v>
      </c>
      <c r="D39" s="60" t="s">
        <v>163</v>
      </c>
      <c r="E39" s="62">
        <v>0</v>
      </c>
      <c r="F39" s="60" t="s">
        <v>163</v>
      </c>
      <c r="G39" s="62">
        <f>'2022 plant retirements'!P41</f>
        <v>1165.8699999999999</v>
      </c>
      <c r="H39" s="62">
        <f>'2022 Cost of Removal'!P41</f>
        <v>0</v>
      </c>
      <c r="I39" s="36"/>
      <c r="J39" s="63"/>
    </row>
    <row r="40" spans="1:10">
      <c r="A40" s="59">
        <f t="shared" si="0"/>
        <v>24</v>
      </c>
      <c r="B40" s="18">
        <v>3913</v>
      </c>
      <c r="C40" s="19" t="s">
        <v>60</v>
      </c>
      <c r="D40" s="60" t="s">
        <v>163</v>
      </c>
      <c r="E40" s="62">
        <v>100000</v>
      </c>
      <c r="F40" s="60" t="s">
        <v>163</v>
      </c>
      <c r="G40" s="62">
        <f>'2022 plant retirements'!P42</f>
        <v>44972.310000000005</v>
      </c>
      <c r="H40" s="62">
        <f>'2022 Cost of Removal'!P42</f>
        <v>0</v>
      </c>
      <c r="I40" s="14"/>
      <c r="J40" s="63"/>
    </row>
    <row r="41" spans="1:10">
      <c r="A41" s="59">
        <f t="shared" si="0"/>
        <v>25</v>
      </c>
      <c r="B41" s="18">
        <v>3914</v>
      </c>
      <c r="C41" s="19" t="s">
        <v>61</v>
      </c>
      <c r="D41" s="60" t="s">
        <v>163</v>
      </c>
      <c r="E41" s="62">
        <v>86500</v>
      </c>
      <c r="F41" s="60" t="s">
        <v>163</v>
      </c>
      <c r="G41" s="62">
        <f>'2022 plant retirements'!P43</f>
        <v>0</v>
      </c>
      <c r="H41" s="62">
        <f>'2022 Cost of Removal'!P43</f>
        <v>0</v>
      </c>
      <c r="I41" s="36"/>
      <c r="J41" s="63"/>
    </row>
    <row r="42" spans="1:10">
      <c r="A42" s="59">
        <f t="shared" si="0"/>
        <v>26</v>
      </c>
      <c r="B42" s="18">
        <v>392</v>
      </c>
      <c r="C42" s="25" t="s">
        <v>62</v>
      </c>
      <c r="D42" s="60" t="s">
        <v>163</v>
      </c>
      <c r="E42" s="62">
        <v>0</v>
      </c>
      <c r="F42" s="60" t="s">
        <v>163</v>
      </c>
      <c r="G42" s="62">
        <v>0</v>
      </c>
      <c r="H42" s="62">
        <f>'2022 Cost of Removal'!P44</f>
        <v>0</v>
      </c>
      <c r="I42" s="27"/>
      <c r="J42" s="63"/>
    </row>
    <row r="43" spans="1:10">
      <c r="A43" s="59">
        <f t="shared" si="0"/>
        <v>27</v>
      </c>
      <c r="B43" s="18">
        <v>3921</v>
      </c>
      <c r="C43" s="19" t="s">
        <v>63</v>
      </c>
      <c r="D43" s="60" t="s">
        <v>163</v>
      </c>
      <c r="E43" s="62">
        <v>215000</v>
      </c>
      <c r="F43" s="60" t="s">
        <v>163</v>
      </c>
      <c r="G43" s="62">
        <f>'2022 plant retirements'!P45</f>
        <v>58922</v>
      </c>
      <c r="H43" s="62">
        <f>'2022 Cost of Removal'!P45</f>
        <v>0</v>
      </c>
      <c r="I43" s="27"/>
      <c r="J43" s="63"/>
    </row>
    <row r="44" spans="1:10">
      <c r="A44" s="59">
        <f t="shared" si="0"/>
        <v>28</v>
      </c>
      <c r="B44" s="18">
        <v>3922</v>
      </c>
      <c r="C44" s="19" t="s">
        <v>64</v>
      </c>
      <c r="D44" s="60" t="s">
        <v>163</v>
      </c>
      <c r="E44" s="62">
        <v>590404</v>
      </c>
      <c r="F44" s="60" t="s">
        <v>163</v>
      </c>
      <c r="G44" s="62">
        <f>'2022 plant retirements'!P46</f>
        <v>223102</v>
      </c>
      <c r="H44" s="62">
        <f>'2022 Cost of Removal'!P46</f>
        <v>0</v>
      </c>
      <c r="I44" s="27"/>
      <c r="J44" s="63"/>
    </row>
    <row r="45" spans="1:10">
      <c r="A45" s="59">
        <f t="shared" si="0"/>
        <v>29</v>
      </c>
      <c r="B45" s="18">
        <v>3924</v>
      </c>
      <c r="C45" s="25" t="s">
        <v>65</v>
      </c>
      <c r="D45" s="60" t="s">
        <v>163</v>
      </c>
      <c r="E45" s="62">
        <v>0</v>
      </c>
      <c r="F45" s="60" t="s">
        <v>163</v>
      </c>
      <c r="G45" s="62">
        <v>0</v>
      </c>
      <c r="H45" s="62">
        <f>'2022 Cost of Removal'!P47</f>
        <v>0</v>
      </c>
      <c r="I45" s="27"/>
      <c r="J45" s="63"/>
    </row>
    <row r="46" spans="1:10">
      <c r="A46" s="59">
        <f t="shared" si="0"/>
        <v>30</v>
      </c>
      <c r="B46" s="18" t="s">
        <v>66</v>
      </c>
      <c r="C46" s="19" t="s">
        <v>67</v>
      </c>
      <c r="D46" s="60" t="s">
        <v>163</v>
      </c>
      <c r="E46" s="62">
        <v>0</v>
      </c>
      <c r="F46" s="60" t="s">
        <v>163</v>
      </c>
      <c r="G46" s="62">
        <f>'2022 plant retirements'!P48</f>
        <v>524.39</v>
      </c>
      <c r="H46" s="62">
        <f>'2022 Cost of Removal'!P48</f>
        <v>0</v>
      </c>
      <c r="I46" s="27"/>
      <c r="J46" s="63"/>
    </row>
    <row r="47" spans="1:10">
      <c r="A47" s="59">
        <f t="shared" si="0"/>
        <v>31</v>
      </c>
      <c r="B47" s="18" t="s">
        <v>68</v>
      </c>
      <c r="C47" s="19" t="s">
        <v>69</v>
      </c>
      <c r="D47" s="60" t="s">
        <v>163</v>
      </c>
      <c r="E47" s="62">
        <v>235503</v>
      </c>
      <c r="F47" s="60" t="s">
        <v>163</v>
      </c>
      <c r="G47" s="62">
        <f>'2022 plant retirements'!P49</f>
        <v>27049.090000000011</v>
      </c>
      <c r="H47" s="62">
        <f>'2022 Cost of Removal'!P49</f>
        <v>0</v>
      </c>
      <c r="I47" s="27"/>
      <c r="J47" s="63"/>
    </row>
    <row r="48" spans="1:10">
      <c r="A48" s="59">
        <f t="shared" si="0"/>
        <v>32</v>
      </c>
      <c r="B48" s="18" t="s">
        <v>70</v>
      </c>
      <c r="C48" s="19" t="s">
        <v>71</v>
      </c>
      <c r="D48" s="60" t="s">
        <v>163</v>
      </c>
      <c r="E48" s="62">
        <v>87195</v>
      </c>
      <c r="F48" s="60" t="s">
        <v>163</v>
      </c>
      <c r="G48" s="62">
        <v>0</v>
      </c>
      <c r="H48" s="62">
        <f>'2022 Cost of Removal'!P50</f>
        <v>0</v>
      </c>
      <c r="I48" s="27"/>
      <c r="J48" s="63"/>
    </row>
    <row r="49" spans="1:10">
      <c r="A49" s="59">
        <f t="shared" si="0"/>
        <v>33</v>
      </c>
      <c r="B49" s="18" t="s">
        <v>72</v>
      </c>
      <c r="C49" s="19" t="s">
        <v>73</v>
      </c>
      <c r="D49" s="60" t="s">
        <v>163</v>
      </c>
      <c r="E49" s="62">
        <v>11000</v>
      </c>
      <c r="F49" s="60" t="s">
        <v>163</v>
      </c>
      <c r="G49" s="62">
        <f>'2022 plant retirements'!P51</f>
        <v>2925.04</v>
      </c>
      <c r="H49" s="62">
        <f>'2022 Cost of Removal'!P51</f>
        <v>0</v>
      </c>
      <c r="I49" s="27"/>
      <c r="J49" s="63"/>
    </row>
    <row r="50" spans="1:10">
      <c r="A50" s="59">
        <f t="shared" si="0"/>
        <v>34</v>
      </c>
      <c r="B50" s="18" t="s">
        <v>74</v>
      </c>
      <c r="C50" s="19" t="s">
        <v>75</v>
      </c>
      <c r="D50" s="60" t="s">
        <v>163</v>
      </c>
      <c r="E50" s="62">
        <v>0</v>
      </c>
      <c r="F50" s="60" t="s">
        <v>163</v>
      </c>
      <c r="G50" s="62">
        <f>'2022 plant retirements'!P52</f>
        <v>10705.470000000001</v>
      </c>
      <c r="H50" s="62">
        <f>'2022 Cost of Removal'!P52</f>
        <v>0</v>
      </c>
      <c r="I50" s="27"/>
      <c r="J50" s="63"/>
    </row>
    <row r="51" spans="1:10" ht="15.75">
      <c r="A51" s="67"/>
      <c r="D51" s="68"/>
      <c r="E51" s="63"/>
      <c r="F51" s="69"/>
      <c r="H51" s="63"/>
      <c r="I51" s="27"/>
      <c r="J51" s="63"/>
    </row>
    <row r="52" spans="1:10" ht="16.5" thickBot="1">
      <c r="A52" s="67">
        <v>29</v>
      </c>
      <c r="D52" s="68" t="s">
        <v>19</v>
      </c>
      <c r="E52" s="122">
        <f>SUM(E16:E51)</f>
        <v>30712802.784465902</v>
      </c>
      <c r="F52" s="63"/>
      <c r="G52" s="70">
        <f>SUM(G16:G51)</f>
        <v>2656686.6700000004</v>
      </c>
      <c r="H52" s="70">
        <f>SUM(H16:H51)</f>
        <v>971941</v>
      </c>
      <c r="I52" s="27"/>
      <c r="J52" s="63"/>
    </row>
    <row r="53" spans="1:10" ht="15.75" thickTop="1">
      <c r="D53" s="63"/>
      <c r="E53" s="63"/>
      <c r="F53" s="63"/>
      <c r="G53" s="63"/>
      <c r="H53" s="63"/>
      <c r="I53" s="27"/>
      <c r="J53" s="63"/>
    </row>
    <row r="54" spans="1:10" ht="15.75" thickBot="1">
      <c r="A54" s="45"/>
      <c r="B54" s="46"/>
      <c r="C54" s="46"/>
      <c r="D54" s="46"/>
      <c r="E54" s="46"/>
      <c r="F54" s="46"/>
      <c r="G54" s="45"/>
      <c r="H54" s="46"/>
      <c r="I54" s="27"/>
    </row>
    <row r="55" spans="1:10">
      <c r="A55" s="41" t="s">
        <v>105</v>
      </c>
      <c r="D55" s="63"/>
      <c r="E55" s="69" t="s">
        <v>106</v>
      </c>
      <c r="F55" s="63"/>
      <c r="G55" s="63"/>
      <c r="H55" s="69"/>
      <c r="I55" s="27"/>
      <c r="J55" s="63"/>
    </row>
    <row r="56" spans="1:10">
      <c r="D56" s="63"/>
      <c r="E56" s="63"/>
      <c r="F56" s="63"/>
      <c r="G56" s="63"/>
      <c r="H56" s="63"/>
      <c r="I56" s="27"/>
      <c r="J56" s="63"/>
    </row>
    <row r="57" spans="1:10">
      <c r="D57" s="63"/>
      <c r="E57" s="63"/>
      <c r="F57" s="63"/>
      <c r="G57" s="63"/>
      <c r="H57" s="63"/>
      <c r="I57" s="27"/>
      <c r="J57" s="63"/>
    </row>
    <row r="58" spans="1:10">
      <c r="D58" s="63"/>
      <c r="E58" s="63"/>
      <c r="F58" s="63"/>
      <c r="G58" s="63"/>
      <c r="H58" s="63"/>
      <c r="I58" s="27"/>
      <c r="J58" s="63"/>
    </row>
    <row r="59" spans="1:10">
      <c r="D59" s="63"/>
      <c r="E59" s="63"/>
      <c r="F59" s="63"/>
      <c r="G59" s="63"/>
      <c r="H59" s="63"/>
      <c r="I59" s="2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E35" workbookViewId="0">
      <selection activeCell="G51" sqref="G51"/>
    </sheetView>
  </sheetViews>
  <sheetFormatPr defaultColWidth="12.140625" defaultRowHeight="15"/>
  <cols>
    <col min="1" max="1" width="11.42578125" style="50" customWidth="1"/>
    <col min="2" max="2" width="11.42578125" style="42" customWidth="1"/>
    <col min="3" max="3" width="46.42578125" style="42" customWidth="1"/>
    <col min="4" max="8" width="33" style="42" customWidth="1"/>
    <col min="9" max="19" width="12.140625" style="42"/>
    <col min="20" max="20" width="35" style="42" customWidth="1"/>
    <col min="21" max="38" width="12.140625" style="42"/>
    <col min="39" max="39" width="7.5703125" style="42" customWidth="1"/>
    <col min="40" max="40" width="35" style="42" customWidth="1"/>
    <col min="41" max="41" width="6.42578125" style="42" customWidth="1"/>
    <col min="42" max="42" width="11" style="42" customWidth="1"/>
    <col min="43" max="43" width="3" style="42" customWidth="1"/>
    <col min="44" max="256" width="12.140625" style="42"/>
    <col min="257" max="258" width="11.42578125" style="42" customWidth="1"/>
    <col min="259" max="259" width="46.42578125" style="42" customWidth="1"/>
    <col min="260" max="264" width="33" style="42" customWidth="1"/>
    <col min="265" max="275" width="12.140625" style="42"/>
    <col min="276" max="276" width="35" style="42" customWidth="1"/>
    <col min="277" max="294" width="12.140625" style="42"/>
    <col min="295" max="295" width="7.5703125" style="42" customWidth="1"/>
    <col min="296" max="296" width="35" style="42" customWidth="1"/>
    <col min="297" max="297" width="6.42578125" style="42" customWidth="1"/>
    <col min="298" max="298" width="11" style="42" customWidth="1"/>
    <col min="299" max="299" width="3" style="42" customWidth="1"/>
    <col min="300" max="512" width="12.140625" style="42"/>
    <col min="513" max="514" width="11.42578125" style="42" customWidth="1"/>
    <col min="515" max="515" width="46.42578125" style="42" customWidth="1"/>
    <col min="516" max="520" width="33" style="42" customWidth="1"/>
    <col min="521" max="531" width="12.140625" style="42"/>
    <col min="532" max="532" width="35" style="42" customWidth="1"/>
    <col min="533" max="550" width="12.140625" style="42"/>
    <col min="551" max="551" width="7.5703125" style="42" customWidth="1"/>
    <col min="552" max="552" width="35" style="42" customWidth="1"/>
    <col min="553" max="553" width="6.42578125" style="42" customWidth="1"/>
    <col min="554" max="554" width="11" style="42" customWidth="1"/>
    <col min="555" max="555" width="3" style="42" customWidth="1"/>
    <col min="556" max="768" width="12.140625" style="42"/>
    <col min="769" max="770" width="11.42578125" style="42" customWidth="1"/>
    <col min="771" max="771" width="46.42578125" style="42" customWidth="1"/>
    <col min="772" max="776" width="33" style="42" customWidth="1"/>
    <col min="777" max="787" width="12.140625" style="42"/>
    <col min="788" max="788" width="35" style="42" customWidth="1"/>
    <col min="789" max="806" width="12.140625" style="42"/>
    <col min="807" max="807" width="7.5703125" style="42" customWidth="1"/>
    <col min="808" max="808" width="35" style="42" customWidth="1"/>
    <col min="809" max="809" width="6.42578125" style="42" customWidth="1"/>
    <col min="810" max="810" width="11" style="42" customWidth="1"/>
    <col min="811" max="811" width="3" style="42" customWidth="1"/>
    <col min="812" max="1024" width="12.140625" style="42"/>
    <col min="1025" max="1026" width="11.42578125" style="42" customWidth="1"/>
    <col min="1027" max="1027" width="46.42578125" style="42" customWidth="1"/>
    <col min="1028" max="1032" width="33" style="42" customWidth="1"/>
    <col min="1033" max="1043" width="12.140625" style="42"/>
    <col min="1044" max="1044" width="35" style="42" customWidth="1"/>
    <col min="1045" max="1062" width="12.140625" style="42"/>
    <col min="1063" max="1063" width="7.5703125" style="42" customWidth="1"/>
    <col min="1064" max="1064" width="35" style="42" customWidth="1"/>
    <col min="1065" max="1065" width="6.42578125" style="42" customWidth="1"/>
    <col min="1066" max="1066" width="11" style="42" customWidth="1"/>
    <col min="1067" max="1067" width="3" style="42" customWidth="1"/>
    <col min="1068" max="1280" width="12.140625" style="42"/>
    <col min="1281" max="1282" width="11.42578125" style="42" customWidth="1"/>
    <col min="1283" max="1283" width="46.42578125" style="42" customWidth="1"/>
    <col min="1284" max="1288" width="33" style="42" customWidth="1"/>
    <col min="1289" max="1299" width="12.140625" style="42"/>
    <col min="1300" max="1300" width="35" style="42" customWidth="1"/>
    <col min="1301" max="1318" width="12.140625" style="42"/>
    <col min="1319" max="1319" width="7.5703125" style="42" customWidth="1"/>
    <col min="1320" max="1320" width="35" style="42" customWidth="1"/>
    <col min="1321" max="1321" width="6.42578125" style="42" customWidth="1"/>
    <col min="1322" max="1322" width="11" style="42" customWidth="1"/>
    <col min="1323" max="1323" width="3" style="42" customWidth="1"/>
    <col min="1324" max="1536" width="12.140625" style="42"/>
    <col min="1537" max="1538" width="11.42578125" style="42" customWidth="1"/>
    <col min="1539" max="1539" width="46.42578125" style="42" customWidth="1"/>
    <col min="1540" max="1544" width="33" style="42" customWidth="1"/>
    <col min="1545" max="1555" width="12.140625" style="42"/>
    <col min="1556" max="1556" width="35" style="42" customWidth="1"/>
    <col min="1557" max="1574" width="12.140625" style="42"/>
    <col min="1575" max="1575" width="7.5703125" style="42" customWidth="1"/>
    <col min="1576" max="1576" width="35" style="42" customWidth="1"/>
    <col min="1577" max="1577" width="6.42578125" style="42" customWidth="1"/>
    <col min="1578" max="1578" width="11" style="42" customWidth="1"/>
    <col min="1579" max="1579" width="3" style="42" customWidth="1"/>
    <col min="1580" max="1792" width="12.140625" style="42"/>
    <col min="1793" max="1794" width="11.42578125" style="42" customWidth="1"/>
    <col min="1795" max="1795" width="46.42578125" style="42" customWidth="1"/>
    <col min="1796" max="1800" width="33" style="42" customWidth="1"/>
    <col min="1801" max="1811" width="12.140625" style="42"/>
    <col min="1812" max="1812" width="35" style="42" customWidth="1"/>
    <col min="1813" max="1830" width="12.140625" style="42"/>
    <col min="1831" max="1831" width="7.5703125" style="42" customWidth="1"/>
    <col min="1832" max="1832" width="35" style="42" customWidth="1"/>
    <col min="1833" max="1833" width="6.42578125" style="42" customWidth="1"/>
    <col min="1834" max="1834" width="11" style="42" customWidth="1"/>
    <col min="1835" max="1835" width="3" style="42" customWidth="1"/>
    <col min="1836" max="2048" width="12.140625" style="42"/>
    <col min="2049" max="2050" width="11.42578125" style="42" customWidth="1"/>
    <col min="2051" max="2051" width="46.42578125" style="42" customWidth="1"/>
    <col min="2052" max="2056" width="33" style="42" customWidth="1"/>
    <col min="2057" max="2067" width="12.140625" style="42"/>
    <col min="2068" max="2068" width="35" style="42" customWidth="1"/>
    <col min="2069" max="2086" width="12.140625" style="42"/>
    <col min="2087" max="2087" width="7.5703125" style="42" customWidth="1"/>
    <col min="2088" max="2088" width="35" style="42" customWidth="1"/>
    <col min="2089" max="2089" width="6.42578125" style="42" customWidth="1"/>
    <col min="2090" max="2090" width="11" style="42" customWidth="1"/>
    <col min="2091" max="2091" width="3" style="42" customWidth="1"/>
    <col min="2092" max="2304" width="12.140625" style="42"/>
    <col min="2305" max="2306" width="11.42578125" style="42" customWidth="1"/>
    <col min="2307" max="2307" width="46.42578125" style="42" customWidth="1"/>
    <col min="2308" max="2312" width="33" style="42" customWidth="1"/>
    <col min="2313" max="2323" width="12.140625" style="42"/>
    <col min="2324" max="2324" width="35" style="42" customWidth="1"/>
    <col min="2325" max="2342" width="12.140625" style="42"/>
    <col min="2343" max="2343" width="7.5703125" style="42" customWidth="1"/>
    <col min="2344" max="2344" width="35" style="42" customWidth="1"/>
    <col min="2345" max="2345" width="6.42578125" style="42" customWidth="1"/>
    <col min="2346" max="2346" width="11" style="42" customWidth="1"/>
    <col min="2347" max="2347" width="3" style="42" customWidth="1"/>
    <col min="2348" max="2560" width="12.140625" style="42"/>
    <col min="2561" max="2562" width="11.42578125" style="42" customWidth="1"/>
    <col min="2563" max="2563" width="46.42578125" style="42" customWidth="1"/>
    <col min="2564" max="2568" width="33" style="42" customWidth="1"/>
    <col min="2569" max="2579" width="12.140625" style="42"/>
    <col min="2580" max="2580" width="35" style="42" customWidth="1"/>
    <col min="2581" max="2598" width="12.140625" style="42"/>
    <col min="2599" max="2599" width="7.5703125" style="42" customWidth="1"/>
    <col min="2600" max="2600" width="35" style="42" customWidth="1"/>
    <col min="2601" max="2601" width="6.42578125" style="42" customWidth="1"/>
    <col min="2602" max="2602" width="11" style="42" customWidth="1"/>
    <col min="2603" max="2603" width="3" style="42" customWidth="1"/>
    <col min="2604" max="2816" width="12.140625" style="42"/>
    <col min="2817" max="2818" width="11.42578125" style="42" customWidth="1"/>
    <col min="2819" max="2819" width="46.42578125" style="42" customWidth="1"/>
    <col min="2820" max="2824" width="33" style="42" customWidth="1"/>
    <col min="2825" max="2835" width="12.140625" style="42"/>
    <col min="2836" max="2836" width="35" style="42" customWidth="1"/>
    <col min="2837" max="2854" width="12.140625" style="42"/>
    <col min="2855" max="2855" width="7.5703125" style="42" customWidth="1"/>
    <col min="2856" max="2856" width="35" style="42" customWidth="1"/>
    <col min="2857" max="2857" width="6.42578125" style="42" customWidth="1"/>
    <col min="2858" max="2858" width="11" style="42" customWidth="1"/>
    <col min="2859" max="2859" width="3" style="42" customWidth="1"/>
    <col min="2860" max="3072" width="12.140625" style="42"/>
    <col min="3073" max="3074" width="11.42578125" style="42" customWidth="1"/>
    <col min="3075" max="3075" width="46.42578125" style="42" customWidth="1"/>
    <col min="3076" max="3080" width="33" style="42" customWidth="1"/>
    <col min="3081" max="3091" width="12.140625" style="42"/>
    <col min="3092" max="3092" width="35" style="42" customWidth="1"/>
    <col min="3093" max="3110" width="12.140625" style="42"/>
    <col min="3111" max="3111" width="7.5703125" style="42" customWidth="1"/>
    <col min="3112" max="3112" width="35" style="42" customWidth="1"/>
    <col min="3113" max="3113" width="6.42578125" style="42" customWidth="1"/>
    <col min="3114" max="3114" width="11" style="42" customWidth="1"/>
    <col min="3115" max="3115" width="3" style="42" customWidth="1"/>
    <col min="3116" max="3328" width="12.140625" style="42"/>
    <col min="3329" max="3330" width="11.42578125" style="42" customWidth="1"/>
    <col min="3331" max="3331" width="46.42578125" style="42" customWidth="1"/>
    <col min="3332" max="3336" width="33" style="42" customWidth="1"/>
    <col min="3337" max="3347" width="12.140625" style="42"/>
    <col min="3348" max="3348" width="35" style="42" customWidth="1"/>
    <col min="3349" max="3366" width="12.140625" style="42"/>
    <col min="3367" max="3367" width="7.5703125" style="42" customWidth="1"/>
    <col min="3368" max="3368" width="35" style="42" customWidth="1"/>
    <col min="3369" max="3369" width="6.42578125" style="42" customWidth="1"/>
    <col min="3370" max="3370" width="11" style="42" customWidth="1"/>
    <col min="3371" max="3371" width="3" style="42" customWidth="1"/>
    <col min="3372" max="3584" width="12.140625" style="42"/>
    <col min="3585" max="3586" width="11.42578125" style="42" customWidth="1"/>
    <col min="3587" max="3587" width="46.42578125" style="42" customWidth="1"/>
    <col min="3588" max="3592" width="33" style="42" customWidth="1"/>
    <col min="3593" max="3603" width="12.140625" style="42"/>
    <col min="3604" max="3604" width="35" style="42" customWidth="1"/>
    <col min="3605" max="3622" width="12.140625" style="42"/>
    <col min="3623" max="3623" width="7.5703125" style="42" customWidth="1"/>
    <col min="3624" max="3624" width="35" style="42" customWidth="1"/>
    <col min="3625" max="3625" width="6.42578125" style="42" customWidth="1"/>
    <col min="3626" max="3626" width="11" style="42" customWidth="1"/>
    <col min="3627" max="3627" width="3" style="42" customWidth="1"/>
    <col min="3628" max="3840" width="12.140625" style="42"/>
    <col min="3841" max="3842" width="11.42578125" style="42" customWidth="1"/>
    <col min="3843" max="3843" width="46.42578125" style="42" customWidth="1"/>
    <col min="3844" max="3848" width="33" style="42" customWidth="1"/>
    <col min="3849" max="3859" width="12.140625" style="42"/>
    <col min="3860" max="3860" width="35" style="42" customWidth="1"/>
    <col min="3861" max="3878" width="12.140625" style="42"/>
    <col min="3879" max="3879" width="7.5703125" style="42" customWidth="1"/>
    <col min="3880" max="3880" width="35" style="42" customWidth="1"/>
    <col min="3881" max="3881" width="6.42578125" style="42" customWidth="1"/>
    <col min="3882" max="3882" width="11" style="42" customWidth="1"/>
    <col min="3883" max="3883" width="3" style="42" customWidth="1"/>
    <col min="3884" max="4096" width="12.140625" style="42"/>
    <col min="4097" max="4098" width="11.42578125" style="42" customWidth="1"/>
    <col min="4099" max="4099" width="46.42578125" style="42" customWidth="1"/>
    <col min="4100" max="4104" width="33" style="42" customWidth="1"/>
    <col min="4105" max="4115" width="12.140625" style="42"/>
    <col min="4116" max="4116" width="35" style="42" customWidth="1"/>
    <col min="4117" max="4134" width="12.140625" style="42"/>
    <col min="4135" max="4135" width="7.5703125" style="42" customWidth="1"/>
    <col min="4136" max="4136" width="35" style="42" customWidth="1"/>
    <col min="4137" max="4137" width="6.42578125" style="42" customWidth="1"/>
    <col min="4138" max="4138" width="11" style="42" customWidth="1"/>
    <col min="4139" max="4139" width="3" style="42" customWidth="1"/>
    <col min="4140" max="4352" width="12.140625" style="42"/>
    <col min="4353" max="4354" width="11.42578125" style="42" customWidth="1"/>
    <col min="4355" max="4355" width="46.42578125" style="42" customWidth="1"/>
    <col min="4356" max="4360" width="33" style="42" customWidth="1"/>
    <col min="4361" max="4371" width="12.140625" style="42"/>
    <col min="4372" max="4372" width="35" style="42" customWidth="1"/>
    <col min="4373" max="4390" width="12.140625" style="42"/>
    <col min="4391" max="4391" width="7.5703125" style="42" customWidth="1"/>
    <col min="4392" max="4392" width="35" style="42" customWidth="1"/>
    <col min="4393" max="4393" width="6.42578125" style="42" customWidth="1"/>
    <col min="4394" max="4394" width="11" style="42" customWidth="1"/>
    <col min="4395" max="4395" width="3" style="42" customWidth="1"/>
    <col min="4396" max="4608" width="12.140625" style="42"/>
    <col min="4609" max="4610" width="11.42578125" style="42" customWidth="1"/>
    <col min="4611" max="4611" width="46.42578125" style="42" customWidth="1"/>
    <col min="4612" max="4616" width="33" style="42" customWidth="1"/>
    <col min="4617" max="4627" width="12.140625" style="42"/>
    <col min="4628" max="4628" width="35" style="42" customWidth="1"/>
    <col min="4629" max="4646" width="12.140625" style="42"/>
    <col min="4647" max="4647" width="7.5703125" style="42" customWidth="1"/>
    <col min="4648" max="4648" width="35" style="42" customWidth="1"/>
    <col min="4649" max="4649" width="6.42578125" style="42" customWidth="1"/>
    <col min="4650" max="4650" width="11" style="42" customWidth="1"/>
    <col min="4651" max="4651" width="3" style="42" customWidth="1"/>
    <col min="4652" max="4864" width="12.140625" style="42"/>
    <col min="4865" max="4866" width="11.42578125" style="42" customWidth="1"/>
    <col min="4867" max="4867" width="46.42578125" style="42" customWidth="1"/>
    <col min="4868" max="4872" width="33" style="42" customWidth="1"/>
    <col min="4873" max="4883" width="12.140625" style="42"/>
    <col min="4884" max="4884" width="35" style="42" customWidth="1"/>
    <col min="4885" max="4902" width="12.140625" style="42"/>
    <col min="4903" max="4903" width="7.5703125" style="42" customWidth="1"/>
    <col min="4904" max="4904" width="35" style="42" customWidth="1"/>
    <col min="4905" max="4905" width="6.42578125" style="42" customWidth="1"/>
    <col min="4906" max="4906" width="11" style="42" customWidth="1"/>
    <col min="4907" max="4907" width="3" style="42" customWidth="1"/>
    <col min="4908" max="5120" width="12.140625" style="42"/>
    <col min="5121" max="5122" width="11.42578125" style="42" customWidth="1"/>
    <col min="5123" max="5123" width="46.42578125" style="42" customWidth="1"/>
    <col min="5124" max="5128" width="33" style="42" customWidth="1"/>
    <col min="5129" max="5139" width="12.140625" style="42"/>
    <col min="5140" max="5140" width="35" style="42" customWidth="1"/>
    <col min="5141" max="5158" width="12.140625" style="42"/>
    <col min="5159" max="5159" width="7.5703125" style="42" customWidth="1"/>
    <col min="5160" max="5160" width="35" style="42" customWidth="1"/>
    <col min="5161" max="5161" width="6.42578125" style="42" customWidth="1"/>
    <col min="5162" max="5162" width="11" style="42" customWidth="1"/>
    <col min="5163" max="5163" width="3" style="42" customWidth="1"/>
    <col min="5164" max="5376" width="12.140625" style="42"/>
    <col min="5377" max="5378" width="11.42578125" style="42" customWidth="1"/>
    <col min="5379" max="5379" width="46.42578125" style="42" customWidth="1"/>
    <col min="5380" max="5384" width="33" style="42" customWidth="1"/>
    <col min="5385" max="5395" width="12.140625" style="42"/>
    <col min="5396" max="5396" width="35" style="42" customWidth="1"/>
    <col min="5397" max="5414" width="12.140625" style="42"/>
    <col min="5415" max="5415" width="7.5703125" style="42" customWidth="1"/>
    <col min="5416" max="5416" width="35" style="42" customWidth="1"/>
    <col min="5417" max="5417" width="6.42578125" style="42" customWidth="1"/>
    <col min="5418" max="5418" width="11" style="42" customWidth="1"/>
    <col min="5419" max="5419" width="3" style="42" customWidth="1"/>
    <col min="5420" max="5632" width="12.140625" style="42"/>
    <col min="5633" max="5634" width="11.42578125" style="42" customWidth="1"/>
    <col min="5635" max="5635" width="46.42578125" style="42" customWidth="1"/>
    <col min="5636" max="5640" width="33" style="42" customWidth="1"/>
    <col min="5641" max="5651" width="12.140625" style="42"/>
    <col min="5652" max="5652" width="35" style="42" customWidth="1"/>
    <col min="5653" max="5670" width="12.140625" style="42"/>
    <col min="5671" max="5671" width="7.5703125" style="42" customWidth="1"/>
    <col min="5672" max="5672" width="35" style="42" customWidth="1"/>
    <col min="5673" max="5673" width="6.42578125" style="42" customWidth="1"/>
    <col min="5674" max="5674" width="11" style="42" customWidth="1"/>
    <col min="5675" max="5675" width="3" style="42" customWidth="1"/>
    <col min="5676" max="5888" width="12.140625" style="42"/>
    <col min="5889" max="5890" width="11.42578125" style="42" customWidth="1"/>
    <col min="5891" max="5891" width="46.42578125" style="42" customWidth="1"/>
    <col min="5892" max="5896" width="33" style="42" customWidth="1"/>
    <col min="5897" max="5907" width="12.140625" style="42"/>
    <col min="5908" max="5908" width="35" style="42" customWidth="1"/>
    <col min="5909" max="5926" width="12.140625" style="42"/>
    <col min="5927" max="5927" width="7.5703125" style="42" customWidth="1"/>
    <col min="5928" max="5928" width="35" style="42" customWidth="1"/>
    <col min="5929" max="5929" width="6.42578125" style="42" customWidth="1"/>
    <col min="5930" max="5930" width="11" style="42" customWidth="1"/>
    <col min="5931" max="5931" width="3" style="42" customWidth="1"/>
    <col min="5932" max="6144" width="12.140625" style="42"/>
    <col min="6145" max="6146" width="11.42578125" style="42" customWidth="1"/>
    <col min="6147" max="6147" width="46.42578125" style="42" customWidth="1"/>
    <col min="6148" max="6152" width="33" style="42" customWidth="1"/>
    <col min="6153" max="6163" width="12.140625" style="42"/>
    <col min="6164" max="6164" width="35" style="42" customWidth="1"/>
    <col min="6165" max="6182" width="12.140625" style="42"/>
    <col min="6183" max="6183" width="7.5703125" style="42" customWidth="1"/>
    <col min="6184" max="6184" width="35" style="42" customWidth="1"/>
    <col min="6185" max="6185" width="6.42578125" style="42" customWidth="1"/>
    <col min="6186" max="6186" width="11" style="42" customWidth="1"/>
    <col min="6187" max="6187" width="3" style="42" customWidth="1"/>
    <col min="6188" max="6400" width="12.140625" style="42"/>
    <col min="6401" max="6402" width="11.42578125" style="42" customWidth="1"/>
    <col min="6403" max="6403" width="46.42578125" style="42" customWidth="1"/>
    <col min="6404" max="6408" width="33" style="42" customWidth="1"/>
    <col min="6409" max="6419" width="12.140625" style="42"/>
    <col min="6420" max="6420" width="35" style="42" customWidth="1"/>
    <col min="6421" max="6438" width="12.140625" style="42"/>
    <col min="6439" max="6439" width="7.5703125" style="42" customWidth="1"/>
    <col min="6440" max="6440" width="35" style="42" customWidth="1"/>
    <col min="6441" max="6441" width="6.42578125" style="42" customWidth="1"/>
    <col min="6442" max="6442" width="11" style="42" customWidth="1"/>
    <col min="6443" max="6443" width="3" style="42" customWidth="1"/>
    <col min="6444" max="6656" width="12.140625" style="42"/>
    <col min="6657" max="6658" width="11.42578125" style="42" customWidth="1"/>
    <col min="6659" max="6659" width="46.42578125" style="42" customWidth="1"/>
    <col min="6660" max="6664" width="33" style="42" customWidth="1"/>
    <col min="6665" max="6675" width="12.140625" style="42"/>
    <col min="6676" max="6676" width="35" style="42" customWidth="1"/>
    <col min="6677" max="6694" width="12.140625" style="42"/>
    <col min="6695" max="6695" width="7.5703125" style="42" customWidth="1"/>
    <col min="6696" max="6696" width="35" style="42" customWidth="1"/>
    <col min="6697" max="6697" width="6.42578125" style="42" customWidth="1"/>
    <col min="6698" max="6698" width="11" style="42" customWidth="1"/>
    <col min="6699" max="6699" width="3" style="42" customWidth="1"/>
    <col min="6700" max="6912" width="12.140625" style="42"/>
    <col min="6913" max="6914" width="11.42578125" style="42" customWidth="1"/>
    <col min="6915" max="6915" width="46.42578125" style="42" customWidth="1"/>
    <col min="6916" max="6920" width="33" style="42" customWidth="1"/>
    <col min="6921" max="6931" width="12.140625" style="42"/>
    <col min="6932" max="6932" width="35" style="42" customWidth="1"/>
    <col min="6933" max="6950" width="12.140625" style="42"/>
    <col min="6951" max="6951" width="7.5703125" style="42" customWidth="1"/>
    <col min="6952" max="6952" width="35" style="42" customWidth="1"/>
    <col min="6953" max="6953" width="6.42578125" style="42" customWidth="1"/>
    <col min="6954" max="6954" width="11" style="42" customWidth="1"/>
    <col min="6955" max="6955" width="3" style="42" customWidth="1"/>
    <col min="6956" max="7168" width="12.140625" style="42"/>
    <col min="7169" max="7170" width="11.42578125" style="42" customWidth="1"/>
    <col min="7171" max="7171" width="46.42578125" style="42" customWidth="1"/>
    <col min="7172" max="7176" width="33" style="42" customWidth="1"/>
    <col min="7177" max="7187" width="12.140625" style="42"/>
    <col min="7188" max="7188" width="35" style="42" customWidth="1"/>
    <col min="7189" max="7206" width="12.140625" style="42"/>
    <col min="7207" max="7207" width="7.5703125" style="42" customWidth="1"/>
    <col min="7208" max="7208" width="35" style="42" customWidth="1"/>
    <col min="7209" max="7209" width="6.42578125" style="42" customWidth="1"/>
    <col min="7210" max="7210" width="11" style="42" customWidth="1"/>
    <col min="7211" max="7211" width="3" style="42" customWidth="1"/>
    <col min="7212" max="7424" width="12.140625" style="42"/>
    <col min="7425" max="7426" width="11.42578125" style="42" customWidth="1"/>
    <col min="7427" max="7427" width="46.42578125" style="42" customWidth="1"/>
    <col min="7428" max="7432" width="33" style="42" customWidth="1"/>
    <col min="7433" max="7443" width="12.140625" style="42"/>
    <col min="7444" max="7444" width="35" style="42" customWidth="1"/>
    <col min="7445" max="7462" width="12.140625" style="42"/>
    <col min="7463" max="7463" width="7.5703125" style="42" customWidth="1"/>
    <col min="7464" max="7464" width="35" style="42" customWidth="1"/>
    <col min="7465" max="7465" width="6.42578125" style="42" customWidth="1"/>
    <col min="7466" max="7466" width="11" style="42" customWidth="1"/>
    <col min="7467" max="7467" width="3" style="42" customWidth="1"/>
    <col min="7468" max="7680" width="12.140625" style="42"/>
    <col min="7681" max="7682" width="11.42578125" style="42" customWidth="1"/>
    <col min="7683" max="7683" width="46.42578125" style="42" customWidth="1"/>
    <col min="7684" max="7688" width="33" style="42" customWidth="1"/>
    <col min="7689" max="7699" width="12.140625" style="42"/>
    <col min="7700" max="7700" width="35" style="42" customWidth="1"/>
    <col min="7701" max="7718" width="12.140625" style="42"/>
    <col min="7719" max="7719" width="7.5703125" style="42" customWidth="1"/>
    <col min="7720" max="7720" width="35" style="42" customWidth="1"/>
    <col min="7721" max="7721" width="6.42578125" style="42" customWidth="1"/>
    <col min="7722" max="7722" width="11" style="42" customWidth="1"/>
    <col min="7723" max="7723" width="3" style="42" customWidth="1"/>
    <col min="7724" max="7936" width="12.140625" style="42"/>
    <col min="7937" max="7938" width="11.42578125" style="42" customWidth="1"/>
    <col min="7939" max="7939" width="46.42578125" style="42" customWidth="1"/>
    <col min="7940" max="7944" width="33" style="42" customWidth="1"/>
    <col min="7945" max="7955" width="12.140625" style="42"/>
    <col min="7956" max="7956" width="35" style="42" customWidth="1"/>
    <col min="7957" max="7974" width="12.140625" style="42"/>
    <col min="7975" max="7975" width="7.5703125" style="42" customWidth="1"/>
    <col min="7976" max="7976" width="35" style="42" customWidth="1"/>
    <col min="7977" max="7977" width="6.42578125" style="42" customWidth="1"/>
    <col min="7978" max="7978" width="11" style="42" customWidth="1"/>
    <col min="7979" max="7979" width="3" style="42" customWidth="1"/>
    <col min="7980" max="8192" width="12.140625" style="42"/>
    <col min="8193" max="8194" width="11.42578125" style="42" customWidth="1"/>
    <col min="8195" max="8195" width="46.42578125" style="42" customWidth="1"/>
    <col min="8196" max="8200" width="33" style="42" customWidth="1"/>
    <col min="8201" max="8211" width="12.140625" style="42"/>
    <col min="8212" max="8212" width="35" style="42" customWidth="1"/>
    <col min="8213" max="8230" width="12.140625" style="42"/>
    <col min="8231" max="8231" width="7.5703125" style="42" customWidth="1"/>
    <col min="8232" max="8232" width="35" style="42" customWidth="1"/>
    <col min="8233" max="8233" width="6.42578125" style="42" customWidth="1"/>
    <col min="8234" max="8234" width="11" style="42" customWidth="1"/>
    <col min="8235" max="8235" width="3" style="42" customWidth="1"/>
    <col min="8236" max="8448" width="12.140625" style="42"/>
    <col min="8449" max="8450" width="11.42578125" style="42" customWidth="1"/>
    <col min="8451" max="8451" width="46.42578125" style="42" customWidth="1"/>
    <col min="8452" max="8456" width="33" style="42" customWidth="1"/>
    <col min="8457" max="8467" width="12.140625" style="42"/>
    <col min="8468" max="8468" width="35" style="42" customWidth="1"/>
    <col min="8469" max="8486" width="12.140625" style="42"/>
    <col min="8487" max="8487" width="7.5703125" style="42" customWidth="1"/>
    <col min="8488" max="8488" width="35" style="42" customWidth="1"/>
    <col min="8489" max="8489" width="6.42578125" style="42" customWidth="1"/>
    <col min="8490" max="8490" width="11" style="42" customWidth="1"/>
    <col min="8491" max="8491" width="3" style="42" customWidth="1"/>
    <col min="8492" max="8704" width="12.140625" style="42"/>
    <col min="8705" max="8706" width="11.42578125" style="42" customWidth="1"/>
    <col min="8707" max="8707" width="46.42578125" style="42" customWidth="1"/>
    <col min="8708" max="8712" width="33" style="42" customWidth="1"/>
    <col min="8713" max="8723" width="12.140625" style="42"/>
    <col min="8724" max="8724" width="35" style="42" customWidth="1"/>
    <col min="8725" max="8742" width="12.140625" style="42"/>
    <col min="8743" max="8743" width="7.5703125" style="42" customWidth="1"/>
    <col min="8744" max="8744" width="35" style="42" customWidth="1"/>
    <col min="8745" max="8745" width="6.42578125" style="42" customWidth="1"/>
    <col min="8746" max="8746" width="11" style="42" customWidth="1"/>
    <col min="8747" max="8747" width="3" style="42" customWidth="1"/>
    <col min="8748" max="8960" width="12.140625" style="42"/>
    <col min="8961" max="8962" width="11.42578125" style="42" customWidth="1"/>
    <col min="8963" max="8963" width="46.42578125" style="42" customWidth="1"/>
    <col min="8964" max="8968" width="33" style="42" customWidth="1"/>
    <col min="8969" max="8979" width="12.140625" style="42"/>
    <col min="8980" max="8980" width="35" style="42" customWidth="1"/>
    <col min="8981" max="8998" width="12.140625" style="42"/>
    <col min="8999" max="8999" width="7.5703125" style="42" customWidth="1"/>
    <col min="9000" max="9000" width="35" style="42" customWidth="1"/>
    <col min="9001" max="9001" width="6.42578125" style="42" customWidth="1"/>
    <col min="9002" max="9002" width="11" style="42" customWidth="1"/>
    <col min="9003" max="9003" width="3" style="42" customWidth="1"/>
    <col min="9004" max="9216" width="12.140625" style="42"/>
    <col min="9217" max="9218" width="11.42578125" style="42" customWidth="1"/>
    <col min="9219" max="9219" width="46.42578125" style="42" customWidth="1"/>
    <col min="9220" max="9224" width="33" style="42" customWidth="1"/>
    <col min="9225" max="9235" width="12.140625" style="42"/>
    <col min="9236" max="9236" width="35" style="42" customWidth="1"/>
    <col min="9237" max="9254" width="12.140625" style="42"/>
    <col min="9255" max="9255" width="7.5703125" style="42" customWidth="1"/>
    <col min="9256" max="9256" width="35" style="42" customWidth="1"/>
    <col min="9257" max="9257" width="6.42578125" style="42" customWidth="1"/>
    <col min="9258" max="9258" width="11" style="42" customWidth="1"/>
    <col min="9259" max="9259" width="3" style="42" customWidth="1"/>
    <col min="9260" max="9472" width="12.140625" style="42"/>
    <col min="9473" max="9474" width="11.42578125" style="42" customWidth="1"/>
    <col min="9475" max="9475" width="46.42578125" style="42" customWidth="1"/>
    <col min="9476" max="9480" width="33" style="42" customWidth="1"/>
    <col min="9481" max="9491" width="12.140625" style="42"/>
    <col min="9492" max="9492" width="35" style="42" customWidth="1"/>
    <col min="9493" max="9510" width="12.140625" style="42"/>
    <col min="9511" max="9511" width="7.5703125" style="42" customWidth="1"/>
    <col min="9512" max="9512" width="35" style="42" customWidth="1"/>
    <col min="9513" max="9513" width="6.42578125" style="42" customWidth="1"/>
    <col min="9514" max="9514" width="11" style="42" customWidth="1"/>
    <col min="9515" max="9515" width="3" style="42" customWidth="1"/>
    <col min="9516" max="9728" width="12.140625" style="42"/>
    <col min="9729" max="9730" width="11.42578125" style="42" customWidth="1"/>
    <col min="9731" max="9731" width="46.42578125" style="42" customWidth="1"/>
    <col min="9732" max="9736" width="33" style="42" customWidth="1"/>
    <col min="9737" max="9747" width="12.140625" style="42"/>
    <col min="9748" max="9748" width="35" style="42" customWidth="1"/>
    <col min="9749" max="9766" width="12.140625" style="42"/>
    <col min="9767" max="9767" width="7.5703125" style="42" customWidth="1"/>
    <col min="9768" max="9768" width="35" style="42" customWidth="1"/>
    <col min="9769" max="9769" width="6.42578125" style="42" customWidth="1"/>
    <col min="9770" max="9770" width="11" style="42" customWidth="1"/>
    <col min="9771" max="9771" width="3" style="42" customWidth="1"/>
    <col min="9772" max="9984" width="12.140625" style="42"/>
    <col min="9985" max="9986" width="11.42578125" style="42" customWidth="1"/>
    <col min="9987" max="9987" width="46.42578125" style="42" customWidth="1"/>
    <col min="9988" max="9992" width="33" style="42" customWidth="1"/>
    <col min="9993" max="10003" width="12.140625" style="42"/>
    <col min="10004" max="10004" width="35" style="42" customWidth="1"/>
    <col min="10005" max="10022" width="12.140625" style="42"/>
    <col min="10023" max="10023" width="7.5703125" style="42" customWidth="1"/>
    <col min="10024" max="10024" width="35" style="42" customWidth="1"/>
    <col min="10025" max="10025" width="6.42578125" style="42" customWidth="1"/>
    <col min="10026" max="10026" width="11" style="42" customWidth="1"/>
    <col min="10027" max="10027" width="3" style="42" customWidth="1"/>
    <col min="10028" max="10240" width="12.140625" style="42"/>
    <col min="10241" max="10242" width="11.42578125" style="42" customWidth="1"/>
    <col min="10243" max="10243" width="46.42578125" style="42" customWidth="1"/>
    <col min="10244" max="10248" width="33" style="42" customWidth="1"/>
    <col min="10249" max="10259" width="12.140625" style="42"/>
    <col min="10260" max="10260" width="35" style="42" customWidth="1"/>
    <col min="10261" max="10278" width="12.140625" style="42"/>
    <col min="10279" max="10279" width="7.5703125" style="42" customWidth="1"/>
    <col min="10280" max="10280" width="35" style="42" customWidth="1"/>
    <col min="10281" max="10281" width="6.42578125" style="42" customWidth="1"/>
    <col min="10282" max="10282" width="11" style="42" customWidth="1"/>
    <col min="10283" max="10283" width="3" style="42" customWidth="1"/>
    <col min="10284" max="10496" width="12.140625" style="42"/>
    <col min="10497" max="10498" width="11.42578125" style="42" customWidth="1"/>
    <col min="10499" max="10499" width="46.42578125" style="42" customWidth="1"/>
    <col min="10500" max="10504" width="33" style="42" customWidth="1"/>
    <col min="10505" max="10515" width="12.140625" style="42"/>
    <col min="10516" max="10516" width="35" style="42" customWidth="1"/>
    <col min="10517" max="10534" width="12.140625" style="42"/>
    <col min="10535" max="10535" width="7.5703125" style="42" customWidth="1"/>
    <col min="10536" max="10536" width="35" style="42" customWidth="1"/>
    <col min="10537" max="10537" width="6.42578125" style="42" customWidth="1"/>
    <col min="10538" max="10538" width="11" style="42" customWidth="1"/>
    <col min="10539" max="10539" width="3" style="42" customWidth="1"/>
    <col min="10540" max="10752" width="12.140625" style="42"/>
    <col min="10753" max="10754" width="11.42578125" style="42" customWidth="1"/>
    <col min="10755" max="10755" width="46.42578125" style="42" customWidth="1"/>
    <col min="10756" max="10760" width="33" style="42" customWidth="1"/>
    <col min="10761" max="10771" width="12.140625" style="42"/>
    <col min="10772" max="10772" width="35" style="42" customWidth="1"/>
    <col min="10773" max="10790" width="12.140625" style="42"/>
    <col min="10791" max="10791" width="7.5703125" style="42" customWidth="1"/>
    <col min="10792" max="10792" width="35" style="42" customWidth="1"/>
    <col min="10793" max="10793" width="6.42578125" style="42" customWidth="1"/>
    <col min="10794" max="10794" width="11" style="42" customWidth="1"/>
    <col min="10795" max="10795" width="3" style="42" customWidth="1"/>
    <col min="10796" max="11008" width="12.140625" style="42"/>
    <col min="11009" max="11010" width="11.42578125" style="42" customWidth="1"/>
    <col min="11011" max="11011" width="46.42578125" style="42" customWidth="1"/>
    <col min="11012" max="11016" width="33" style="42" customWidth="1"/>
    <col min="11017" max="11027" width="12.140625" style="42"/>
    <col min="11028" max="11028" width="35" style="42" customWidth="1"/>
    <col min="11029" max="11046" width="12.140625" style="42"/>
    <col min="11047" max="11047" width="7.5703125" style="42" customWidth="1"/>
    <col min="11048" max="11048" width="35" style="42" customWidth="1"/>
    <col min="11049" max="11049" width="6.42578125" style="42" customWidth="1"/>
    <col min="11050" max="11050" width="11" style="42" customWidth="1"/>
    <col min="11051" max="11051" width="3" style="42" customWidth="1"/>
    <col min="11052" max="11264" width="12.140625" style="42"/>
    <col min="11265" max="11266" width="11.42578125" style="42" customWidth="1"/>
    <col min="11267" max="11267" width="46.42578125" style="42" customWidth="1"/>
    <col min="11268" max="11272" width="33" style="42" customWidth="1"/>
    <col min="11273" max="11283" width="12.140625" style="42"/>
    <col min="11284" max="11284" width="35" style="42" customWidth="1"/>
    <col min="11285" max="11302" width="12.140625" style="42"/>
    <col min="11303" max="11303" width="7.5703125" style="42" customWidth="1"/>
    <col min="11304" max="11304" width="35" style="42" customWidth="1"/>
    <col min="11305" max="11305" width="6.42578125" style="42" customWidth="1"/>
    <col min="11306" max="11306" width="11" style="42" customWidth="1"/>
    <col min="11307" max="11307" width="3" style="42" customWidth="1"/>
    <col min="11308" max="11520" width="12.140625" style="42"/>
    <col min="11521" max="11522" width="11.42578125" style="42" customWidth="1"/>
    <col min="11523" max="11523" width="46.42578125" style="42" customWidth="1"/>
    <col min="11524" max="11528" width="33" style="42" customWidth="1"/>
    <col min="11529" max="11539" width="12.140625" style="42"/>
    <col min="11540" max="11540" width="35" style="42" customWidth="1"/>
    <col min="11541" max="11558" width="12.140625" style="42"/>
    <col min="11559" max="11559" width="7.5703125" style="42" customWidth="1"/>
    <col min="11560" max="11560" width="35" style="42" customWidth="1"/>
    <col min="11561" max="11561" width="6.42578125" style="42" customWidth="1"/>
    <col min="11562" max="11562" width="11" style="42" customWidth="1"/>
    <col min="11563" max="11563" width="3" style="42" customWidth="1"/>
    <col min="11564" max="11776" width="12.140625" style="42"/>
    <col min="11777" max="11778" width="11.42578125" style="42" customWidth="1"/>
    <col min="11779" max="11779" width="46.42578125" style="42" customWidth="1"/>
    <col min="11780" max="11784" width="33" style="42" customWidth="1"/>
    <col min="11785" max="11795" width="12.140625" style="42"/>
    <col min="11796" max="11796" width="35" style="42" customWidth="1"/>
    <col min="11797" max="11814" width="12.140625" style="42"/>
    <col min="11815" max="11815" width="7.5703125" style="42" customWidth="1"/>
    <col min="11816" max="11816" width="35" style="42" customWidth="1"/>
    <col min="11817" max="11817" width="6.42578125" style="42" customWidth="1"/>
    <col min="11818" max="11818" width="11" style="42" customWidth="1"/>
    <col min="11819" max="11819" width="3" style="42" customWidth="1"/>
    <col min="11820" max="12032" width="12.140625" style="42"/>
    <col min="12033" max="12034" width="11.42578125" style="42" customWidth="1"/>
    <col min="12035" max="12035" width="46.42578125" style="42" customWidth="1"/>
    <col min="12036" max="12040" width="33" style="42" customWidth="1"/>
    <col min="12041" max="12051" width="12.140625" style="42"/>
    <col min="12052" max="12052" width="35" style="42" customWidth="1"/>
    <col min="12053" max="12070" width="12.140625" style="42"/>
    <col min="12071" max="12071" width="7.5703125" style="42" customWidth="1"/>
    <col min="12072" max="12072" width="35" style="42" customWidth="1"/>
    <col min="12073" max="12073" width="6.42578125" style="42" customWidth="1"/>
    <col min="12074" max="12074" width="11" style="42" customWidth="1"/>
    <col min="12075" max="12075" width="3" style="42" customWidth="1"/>
    <col min="12076" max="12288" width="12.140625" style="42"/>
    <col min="12289" max="12290" width="11.42578125" style="42" customWidth="1"/>
    <col min="12291" max="12291" width="46.42578125" style="42" customWidth="1"/>
    <col min="12292" max="12296" width="33" style="42" customWidth="1"/>
    <col min="12297" max="12307" width="12.140625" style="42"/>
    <col min="12308" max="12308" width="35" style="42" customWidth="1"/>
    <col min="12309" max="12326" width="12.140625" style="42"/>
    <col min="12327" max="12327" width="7.5703125" style="42" customWidth="1"/>
    <col min="12328" max="12328" width="35" style="42" customWidth="1"/>
    <col min="12329" max="12329" width="6.42578125" style="42" customWidth="1"/>
    <col min="12330" max="12330" width="11" style="42" customWidth="1"/>
    <col min="12331" max="12331" width="3" style="42" customWidth="1"/>
    <col min="12332" max="12544" width="12.140625" style="42"/>
    <col min="12545" max="12546" width="11.42578125" style="42" customWidth="1"/>
    <col min="12547" max="12547" width="46.42578125" style="42" customWidth="1"/>
    <col min="12548" max="12552" width="33" style="42" customWidth="1"/>
    <col min="12553" max="12563" width="12.140625" style="42"/>
    <col min="12564" max="12564" width="35" style="42" customWidth="1"/>
    <col min="12565" max="12582" width="12.140625" style="42"/>
    <col min="12583" max="12583" width="7.5703125" style="42" customWidth="1"/>
    <col min="12584" max="12584" width="35" style="42" customWidth="1"/>
    <col min="12585" max="12585" width="6.42578125" style="42" customWidth="1"/>
    <col min="12586" max="12586" width="11" style="42" customWidth="1"/>
    <col min="12587" max="12587" width="3" style="42" customWidth="1"/>
    <col min="12588" max="12800" width="12.140625" style="42"/>
    <col min="12801" max="12802" width="11.42578125" style="42" customWidth="1"/>
    <col min="12803" max="12803" width="46.42578125" style="42" customWidth="1"/>
    <col min="12804" max="12808" width="33" style="42" customWidth="1"/>
    <col min="12809" max="12819" width="12.140625" style="42"/>
    <col min="12820" max="12820" width="35" style="42" customWidth="1"/>
    <col min="12821" max="12838" width="12.140625" style="42"/>
    <col min="12839" max="12839" width="7.5703125" style="42" customWidth="1"/>
    <col min="12840" max="12840" width="35" style="42" customWidth="1"/>
    <col min="12841" max="12841" width="6.42578125" style="42" customWidth="1"/>
    <col min="12842" max="12842" width="11" style="42" customWidth="1"/>
    <col min="12843" max="12843" width="3" style="42" customWidth="1"/>
    <col min="12844" max="13056" width="12.140625" style="42"/>
    <col min="13057" max="13058" width="11.42578125" style="42" customWidth="1"/>
    <col min="13059" max="13059" width="46.42578125" style="42" customWidth="1"/>
    <col min="13060" max="13064" width="33" style="42" customWidth="1"/>
    <col min="13065" max="13075" width="12.140625" style="42"/>
    <col min="13076" max="13076" width="35" style="42" customWidth="1"/>
    <col min="13077" max="13094" width="12.140625" style="42"/>
    <col min="13095" max="13095" width="7.5703125" style="42" customWidth="1"/>
    <col min="13096" max="13096" width="35" style="42" customWidth="1"/>
    <col min="13097" max="13097" width="6.42578125" style="42" customWidth="1"/>
    <col min="13098" max="13098" width="11" style="42" customWidth="1"/>
    <col min="13099" max="13099" width="3" style="42" customWidth="1"/>
    <col min="13100" max="13312" width="12.140625" style="42"/>
    <col min="13313" max="13314" width="11.42578125" style="42" customWidth="1"/>
    <col min="13315" max="13315" width="46.42578125" style="42" customWidth="1"/>
    <col min="13316" max="13320" width="33" style="42" customWidth="1"/>
    <col min="13321" max="13331" width="12.140625" style="42"/>
    <col min="13332" max="13332" width="35" style="42" customWidth="1"/>
    <col min="13333" max="13350" width="12.140625" style="42"/>
    <col min="13351" max="13351" width="7.5703125" style="42" customWidth="1"/>
    <col min="13352" max="13352" width="35" style="42" customWidth="1"/>
    <col min="13353" max="13353" width="6.42578125" style="42" customWidth="1"/>
    <col min="13354" max="13354" width="11" style="42" customWidth="1"/>
    <col min="13355" max="13355" width="3" style="42" customWidth="1"/>
    <col min="13356" max="13568" width="12.140625" style="42"/>
    <col min="13569" max="13570" width="11.42578125" style="42" customWidth="1"/>
    <col min="13571" max="13571" width="46.42578125" style="42" customWidth="1"/>
    <col min="13572" max="13576" width="33" style="42" customWidth="1"/>
    <col min="13577" max="13587" width="12.140625" style="42"/>
    <col min="13588" max="13588" width="35" style="42" customWidth="1"/>
    <col min="13589" max="13606" width="12.140625" style="42"/>
    <col min="13607" max="13607" width="7.5703125" style="42" customWidth="1"/>
    <col min="13608" max="13608" width="35" style="42" customWidth="1"/>
    <col min="13609" max="13609" width="6.42578125" style="42" customWidth="1"/>
    <col min="13610" max="13610" width="11" style="42" customWidth="1"/>
    <col min="13611" max="13611" width="3" style="42" customWidth="1"/>
    <col min="13612" max="13824" width="12.140625" style="42"/>
    <col min="13825" max="13826" width="11.42578125" style="42" customWidth="1"/>
    <col min="13827" max="13827" width="46.42578125" style="42" customWidth="1"/>
    <col min="13828" max="13832" width="33" style="42" customWidth="1"/>
    <col min="13833" max="13843" width="12.140625" style="42"/>
    <col min="13844" max="13844" width="35" style="42" customWidth="1"/>
    <col min="13845" max="13862" width="12.140625" style="42"/>
    <col min="13863" max="13863" width="7.5703125" style="42" customWidth="1"/>
    <col min="13864" max="13864" width="35" style="42" customWidth="1"/>
    <col min="13865" max="13865" width="6.42578125" style="42" customWidth="1"/>
    <col min="13866" max="13866" width="11" style="42" customWidth="1"/>
    <col min="13867" max="13867" width="3" style="42" customWidth="1"/>
    <col min="13868" max="14080" width="12.140625" style="42"/>
    <col min="14081" max="14082" width="11.42578125" style="42" customWidth="1"/>
    <col min="14083" max="14083" width="46.42578125" style="42" customWidth="1"/>
    <col min="14084" max="14088" width="33" style="42" customWidth="1"/>
    <col min="14089" max="14099" width="12.140625" style="42"/>
    <col min="14100" max="14100" width="35" style="42" customWidth="1"/>
    <col min="14101" max="14118" width="12.140625" style="42"/>
    <col min="14119" max="14119" width="7.5703125" style="42" customWidth="1"/>
    <col min="14120" max="14120" width="35" style="42" customWidth="1"/>
    <col min="14121" max="14121" width="6.42578125" style="42" customWidth="1"/>
    <col min="14122" max="14122" width="11" style="42" customWidth="1"/>
    <col min="14123" max="14123" width="3" style="42" customWidth="1"/>
    <col min="14124" max="14336" width="12.140625" style="42"/>
    <col min="14337" max="14338" width="11.42578125" style="42" customWidth="1"/>
    <col min="14339" max="14339" width="46.42578125" style="42" customWidth="1"/>
    <col min="14340" max="14344" width="33" style="42" customWidth="1"/>
    <col min="14345" max="14355" width="12.140625" style="42"/>
    <col min="14356" max="14356" width="35" style="42" customWidth="1"/>
    <col min="14357" max="14374" width="12.140625" style="42"/>
    <col min="14375" max="14375" width="7.5703125" style="42" customWidth="1"/>
    <col min="14376" max="14376" width="35" style="42" customWidth="1"/>
    <col min="14377" max="14377" width="6.42578125" style="42" customWidth="1"/>
    <col min="14378" max="14378" width="11" style="42" customWidth="1"/>
    <col min="14379" max="14379" width="3" style="42" customWidth="1"/>
    <col min="14380" max="14592" width="12.140625" style="42"/>
    <col min="14593" max="14594" width="11.42578125" style="42" customWidth="1"/>
    <col min="14595" max="14595" width="46.42578125" style="42" customWidth="1"/>
    <col min="14596" max="14600" width="33" style="42" customWidth="1"/>
    <col min="14601" max="14611" width="12.140625" style="42"/>
    <col min="14612" max="14612" width="35" style="42" customWidth="1"/>
    <col min="14613" max="14630" width="12.140625" style="42"/>
    <col min="14631" max="14631" width="7.5703125" style="42" customWidth="1"/>
    <col min="14632" max="14632" width="35" style="42" customWidth="1"/>
    <col min="14633" max="14633" width="6.42578125" style="42" customWidth="1"/>
    <col min="14634" max="14634" width="11" style="42" customWidth="1"/>
    <col min="14635" max="14635" width="3" style="42" customWidth="1"/>
    <col min="14636" max="14848" width="12.140625" style="42"/>
    <col min="14849" max="14850" width="11.42578125" style="42" customWidth="1"/>
    <col min="14851" max="14851" width="46.42578125" style="42" customWidth="1"/>
    <col min="14852" max="14856" width="33" style="42" customWidth="1"/>
    <col min="14857" max="14867" width="12.140625" style="42"/>
    <col min="14868" max="14868" width="35" style="42" customWidth="1"/>
    <col min="14869" max="14886" width="12.140625" style="42"/>
    <col min="14887" max="14887" width="7.5703125" style="42" customWidth="1"/>
    <col min="14888" max="14888" width="35" style="42" customWidth="1"/>
    <col min="14889" max="14889" width="6.42578125" style="42" customWidth="1"/>
    <col min="14890" max="14890" width="11" style="42" customWidth="1"/>
    <col min="14891" max="14891" width="3" style="42" customWidth="1"/>
    <col min="14892" max="15104" width="12.140625" style="42"/>
    <col min="15105" max="15106" width="11.42578125" style="42" customWidth="1"/>
    <col min="15107" max="15107" width="46.42578125" style="42" customWidth="1"/>
    <col min="15108" max="15112" width="33" style="42" customWidth="1"/>
    <col min="15113" max="15123" width="12.140625" style="42"/>
    <col min="15124" max="15124" width="35" style="42" customWidth="1"/>
    <col min="15125" max="15142" width="12.140625" style="42"/>
    <col min="15143" max="15143" width="7.5703125" style="42" customWidth="1"/>
    <col min="15144" max="15144" width="35" style="42" customWidth="1"/>
    <col min="15145" max="15145" width="6.42578125" style="42" customWidth="1"/>
    <col min="15146" max="15146" width="11" style="42" customWidth="1"/>
    <col min="15147" max="15147" width="3" style="42" customWidth="1"/>
    <col min="15148" max="15360" width="12.140625" style="42"/>
    <col min="15361" max="15362" width="11.42578125" style="42" customWidth="1"/>
    <col min="15363" max="15363" width="46.42578125" style="42" customWidth="1"/>
    <col min="15364" max="15368" width="33" style="42" customWidth="1"/>
    <col min="15369" max="15379" width="12.140625" style="42"/>
    <col min="15380" max="15380" width="35" style="42" customWidth="1"/>
    <col min="15381" max="15398" width="12.140625" style="42"/>
    <col min="15399" max="15399" width="7.5703125" style="42" customWidth="1"/>
    <col min="15400" max="15400" width="35" style="42" customWidth="1"/>
    <col min="15401" max="15401" width="6.42578125" style="42" customWidth="1"/>
    <col min="15402" max="15402" width="11" style="42" customWidth="1"/>
    <col min="15403" max="15403" width="3" style="42" customWidth="1"/>
    <col min="15404" max="15616" width="12.140625" style="42"/>
    <col min="15617" max="15618" width="11.42578125" style="42" customWidth="1"/>
    <col min="15619" max="15619" width="46.42578125" style="42" customWidth="1"/>
    <col min="15620" max="15624" width="33" style="42" customWidth="1"/>
    <col min="15625" max="15635" width="12.140625" style="42"/>
    <col min="15636" max="15636" width="35" style="42" customWidth="1"/>
    <col min="15637" max="15654" width="12.140625" style="42"/>
    <col min="15655" max="15655" width="7.5703125" style="42" customWidth="1"/>
    <col min="15656" max="15656" width="35" style="42" customWidth="1"/>
    <col min="15657" max="15657" width="6.42578125" style="42" customWidth="1"/>
    <col min="15658" max="15658" width="11" style="42" customWidth="1"/>
    <col min="15659" max="15659" width="3" style="42" customWidth="1"/>
    <col min="15660" max="15872" width="12.140625" style="42"/>
    <col min="15873" max="15874" width="11.42578125" style="42" customWidth="1"/>
    <col min="15875" max="15875" width="46.42578125" style="42" customWidth="1"/>
    <col min="15876" max="15880" width="33" style="42" customWidth="1"/>
    <col min="15881" max="15891" width="12.140625" style="42"/>
    <col min="15892" max="15892" width="35" style="42" customWidth="1"/>
    <col min="15893" max="15910" width="12.140625" style="42"/>
    <col min="15911" max="15911" width="7.5703125" style="42" customWidth="1"/>
    <col min="15912" max="15912" width="35" style="42" customWidth="1"/>
    <col min="15913" max="15913" width="6.42578125" style="42" customWidth="1"/>
    <col min="15914" max="15914" width="11" style="42" customWidth="1"/>
    <col min="15915" max="15915" width="3" style="42" customWidth="1"/>
    <col min="15916" max="16128" width="12.140625" style="42"/>
    <col min="16129" max="16130" width="11.42578125" style="42" customWidth="1"/>
    <col min="16131" max="16131" width="46.42578125" style="42" customWidth="1"/>
    <col min="16132" max="16136" width="33" style="42" customWidth="1"/>
    <col min="16137" max="16147" width="12.140625" style="42"/>
    <col min="16148" max="16148" width="35" style="42" customWidth="1"/>
    <col min="16149" max="16166" width="12.140625" style="42"/>
    <col min="16167" max="16167" width="7.5703125" style="42" customWidth="1"/>
    <col min="16168" max="16168" width="35" style="42" customWidth="1"/>
    <col min="16169" max="16169" width="6.42578125" style="42" customWidth="1"/>
    <col min="16170" max="16170" width="11" style="42" customWidth="1"/>
    <col min="16171" max="16171" width="3" style="42" customWidth="1"/>
    <col min="16172" max="16384" width="12.140625" style="42"/>
  </cols>
  <sheetData>
    <row r="1" spans="1:9">
      <c r="A1" s="41" t="s">
        <v>0</v>
      </c>
      <c r="B1" s="42" t="s">
        <v>1</v>
      </c>
      <c r="D1" s="43" t="s">
        <v>85</v>
      </c>
      <c r="E1" s="44"/>
      <c r="G1" s="41" t="s">
        <v>86</v>
      </c>
    </row>
    <row r="2" spans="1:9" ht="15.75" thickBot="1">
      <c r="A2" s="45"/>
      <c r="B2" s="46"/>
      <c r="C2" s="46"/>
      <c r="D2" s="46"/>
      <c r="E2" s="46"/>
      <c r="F2" s="46"/>
      <c r="G2" s="45"/>
      <c r="H2" s="46"/>
    </row>
    <row r="3" spans="1:9">
      <c r="A3" s="47"/>
      <c r="B3" s="48"/>
      <c r="C3" s="48"/>
      <c r="D3" s="48"/>
      <c r="E3" s="48"/>
      <c r="F3" s="48"/>
      <c r="G3" s="47"/>
      <c r="H3" s="48"/>
    </row>
    <row r="4" spans="1:9">
      <c r="A4" s="41" t="s">
        <v>5</v>
      </c>
      <c r="D4" s="49" t="s">
        <v>81</v>
      </c>
      <c r="E4" s="3" t="s">
        <v>87</v>
      </c>
      <c r="G4" s="3" t="s">
        <v>8</v>
      </c>
    </row>
    <row r="5" spans="1:9">
      <c r="E5" s="51" t="s">
        <v>88</v>
      </c>
      <c r="G5" s="3" t="s">
        <v>89</v>
      </c>
    </row>
    <row r="6" spans="1:9">
      <c r="A6" s="41" t="s">
        <v>11</v>
      </c>
      <c r="B6" s="11" t="str">
        <f>'[1]G1-1'!B6</f>
        <v>Florida Public Utilities Company Consolidated Gas</v>
      </c>
      <c r="C6" s="41"/>
      <c r="G6" s="3" t="s">
        <v>90</v>
      </c>
    </row>
    <row r="7" spans="1:9">
      <c r="B7" s="11"/>
    </row>
    <row r="8" spans="1:9">
      <c r="A8" s="41" t="s">
        <v>13</v>
      </c>
      <c r="B8" s="11">
        <f>'[1]G1-1'!B8</f>
        <v>0</v>
      </c>
      <c r="C8" s="35" t="s">
        <v>137</v>
      </c>
    </row>
    <row r="9" spans="1:9" ht="15.75" thickBot="1">
      <c r="A9" s="45"/>
      <c r="B9" s="46"/>
      <c r="C9" s="46"/>
      <c r="D9" s="46"/>
      <c r="E9" s="46"/>
      <c r="F9" s="46"/>
      <c r="G9" s="45"/>
      <c r="H9" s="46"/>
    </row>
    <row r="10" spans="1:9">
      <c r="E10" s="52"/>
    </row>
    <row r="11" spans="1:9">
      <c r="D11" s="53" t="s">
        <v>91</v>
      </c>
      <c r="F11" s="53" t="s">
        <v>92</v>
      </c>
      <c r="G11" s="53" t="s">
        <v>93</v>
      </c>
      <c r="H11" s="53" t="s">
        <v>94</v>
      </c>
    </row>
    <row r="12" spans="1:9">
      <c r="A12" s="41" t="s">
        <v>15</v>
      </c>
      <c r="B12" s="44" t="s">
        <v>95</v>
      </c>
      <c r="C12" s="53" t="s">
        <v>96</v>
      </c>
      <c r="D12" s="53" t="s">
        <v>97</v>
      </c>
      <c r="E12" s="53" t="s">
        <v>98</v>
      </c>
      <c r="F12" s="53" t="s">
        <v>99</v>
      </c>
      <c r="G12" s="53" t="s">
        <v>100</v>
      </c>
      <c r="H12" s="53" t="s">
        <v>100</v>
      </c>
    </row>
    <row r="13" spans="1:9">
      <c r="A13" s="47" t="s">
        <v>17</v>
      </c>
      <c r="B13" s="15" t="s">
        <v>17</v>
      </c>
      <c r="C13" s="54" t="s">
        <v>101</v>
      </c>
      <c r="D13" s="55" t="s">
        <v>102</v>
      </c>
      <c r="E13" s="54" t="s">
        <v>103</v>
      </c>
      <c r="F13" s="55" t="s">
        <v>102</v>
      </c>
      <c r="G13" s="54" t="s">
        <v>99</v>
      </c>
      <c r="H13" s="54" t="s">
        <v>99</v>
      </c>
    </row>
    <row r="14" spans="1:9" ht="15.75" thickBot="1">
      <c r="A14" s="45"/>
      <c r="B14" s="56"/>
      <c r="C14" s="57"/>
      <c r="D14" s="58"/>
      <c r="E14" s="57"/>
      <c r="F14" s="58"/>
      <c r="G14" s="57"/>
      <c r="H14" s="57"/>
    </row>
    <row r="15" spans="1:9">
      <c r="A15" s="41"/>
      <c r="B15" s="41"/>
      <c r="C15" s="41"/>
      <c r="D15" s="44"/>
      <c r="E15" s="44"/>
      <c r="F15" s="49"/>
      <c r="G15" s="44"/>
      <c r="H15" s="44"/>
      <c r="I15" s="27"/>
    </row>
    <row r="16" spans="1:9">
      <c r="A16" s="59">
        <v>1</v>
      </c>
      <c r="B16" s="18" t="s">
        <v>26</v>
      </c>
      <c r="C16" s="19" t="s">
        <v>27</v>
      </c>
      <c r="D16" s="60" t="s">
        <v>104</v>
      </c>
      <c r="E16" s="61">
        <v>0</v>
      </c>
      <c r="F16" s="60" t="s">
        <v>104</v>
      </c>
      <c r="G16" s="61">
        <v>0</v>
      </c>
      <c r="H16" s="42">
        <v>0</v>
      </c>
      <c r="I16" s="27"/>
    </row>
    <row r="17" spans="1:10">
      <c r="A17" s="59">
        <f>+A16+1</f>
        <v>2</v>
      </c>
      <c r="B17" s="18" t="s">
        <v>28</v>
      </c>
      <c r="C17" s="19" t="s">
        <v>25</v>
      </c>
      <c r="D17" s="60" t="s">
        <v>104</v>
      </c>
      <c r="E17" s="62">
        <v>0</v>
      </c>
      <c r="F17" s="60" t="s">
        <v>104</v>
      </c>
      <c r="G17" s="62">
        <v>0</v>
      </c>
      <c r="H17" s="62">
        <v>0</v>
      </c>
      <c r="I17" s="27"/>
    </row>
    <row r="18" spans="1:10">
      <c r="A18" s="59">
        <f>+A17+1</f>
        <v>3</v>
      </c>
      <c r="B18" s="24">
        <v>3761</v>
      </c>
      <c r="C18" s="25" t="s">
        <v>29</v>
      </c>
      <c r="D18" s="60" t="s">
        <v>104</v>
      </c>
      <c r="E18" s="62">
        <f>5325950.82000001+1404000+400000</f>
        <v>7129950.8200000096</v>
      </c>
      <c r="F18" s="60" t="s">
        <v>104</v>
      </c>
      <c r="G18" s="62">
        <f>'2023 plant retirements'!P21</f>
        <v>861928</v>
      </c>
      <c r="H18" s="62">
        <f>'2023 Cost of Removal'!P21</f>
        <v>221881</v>
      </c>
      <c r="I18" s="27"/>
    </row>
    <row r="19" spans="1:10">
      <c r="A19" s="59">
        <f t="shared" ref="A19:A49" si="0">+A18+1</f>
        <v>4</v>
      </c>
      <c r="B19" s="24">
        <v>3762</v>
      </c>
      <c r="C19" s="25" t="s">
        <v>30</v>
      </c>
      <c r="D19" s="60" t="s">
        <v>104</v>
      </c>
      <c r="E19" s="62">
        <v>0</v>
      </c>
      <c r="F19" s="60" t="s">
        <v>104</v>
      </c>
      <c r="G19" s="62">
        <v>0</v>
      </c>
      <c r="H19" s="62">
        <v>0</v>
      </c>
      <c r="I19" s="27"/>
    </row>
    <row r="20" spans="1:10">
      <c r="A20" s="59">
        <f t="shared" si="0"/>
        <v>5</v>
      </c>
      <c r="B20" s="24" t="s">
        <v>31</v>
      </c>
      <c r="C20" s="25" t="s">
        <v>32</v>
      </c>
      <c r="D20" s="60" t="s">
        <v>104</v>
      </c>
      <c r="E20" s="62">
        <v>0</v>
      </c>
      <c r="F20" s="60" t="s">
        <v>104</v>
      </c>
      <c r="G20" s="62">
        <v>0</v>
      </c>
      <c r="H20" s="62">
        <v>0</v>
      </c>
      <c r="I20" s="27"/>
      <c r="J20" s="63"/>
    </row>
    <row r="21" spans="1:10">
      <c r="A21" s="59">
        <f t="shared" si="0"/>
        <v>6</v>
      </c>
      <c r="B21" s="18" t="s">
        <v>33</v>
      </c>
      <c r="C21" s="19" t="s">
        <v>34</v>
      </c>
      <c r="D21" s="60" t="s">
        <v>104</v>
      </c>
      <c r="E21" s="62">
        <v>932534</v>
      </c>
      <c r="F21" s="60" t="s">
        <v>104</v>
      </c>
      <c r="G21" s="62">
        <v>0</v>
      </c>
      <c r="H21" s="62">
        <f>'2023 Cost of Removal'!P24</f>
        <v>0</v>
      </c>
      <c r="I21" s="64"/>
      <c r="J21" s="63"/>
    </row>
    <row r="22" spans="1:10">
      <c r="A22" s="59">
        <f t="shared" si="0"/>
        <v>7</v>
      </c>
      <c r="B22" s="18" t="s">
        <v>35</v>
      </c>
      <c r="C22" s="19" t="s">
        <v>36</v>
      </c>
      <c r="D22" s="60" t="s">
        <v>104</v>
      </c>
      <c r="E22" s="62">
        <v>700000</v>
      </c>
      <c r="F22" s="60" t="s">
        <v>104</v>
      </c>
      <c r="G22" s="62">
        <v>0</v>
      </c>
      <c r="H22" s="62">
        <v>0</v>
      </c>
      <c r="I22" s="27"/>
      <c r="J22" s="63"/>
    </row>
    <row r="23" spans="1:10">
      <c r="A23" s="59">
        <f t="shared" si="0"/>
        <v>8</v>
      </c>
      <c r="B23" s="18">
        <v>3801</v>
      </c>
      <c r="C23" s="19" t="s">
        <v>37</v>
      </c>
      <c r="D23" s="60" t="s">
        <v>104</v>
      </c>
      <c r="E23" s="62">
        <v>3010149.7594553931</v>
      </c>
      <c r="F23" s="60" t="s">
        <v>104</v>
      </c>
      <c r="G23" s="62">
        <f>'2023 plant retirements'!P26</f>
        <v>326223</v>
      </c>
      <c r="H23" s="62">
        <f>'2023 Cost of Removal'!P26</f>
        <v>216730</v>
      </c>
      <c r="I23" s="64"/>
      <c r="J23" s="63"/>
    </row>
    <row r="24" spans="1:10">
      <c r="A24" s="59">
        <f t="shared" si="0"/>
        <v>9</v>
      </c>
      <c r="B24" s="18">
        <v>3802</v>
      </c>
      <c r="C24" s="19" t="s">
        <v>38</v>
      </c>
      <c r="D24" s="60" t="s">
        <v>104</v>
      </c>
      <c r="E24" s="62">
        <v>0</v>
      </c>
      <c r="F24" s="60" t="s">
        <v>104</v>
      </c>
      <c r="G24" s="62">
        <v>0</v>
      </c>
      <c r="H24" s="62">
        <v>0</v>
      </c>
      <c r="I24" s="27"/>
      <c r="J24" s="63"/>
    </row>
    <row r="25" spans="1:10">
      <c r="A25" s="59">
        <f t="shared" si="0"/>
        <v>10</v>
      </c>
      <c r="B25" s="18" t="s">
        <v>39</v>
      </c>
      <c r="C25" s="19" t="s">
        <v>40</v>
      </c>
      <c r="D25" s="60" t="s">
        <v>104</v>
      </c>
      <c r="E25" s="62">
        <v>0</v>
      </c>
      <c r="F25" s="60" t="s">
        <v>104</v>
      </c>
      <c r="G25" s="62">
        <f>'2023 plant retirements'!P28</f>
        <v>0</v>
      </c>
      <c r="H25" s="62">
        <v>0</v>
      </c>
      <c r="I25" s="27"/>
      <c r="J25" s="63"/>
    </row>
    <row r="26" spans="1:10">
      <c r="A26" s="59">
        <f t="shared" si="0"/>
        <v>11</v>
      </c>
      <c r="B26" s="18" t="s">
        <v>41</v>
      </c>
      <c r="C26" s="19" t="s">
        <v>42</v>
      </c>
      <c r="D26" s="60" t="s">
        <v>104</v>
      </c>
      <c r="E26" s="62">
        <v>871109.15766728285</v>
      </c>
      <c r="F26" s="60" t="s">
        <v>104</v>
      </c>
      <c r="G26" s="62">
        <f>'2023 plant retirements'!P29</f>
        <v>94835</v>
      </c>
      <c r="H26" s="62">
        <f>'2023 Cost of Removal'!P29</f>
        <v>33100</v>
      </c>
      <c r="I26" s="27"/>
      <c r="J26" s="63"/>
    </row>
    <row r="27" spans="1:10">
      <c r="A27" s="59">
        <f t="shared" si="0"/>
        <v>12</v>
      </c>
      <c r="B27" s="18">
        <v>3811</v>
      </c>
      <c r="C27" s="19" t="s">
        <v>43</v>
      </c>
      <c r="D27" s="60" t="s">
        <v>104</v>
      </c>
      <c r="E27" s="118">
        <v>0</v>
      </c>
      <c r="F27" s="60" t="s">
        <v>104</v>
      </c>
      <c r="G27" s="62">
        <v>0</v>
      </c>
      <c r="H27" s="62">
        <v>0</v>
      </c>
      <c r="I27" s="64"/>
      <c r="J27" s="63"/>
    </row>
    <row r="28" spans="1:10">
      <c r="A28" s="59">
        <f t="shared" si="0"/>
        <v>13</v>
      </c>
      <c r="B28" s="18" t="s">
        <v>44</v>
      </c>
      <c r="C28" s="19" t="s">
        <v>45</v>
      </c>
      <c r="D28" s="60" t="s">
        <v>104</v>
      </c>
      <c r="E28" s="62">
        <v>216582.78572286331</v>
      </c>
      <c r="F28" s="60" t="s">
        <v>104</v>
      </c>
      <c r="G28" s="62">
        <v>0</v>
      </c>
      <c r="H28" s="62">
        <v>0</v>
      </c>
      <c r="I28" s="27"/>
      <c r="J28" s="63"/>
    </row>
    <row r="29" spans="1:10">
      <c r="A29" s="59">
        <f t="shared" si="0"/>
        <v>14</v>
      </c>
      <c r="B29" s="18">
        <v>3821</v>
      </c>
      <c r="C29" s="25" t="s">
        <v>46</v>
      </c>
      <c r="D29" s="60" t="s">
        <v>104</v>
      </c>
      <c r="E29" s="62">
        <v>0</v>
      </c>
      <c r="F29" s="60" t="s">
        <v>104</v>
      </c>
      <c r="G29" s="62">
        <v>0</v>
      </c>
      <c r="H29" s="62">
        <v>0</v>
      </c>
      <c r="I29" s="27"/>
      <c r="J29" s="63"/>
    </row>
    <row r="30" spans="1:10">
      <c r="A30" s="59">
        <f t="shared" si="0"/>
        <v>15</v>
      </c>
      <c r="B30" s="18" t="s">
        <v>47</v>
      </c>
      <c r="C30" s="19" t="s">
        <v>48</v>
      </c>
      <c r="D30" s="60" t="s">
        <v>104</v>
      </c>
      <c r="E30" s="62">
        <v>148340.12291539917</v>
      </c>
      <c r="F30" s="60" t="s">
        <v>104</v>
      </c>
      <c r="G30" s="62">
        <f>'2023 plant retirements'!P33</f>
        <v>3553</v>
      </c>
      <c r="H30" s="62">
        <f>'2023 Cost of Removal'!P33</f>
        <v>741</v>
      </c>
      <c r="I30" s="27"/>
      <c r="J30" s="63"/>
    </row>
    <row r="31" spans="1:10">
      <c r="A31" s="59">
        <f t="shared" si="0"/>
        <v>16</v>
      </c>
      <c r="B31" s="18" t="s">
        <v>49</v>
      </c>
      <c r="C31" s="19" t="s">
        <v>50</v>
      </c>
      <c r="D31" s="60" t="s">
        <v>104</v>
      </c>
      <c r="E31" s="62">
        <v>24064.753969188732</v>
      </c>
      <c r="F31" s="60" t="s">
        <v>104</v>
      </c>
      <c r="G31" s="62">
        <v>0</v>
      </c>
      <c r="H31" s="62">
        <v>0</v>
      </c>
      <c r="I31" s="27"/>
      <c r="J31" s="63"/>
    </row>
    <row r="32" spans="1:10">
      <c r="A32" s="59">
        <f t="shared" si="0"/>
        <v>17</v>
      </c>
      <c r="B32" s="18" t="s">
        <v>51</v>
      </c>
      <c r="C32" s="19" t="s">
        <v>52</v>
      </c>
      <c r="D32" s="60" t="s">
        <v>104</v>
      </c>
      <c r="E32" s="62">
        <v>0</v>
      </c>
      <c r="F32" s="60" t="s">
        <v>104</v>
      </c>
      <c r="G32" s="62">
        <v>0</v>
      </c>
      <c r="H32" s="62">
        <v>0</v>
      </c>
      <c r="I32" s="27"/>
      <c r="J32" s="63"/>
    </row>
    <row r="33" spans="1:10">
      <c r="A33" s="59">
        <f t="shared" si="0"/>
        <v>18</v>
      </c>
      <c r="B33" s="18" t="s">
        <v>53</v>
      </c>
      <c r="C33" s="19" t="s">
        <v>54</v>
      </c>
      <c r="D33" s="60" t="s">
        <v>104</v>
      </c>
      <c r="E33" s="62">
        <v>623400</v>
      </c>
      <c r="F33" s="60" t="s">
        <v>104</v>
      </c>
      <c r="G33" s="62">
        <v>0</v>
      </c>
      <c r="H33" s="62">
        <v>0</v>
      </c>
      <c r="I33" s="27"/>
      <c r="J33" s="63"/>
    </row>
    <row r="34" spans="1:10">
      <c r="A34" s="59">
        <f t="shared" si="0"/>
        <v>19</v>
      </c>
      <c r="B34" s="18" t="s">
        <v>55</v>
      </c>
      <c r="C34" s="19" t="s">
        <v>27</v>
      </c>
      <c r="D34" s="60" t="s">
        <v>104</v>
      </c>
      <c r="E34" s="62">
        <v>145000</v>
      </c>
      <c r="F34" s="60" t="s">
        <v>104</v>
      </c>
      <c r="G34" s="62">
        <v>0</v>
      </c>
      <c r="H34" s="62">
        <v>0</v>
      </c>
      <c r="I34" s="27"/>
      <c r="J34" s="63"/>
    </row>
    <row r="35" spans="1:10">
      <c r="A35" s="59">
        <f t="shared" si="0"/>
        <v>20</v>
      </c>
      <c r="B35" s="18" t="s">
        <v>56</v>
      </c>
      <c r="C35" s="19" t="s">
        <v>25</v>
      </c>
      <c r="D35" s="60" t="s">
        <v>104</v>
      </c>
      <c r="E35" s="62">
        <v>0</v>
      </c>
      <c r="F35" s="60" t="s">
        <v>104</v>
      </c>
      <c r="G35" s="62">
        <v>0</v>
      </c>
      <c r="H35" s="62">
        <v>0</v>
      </c>
      <c r="I35" s="65"/>
      <c r="J35" s="63"/>
    </row>
    <row r="36" spans="1:10">
      <c r="A36" s="59">
        <f t="shared" si="0"/>
        <v>21</v>
      </c>
      <c r="B36" s="18">
        <v>3910</v>
      </c>
      <c r="C36" s="19" t="s">
        <v>57</v>
      </c>
      <c r="D36" s="60" t="s">
        <v>104</v>
      </c>
      <c r="E36" s="62">
        <v>85000</v>
      </c>
      <c r="F36" s="60" t="s">
        <v>104</v>
      </c>
      <c r="G36" s="62">
        <v>0</v>
      </c>
      <c r="H36" s="62">
        <v>0</v>
      </c>
      <c r="I36" s="36"/>
      <c r="J36" s="63"/>
    </row>
    <row r="37" spans="1:10">
      <c r="A37" s="59">
        <f t="shared" si="0"/>
        <v>22</v>
      </c>
      <c r="B37" s="18">
        <v>3911</v>
      </c>
      <c r="C37" s="19" t="s">
        <v>58</v>
      </c>
      <c r="D37" s="60" t="s">
        <v>104</v>
      </c>
      <c r="E37" s="62">
        <v>0</v>
      </c>
      <c r="F37" s="60" t="s">
        <v>104</v>
      </c>
      <c r="G37" s="62">
        <v>0</v>
      </c>
      <c r="H37" s="62">
        <v>0</v>
      </c>
      <c r="I37" s="66"/>
      <c r="J37" s="63"/>
    </row>
    <row r="38" spans="1:10">
      <c r="A38" s="59">
        <f t="shared" si="0"/>
        <v>23</v>
      </c>
      <c r="B38" s="18">
        <v>3912</v>
      </c>
      <c r="C38" s="19" t="s">
        <v>59</v>
      </c>
      <c r="D38" s="60" t="s">
        <v>104</v>
      </c>
      <c r="E38" s="62">
        <v>0</v>
      </c>
      <c r="F38" s="60" t="s">
        <v>104</v>
      </c>
      <c r="G38" s="62">
        <f>'2023 plant retirements'!P41</f>
        <v>38327.949999999997</v>
      </c>
      <c r="H38" s="62">
        <v>0</v>
      </c>
      <c r="I38" s="36"/>
      <c r="J38" s="63"/>
    </row>
    <row r="39" spans="1:10">
      <c r="A39" s="59">
        <f t="shared" si="0"/>
        <v>24</v>
      </c>
      <c r="B39" s="18">
        <v>3913</v>
      </c>
      <c r="C39" s="19" t="s">
        <v>60</v>
      </c>
      <c r="D39" s="60" t="s">
        <v>104</v>
      </c>
      <c r="E39" s="62">
        <v>0</v>
      </c>
      <c r="F39" s="60" t="s">
        <v>104</v>
      </c>
      <c r="G39" s="62">
        <v>0</v>
      </c>
      <c r="H39" s="62">
        <v>0</v>
      </c>
      <c r="I39" s="14"/>
      <c r="J39" s="63"/>
    </row>
    <row r="40" spans="1:10">
      <c r="A40" s="59">
        <f t="shared" si="0"/>
        <v>25</v>
      </c>
      <c r="B40" s="18">
        <v>3914</v>
      </c>
      <c r="C40" s="19" t="s">
        <v>61</v>
      </c>
      <c r="D40" s="60" t="s">
        <v>104</v>
      </c>
      <c r="E40" s="62">
        <v>24500</v>
      </c>
      <c r="F40" s="60" t="s">
        <v>104</v>
      </c>
      <c r="G40" s="62">
        <f>'2023 plant retirements'!P43</f>
        <v>289277.83</v>
      </c>
      <c r="H40" s="62">
        <v>0</v>
      </c>
      <c r="I40" s="36"/>
      <c r="J40" s="63"/>
    </row>
    <row r="41" spans="1:10">
      <c r="A41" s="59">
        <f t="shared" si="0"/>
        <v>26</v>
      </c>
      <c r="B41" s="18">
        <v>392</v>
      </c>
      <c r="C41" s="25" t="s">
        <v>62</v>
      </c>
      <c r="D41" s="60" t="s">
        <v>104</v>
      </c>
      <c r="E41" s="62">
        <v>0</v>
      </c>
      <c r="F41" s="60" t="s">
        <v>104</v>
      </c>
      <c r="G41" s="62">
        <v>0</v>
      </c>
      <c r="H41" s="62">
        <v>0</v>
      </c>
      <c r="I41" s="27"/>
      <c r="J41" s="63"/>
    </row>
    <row r="42" spans="1:10">
      <c r="A42" s="59">
        <f t="shared" si="0"/>
        <v>27</v>
      </c>
      <c r="B42" s="18">
        <v>3921</v>
      </c>
      <c r="C42" s="19" t="s">
        <v>63</v>
      </c>
      <c r="D42" s="60" t="s">
        <v>104</v>
      </c>
      <c r="E42" s="62">
        <v>360000</v>
      </c>
      <c r="F42" s="60" t="s">
        <v>104</v>
      </c>
      <c r="G42" s="62">
        <f>'2023 plant retirements'!P45</f>
        <v>126000</v>
      </c>
      <c r="H42" s="62">
        <v>0</v>
      </c>
      <c r="I42" s="27"/>
      <c r="J42" s="63"/>
    </row>
    <row r="43" spans="1:10">
      <c r="A43" s="59">
        <f t="shared" si="0"/>
        <v>28</v>
      </c>
      <c r="B43" s="18">
        <v>3922</v>
      </c>
      <c r="C43" s="19" t="s">
        <v>64</v>
      </c>
      <c r="D43" s="60" t="s">
        <v>104</v>
      </c>
      <c r="E43" s="62">
        <v>517303</v>
      </c>
      <c r="F43" s="60" t="s">
        <v>104</v>
      </c>
      <c r="G43" s="62">
        <f>'2023 plant retirements'!P46</f>
        <v>181171</v>
      </c>
      <c r="H43" s="62">
        <v>0</v>
      </c>
      <c r="I43" s="27"/>
      <c r="J43" s="63"/>
    </row>
    <row r="44" spans="1:10">
      <c r="A44" s="59">
        <f t="shared" si="0"/>
        <v>29</v>
      </c>
      <c r="B44" s="18">
        <v>3924</v>
      </c>
      <c r="C44" s="25" t="s">
        <v>65</v>
      </c>
      <c r="D44" s="60" t="s">
        <v>104</v>
      </c>
      <c r="E44" s="62">
        <v>0</v>
      </c>
      <c r="F44" s="60" t="s">
        <v>104</v>
      </c>
      <c r="G44" s="62">
        <v>0</v>
      </c>
      <c r="H44" s="62">
        <v>0</v>
      </c>
      <c r="I44" s="27"/>
      <c r="J44" s="63"/>
    </row>
    <row r="45" spans="1:10">
      <c r="A45" s="59">
        <f t="shared" si="0"/>
        <v>30</v>
      </c>
      <c r="B45" s="18" t="s">
        <v>66</v>
      </c>
      <c r="C45" s="19" t="s">
        <v>67</v>
      </c>
      <c r="D45" s="60" t="s">
        <v>104</v>
      </c>
      <c r="E45" s="62">
        <v>0</v>
      </c>
      <c r="F45" s="60" t="s">
        <v>104</v>
      </c>
      <c r="G45" s="62">
        <v>0</v>
      </c>
      <c r="H45" s="62">
        <v>0</v>
      </c>
      <c r="I45" s="27"/>
      <c r="J45" s="63"/>
    </row>
    <row r="46" spans="1:10">
      <c r="A46" s="59">
        <f t="shared" si="0"/>
        <v>31</v>
      </c>
      <c r="B46" s="18" t="s">
        <v>68</v>
      </c>
      <c r="C46" s="19" t="s">
        <v>69</v>
      </c>
      <c r="D46" s="60" t="s">
        <v>104</v>
      </c>
      <c r="E46" s="62">
        <v>228345</v>
      </c>
      <c r="F46" s="60" t="s">
        <v>104</v>
      </c>
      <c r="G46" s="62">
        <f>'2023 plant retirements'!P49</f>
        <v>13376.460000000001</v>
      </c>
      <c r="H46" s="62">
        <v>0</v>
      </c>
      <c r="I46" s="27"/>
      <c r="J46" s="63"/>
    </row>
    <row r="47" spans="1:10">
      <c r="A47" s="59">
        <f t="shared" si="0"/>
        <v>32</v>
      </c>
      <c r="B47" s="18" t="s">
        <v>70</v>
      </c>
      <c r="C47" s="19" t="s">
        <v>71</v>
      </c>
      <c r="D47" s="60" t="s">
        <v>104</v>
      </c>
      <c r="E47" s="62">
        <v>100000</v>
      </c>
      <c r="F47" s="60" t="s">
        <v>104</v>
      </c>
      <c r="G47" s="62">
        <f>'2023 plant retirements'!P50</f>
        <v>0</v>
      </c>
      <c r="H47" s="62">
        <v>0</v>
      </c>
      <c r="I47" s="27"/>
      <c r="J47" s="63"/>
    </row>
    <row r="48" spans="1:10">
      <c r="A48" s="59">
        <f t="shared" si="0"/>
        <v>33</v>
      </c>
      <c r="B48" s="18" t="s">
        <v>72</v>
      </c>
      <c r="C48" s="19" t="s">
        <v>73</v>
      </c>
      <c r="D48" s="60" t="s">
        <v>104</v>
      </c>
      <c r="E48" s="62">
        <v>0</v>
      </c>
      <c r="F48" s="60" t="s">
        <v>104</v>
      </c>
      <c r="G48" s="62">
        <v>0</v>
      </c>
      <c r="H48" s="62">
        <v>0</v>
      </c>
      <c r="I48" s="27"/>
      <c r="J48" s="63"/>
    </row>
    <row r="49" spans="1:10">
      <c r="A49" s="59">
        <f t="shared" si="0"/>
        <v>34</v>
      </c>
      <c r="B49" s="18" t="s">
        <v>74</v>
      </c>
      <c r="C49" s="19" t="s">
        <v>75</v>
      </c>
      <c r="D49" s="60" t="s">
        <v>104</v>
      </c>
      <c r="E49" s="62">
        <v>0</v>
      </c>
      <c r="F49" s="60" t="s">
        <v>104</v>
      </c>
      <c r="G49" s="62">
        <f>'2023 plant retirements'!P52</f>
        <v>101238.12000000002</v>
      </c>
      <c r="H49" s="62">
        <v>0</v>
      </c>
      <c r="I49" s="27"/>
      <c r="J49" s="63"/>
    </row>
    <row r="50" spans="1:10" ht="15.75">
      <c r="A50" s="67"/>
      <c r="D50" s="68"/>
      <c r="E50" s="63"/>
      <c r="F50" s="69"/>
      <c r="H50" s="63"/>
      <c r="I50" s="27"/>
      <c r="J50" s="63"/>
    </row>
    <row r="51" spans="1:10" ht="16.5" thickBot="1">
      <c r="A51" s="67">
        <v>29</v>
      </c>
      <c r="D51" s="68" t="s">
        <v>19</v>
      </c>
      <c r="E51" s="122">
        <f>SUM(E16:E50)</f>
        <v>15116279.399730135</v>
      </c>
      <c r="F51" s="63"/>
      <c r="G51" s="70">
        <f>SUM(G16:G50)</f>
        <v>2035930.36</v>
      </c>
      <c r="H51" s="70">
        <f>SUM(H16:H50)</f>
        <v>472452</v>
      </c>
      <c r="I51" s="27"/>
      <c r="J51" s="63"/>
    </row>
    <row r="52" spans="1:10" ht="15.75" thickTop="1">
      <c r="D52" s="63"/>
      <c r="E52" s="63"/>
      <c r="F52" s="63"/>
      <c r="G52" s="63"/>
      <c r="H52" s="63"/>
      <c r="I52" s="27"/>
      <c r="J52" s="63"/>
    </row>
    <row r="53" spans="1:10" ht="15.75" thickBot="1">
      <c r="A53" s="45"/>
      <c r="B53" s="46"/>
      <c r="C53" s="46"/>
      <c r="D53" s="46"/>
      <c r="E53" s="46"/>
      <c r="F53" s="46"/>
      <c r="G53" s="45"/>
      <c r="H53" s="46"/>
      <c r="I53" s="27"/>
    </row>
    <row r="54" spans="1:10">
      <c r="A54" s="41" t="s">
        <v>105</v>
      </c>
      <c r="D54" s="63"/>
      <c r="E54" s="69" t="s">
        <v>106</v>
      </c>
      <c r="F54" s="63"/>
      <c r="G54" s="63"/>
      <c r="H54" s="69"/>
      <c r="I54" s="27"/>
      <c r="J54" s="63"/>
    </row>
    <row r="55" spans="1:10">
      <c r="D55" s="63"/>
      <c r="E55" s="63"/>
      <c r="F55" s="63"/>
      <c r="G55" s="63"/>
      <c r="H55" s="63"/>
      <c r="I55" s="27"/>
      <c r="J55" s="63"/>
    </row>
    <row r="56" spans="1:10">
      <c r="D56" s="63"/>
      <c r="E56" s="63"/>
      <c r="F56" s="63"/>
      <c r="G56" s="63"/>
      <c r="H56" s="63"/>
      <c r="I56" s="27"/>
      <c r="J56" s="63"/>
    </row>
    <row r="57" spans="1:10">
      <c r="D57" s="63"/>
      <c r="E57" s="63"/>
      <c r="F57" s="63"/>
      <c r="G57" s="63"/>
      <c r="H57" s="63"/>
      <c r="I57" s="27"/>
      <c r="J57" s="63"/>
    </row>
    <row r="58" spans="1:10">
      <c r="D58" s="63"/>
      <c r="E58" s="63"/>
      <c r="F58" s="63"/>
      <c r="G58" s="63"/>
      <c r="H58" s="63"/>
      <c r="I58" s="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F1" workbookViewId="0">
      <selection activeCell="D16" sqref="D16:P16"/>
    </sheetView>
  </sheetViews>
  <sheetFormatPr defaultRowHeight="15"/>
  <cols>
    <col min="1" max="1" width="7.42578125" style="90" customWidth="1"/>
    <col min="2" max="2" width="39.7109375" style="90" customWidth="1"/>
    <col min="3" max="3" width="16.85546875" style="90" bestFit="1" customWidth="1"/>
    <col min="4" max="16" width="19" style="90" customWidth="1"/>
    <col min="17" max="17" width="15.5703125" style="90" bestFit="1" customWidth="1"/>
    <col min="18" max="16384" width="9.140625" style="90"/>
  </cols>
  <sheetData>
    <row r="1" spans="1:17" ht="15.75">
      <c r="A1" s="88" t="s">
        <v>0</v>
      </c>
      <c r="B1" s="52" t="s">
        <v>114</v>
      </c>
      <c r="C1" s="52"/>
      <c r="D1" s="52"/>
      <c r="E1" s="52"/>
      <c r="F1" s="89" t="s">
        <v>115</v>
      </c>
      <c r="G1" s="88"/>
      <c r="H1" s="52"/>
      <c r="I1" s="52"/>
      <c r="J1" s="52"/>
      <c r="K1" s="52"/>
      <c r="L1" s="52"/>
      <c r="M1" s="88" t="s">
        <v>116</v>
      </c>
      <c r="N1" s="52"/>
      <c r="O1" s="52"/>
      <c r="P1" s="88"/>
      <c r="Q1" s="52"/>
    </row>
    <row r="2" spans="1:17" ht="16.5" thickBot="1">
      <c r="A2" s="91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1"/>
    </row>
    <row r="3" spans="1:17" ht="15.75">
      <c r="A3" s="93"/>
      <c r="B3" s="93"/>
      <c r="C3" s="94"/>
      <c r="D3" s="94"/>
      <c r="E3" s="52"/>
      <c r="F3" s="94"/>
      <c r="G3" s="94"/>
      <c r="H3" s="94"/>
      <c r="I3" s="94"/>
      <c r="J3" s="94"/>
      <c r="K3" s="94"/>
      <c r="L3" s="52"/>
      <c r="M3" s="94"/>
      <c r="N3" s="94"/>
      <c r="O3" s="94"/>
      <c r="P3" s="94"/>
      <c r="Q3" s="93"/>
    </row>
    <row r="4" spans="1:17" ht="15.75">
      <c r="A4" s="88" t="s">
        <v>5</v>
      </c>
      <c r="B4" s="52"/>
      <c r="C4" s="52"/>
      <c r="D4" s="52"/>
      <c r="E4" s="52"/>
      <c r="F4" s="95" t="s">
        <v>81</v>
      </c>
      <c r="G4" s="96" t="s">
        <v>117</v>
      </c>
      <c r="H4" s="52"/>
      <c r="I4" s="52"/>
      <c r="J4" s="52"/>
      <c r="K4" s="52"/>
      <c r="L4" s="52"/>
      <c r="M4" s="88" t="s">
        <v>8</v>
      </c>
      <c r="N4" s="52"/>
      <c r="O4" s="52"/>
      <c r="P4" s="88"/>
      <c r="Q4" s="52"/>
    </row>
    <row r="5" spans="1:17" ht="15.75">
      <c r="A5" s="97"/>
      <c r="B5" s="52"/>
      <c r="C5" s="52"/>
      <c r="D5" s="52"/>
      <c r="E5" s="52"/>
      <c r="F5" s="52"/>
      <c r="G5" s="96" t="s">
        <v>118</v>
      </c>
      <c r="H5" s="52"/>
      <c r="I5" s="52"/>
      <c r="J5" s="52"/>
      <c r="K5" s="52"/>
      <c r="L5" s="52"/>
      <c r="M5" s="98" t="s">
        <v>119</v>
      </c>
      <c r="N5" s="52"/>
      <c r="O5" s="52"/>
      <c r="P5" s="98"/>
      <c r="Q5" s="52"/>
    </row>
    <row r="6" spans="1:17" ht="15.75">
      <c r="A6" s="98" t="s">
        <v>120</v>
      </c>
      <c r="B6" s="99" t="s">
        <v>121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98" t="s">
        <v>90</v>
      </c>
      <c r="N6" s="52"/>
      <c r="O6" s="52"/>
      <c r="P6" s="98"/>
      <c r="Q6" s="52"/>
    </row>
    <row r="7" spans="1:17" ht="15.75">
      <c r="A7" s="97"/>
      <c r="B7" s="10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15.75">
      <c r="A8" s="98" t="s">
        <v>122</v>
      </c>
      <c r="B8" s="100">
        <f>'[1]G1-1'!B8</f>
        <v>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16.5" thickBot="1">
      <c r="A9" s="10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7" ht="15.7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102"/>
      <c r="L10" s="93"/>
      <c r="M10" s="94"/>
      <c r="N10" s="94"/>
      <c r="O10" s="94"/>
      <c r="P10" s="94"/>
      <c r="Q10" s="93"/>
    </row>
    <row r="11" spans="1:17" ht="15.75">
      <c r="A11" s="88" t="s">
        <v>15</v>
      </c>
      <c r="B11" s="52"/>
      <c r="C11" s="103" t="s">
        <v>123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 t="s">
        <v>124</v>
      </c>
      <c r="Q11" s="52"/>
    </row>
    <row r="12" spans="1:17" ht="15.75">
      <c r="A12" s="93" t="s">
        <v>17</v>
      </c>
      <c r="B12" s="104" t="s">
        <v>125</v>
      </c>
      <c r="C12" s="106">
        <v>44531</v>
      </c>
      <c r="D12" s="106">
        <v>44562</v>
      </c>
      <c r="E12" s="106">
        <v>44593</v>
      </c>
      <c r="F12" s="106">
        <v>44621</v>
      </c>
      <c r="G12" s="106">
        <v>44652</v>
      </c>
      <c r="H12" s="106">
        <v>44682</v>
      </c>
      <c r="I12" s="106">
        <v>44713</v>
      </c>
      <c r="J12" s="106">
        <v>44743</v>
      </c>
      <c r="K12" s="106">
        <v>44774</v>
      </c>
      <c r="L12" s="106">
        <v>44805</v>
      </c>
      <c r="M12" s="106">
        <v>44835</v>
      </c>
      <c r="N12" s="106">
        <v>44866</v>
      </c>
      <c r="O12" s="106">
        <v>44896</v>
      </c>
      <c r="P12" s="104" t="s">
        <v>126</v>
      </c>
      <c r="Q12" s="104" t="s">
        <v>127</v>
      </c>
    </row>
    <row r="13" spans="1:17" ht="16.5" thickBot="1">
      <c r="A13" s="91"/>
      <c r="B13" s="91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  <c r="O13" s="108"/>
      <c r="P13" s="107"/>
      <c r="Q13" s="107"/>
    </row>
    <row r="14" spans="1:17" ht="15.75">
      <c r="A14" s="88"/>
      <c r="B14" s="88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10"/>
    </row>
    <row r="15" spans="1:17" ht="15.75">
      <c r="A15" s="111">
        <v>1</v>
      </c>
      <c r="B15" s="88" t="s">
        <v>128</v>
      </c>
      <c r="C15" s="112">
        <v>374749254</v>
      </c>
      <c r="D15" s="112">
        <f>C15+'2022 plant additions'!D55</f>
        <v>376171592.48003399</v>
      </c>
      <c r="E15" s="112">
        <f>D15+'2022 plant additions'!E55</f>
        <v>377811972.45341259</v>
      </c>
      <c r="F15" s="112">
        <f>E15+'2022 plant additions'!F55</f>
        <v>383633991.34013587</v>
      </c>
      <c r="G15" s="112">
        <f>F15+'2022 plant additions'!G55</f>
        <v>385811576.28689313</v>
      </c>
      <c r="H15" s="112">
        <f>G15+'2022 plant additions'!H55</f>
        <v>388787537.23365039</v>
      </c>
      <c r="I15" s="112">
        <f>H15+'2022 plant additions'!I55</f>
        <v>392057551.43040764</v>
      </c>
      <c r="J15" s="112">
        <f>I15+'2022 plant additions'!J55</f>
        <v>393684417.87050956</v>
      </c>
      <c r="K15" s="112">
        <f>J15+'2022 plant additions'!K55</f>
        <v>394961284.31061149</v>
      </c>
      <c r="L15" s="112">
        <f>K15+'2022 plant additions'!L55</f>
        <v>396296521.64071345</v>
      </c>
      <c r="M15" s="112">
        <f>L15+'2022 plant additions'!M55</f>
        <v>398150139.08081537</v>
      </c>
      <c r="N15" s="112">
        <f>M15+'2022 plant additions'!N55</f>
        <v>399022725.02757263</v>
      </c>
      <c r="O15" s="112">
        <f>N15+'2022 plant additions'!O55</f>
        <v>404058058.78446579</v>
      </c>
      <c r="P15" s="112">
        <f>(SUM(C15:O15))/13</f>
        <v>389630509.37994015</v>
      </c>
      <c r="Q15" s="113" t="s">
        <v>129</v>
      </c>
    </row>
    <row r="16" spans="1:17" ht="15.75">
      <c r="A16" s="111">
        <f>A15+1</f>
        <v>2</v>
      </c>
      <c r="B16" s="88" t="s">
        <v>130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3" t="s">
        <v>129</v>
      </c>
    </row>
    <row r="17" spans="1:17" ht="15.75">
      <c r="A17" s="111">
        <f>A16+1</f>
        <v>3</v>
      </c>
      <c r="B17" s="88" t="s">
        <v>131</v>
      </c>
      <c r="C17" s="114">
        <v>3841311</v>
      </c>
      <c r="D17" s="114">
        <v>5273070.8699999889</v>
      </c>
      <c r="E17" s="114">
        <v>6709790.8199999975</v>
      </c>
      <c r="F17" s="114">
        <v>5664352.9999999981</v>
      </c>
      <c r="G17" s="114">
        <v>6847873.1799999978</v>
      </c>
      <c r="H17" s="114">
        <v>6737558.3599999901</v>
      </c>
      <c r="I17" s="114">
        <v>5969810.9999999888</v>
      </c>
      <c r="J17" s="114">
        <v>6344017.629999999</v>
      </c>
      <c r="K17" s="114">
        <v>6718224.2599999886</v>
      </c>
      <c r="L17" s="114">
        <v>7034060.9999999786</v>
      </c>
      <c r="M17" s="114">
        <v>7408267.6299999887</v>
      </c>
      <c r="N17" s="114">
        <v>7782474.2599999886</v>
      </c>
      <c r="O17" s="114">
        <v>5245310.9999999888</v>
      </c>
      <c r="P17" s="114">
        <f>(SUM(C17:O17))/13</f>
        <v>6275086.4623076832</v>
      </c>
      <c r="Q17" s="113" t="s">
        <v>129</v>
      </c>
    </row>
    <row r="18" spans="1:17" ht="15.75">
      <c r="A18" s="111">
        <f>A17+1</f>
        <v>4</v>
      </c>
      <c r="B18" s="88" t="s">
        <v>132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5">
        <f>(SUM(C18:O18))/13</f>
        <v>0</v>
      </c>
      <c r="Q18" s="113" t="s">
        <v>129</v>
      </c>
    </row>
    <row r="19" spans="1:17" ht="15.75">
      <c r="A19" s="97"/>
      <c r="B19" s="52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52"/>
    </row>
    <row r="20" spans="1:17" ht="15.75">
      <c r="A20" s="111">
        <f>A18+1</f>
        <v>5</v>
      </c>
      <c r="B20" s="88" t="s">
        <v>133</v>
      </c>
      <c r="C20" s="112">
        <f>SUM(C15:C18)</f>
        <v>378590565</v>
      </c>
      <c r="D20" s="112">
        <f t="shared" ref="D20:P20" si="0">SUM(D15:D18)</f>
        <v>381444663.350034</v>
      </c>
      <c r="E20" s="112">
        <f t="shared" si="0"/>
        <v>384521763.27341259</v>
      </c>
      <c r="F20" s="112">
        <f t="shared" si="0"/>
        <v>389298344.34013587</v>
      </c>
      <c r="G20" s="112">
        <f t="shared" si="0"/>
        <v>392659449.46689314</v>
      </c>
      <c r="H20" s="112">
        <f t="shared" si="0"/>
        <v>395525095.5936504</v>
      </c>
      <c r="I20" s="112">
        <f t="shared" si="0"/>
        <v>398027362.43040764</v>
      </c>
      <c r="J20" s="112">
        <f t="shared" si="0"/>
        <v>400028435.50050956</v>
      </c>
      <c r="K20" s="112">
        <f t="shared" si="0"/>
        <v>401679508.57061148</v>
      </c>
      <c r="L20" s="112">
        <f t="shared" si="0"/>
        <v>403330582.64071345</v>
      </c>
      <c r="M20" s="112">
        <f t="shared" si="0"/>
        <v>405558406.71081537</v>
      </c>
      <c r="N20" s="112">
        <f t="shared" si="0"/>
        <v>406805199.28757262</v>
      </c>
      <c r="O20" s="112">
        <f t="shared" si="0"/>
        <v>409303369.78446579</v>
      </c>
      <c r="P20" s="112">
        <f t="shared" si="0"/>
        <v>395905595.84224784</v>
      </c>
      <c r="Q20" s="113" t="s">
        <v>129</v>
      </c>
    </row>
  </sheetData>
  <pageMargins left="0.7" right="0.7" top="0.75" bottom="0.75" header="0.3" footer="0.3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 A C T I V E ! 1 5 6 7 6 7 6 9 . 1 < / d o c u m e n t i d >  
     < s e n d e r i d > K E A B E T < / s e n d e r i d >  
     < s e n d e r e m a i l > B K E A T I N G @ G U N S T E R . C O M < / s e n d e r e m a i l >  
     < l a s t m o d i f i e d > 2 0 2 2 - 0 3 - 1 5 T 0 8 : 5 2 : 5 6 . 0 0 0 0 0 0 0 - 0 4 : 0 0 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26392A04157409DF604FC20191F16" ma:contentTypeVersion="13" ma:contentTypeDescription="Create a new document." ma:contentTypeScope="" ma:versionID="fb56ae7095add8bd65ba50509439918e">
  <xsd:schema xmlns:xsd="http://www.w3.org/2001/XMLSchema" xmlns:xs="http://www.w3.org/2001/XMLSchema" xmlns:p="http://schemas.microsoft.com/office/2006/metadata/properties" xmlns:ns3="ef9cd610-d1cd-49e7-bba7-2b2fd1f576ec" xmlns:ns4="793d2290-cc4d-409d-ad2e-09ad71f15dc0" targetNamespace="http://schemas.microsoft.com/office/2006/metadata/properties" ma:root="true" ma:fieldsID="5d0aab7659323562228527223e357ed9" ns3:_="" ns4:_="">
    <xsd:import namespace="ef9cd610-d1cd-49e7-bba7-2b2fd1f576ec"/>
    <xsd:import namespace="793d2290-cc4d-409d-ad2e-09ad71f15d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cd610-d1cd-49e7-bba7-2b2fd1f576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d2290-cc4d-409d-ad2e-09ad71f15d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E96A49-7E9D-4A8B-A3AE-5250ED9E17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A01EC7-C853-4A88-9C0B-AE78A79B82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cd610-d1cd-49e7-bba7-2b2fd1f576ec"/>
    <ds:schemaRef ds:uri="793d2290-cc4d-409d-ad2e-09ad71f15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700BD9-6181-44F5-A2D9-C5D138971CF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93d2290-cc4d-409d-ad2e-09ad71f15dc0"/>
    <ds:schemaRef ds:uri="http://purl.org/dc/elements/1.1/"/>
    <ds:schemaRef ds:uri="http://schemas.microsoft.com/office/2006/metadata/properties"/>
    <ds:schemaRef ds:uri="ef9cd610-d1cd-49e7-bba7-2b2fd1f576e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2022 plant additions</vt:lpstr>
      <vt:lpstr>2022 plant retirements</vt:lpstr>
      <vt:lpstr>2022 Cost of Removal</vt:lpstr>
      <vt:lpstr>2023 plant additions</vt:lpstr>
      <vt:lpstr>2023 plant retirements</vt:lpstr>
      <vt:lpstr>2023 Cost of Removal</vt:lpstr>
      <vt:lpstr>2022 CWIP</vt:lpstr>
      <vt:lpstr>2023 CWIP</vt:lpstr>
      <vt:lpstr>2022 BS with CWIP</vt:lpstr>
      <vt:lpstr>2023 BS with CWIP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Onsomu, Philip</cp:lastModifiedBy>
  <dcterms:created xsi:type="dcterms:W3CDTF">2022-01-20T14:59:49Z</dcterms:created>
  <dcterms:modified xsi:type="dcterms:W3CDTF">2022-03-15T12:52:56Z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0x01010082926392A04157409DF604FC20191F16</vt:lpwstr>
  </property>
</Properties>
</file>