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CF Sht Trm Int Rate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D">#REF!</definedName>
    <definedName name="\E">#REF!</definedName>
    <definedName name="\I">#REF!</definedName>
    <definedName name="\M">'[2]B-17 3of4'!#REF!</definedName>
    <definedName name="\N">#REF!</definedName>
    <definedName name="\P">#REF!</definedName>
    <definedName name="\R">#REF!</definedName>
    <definedName name="\S">#REF!</definedName>
    <definedName name="__123Graph_X" hidden="1">'[3]BUDGET CASH 2002'!#REF!</definedName>
    <definedName name="_1">#REF!</definedName>
    <definedName name="_1D_9">'[4]Template'!$A$1:$R$48</definedName>
    <definedName name="_1TXPT">#REF!</definedName>
    <definedName name="_1UNDER">#REF!</definedName>
    <definedName name="_2">#REF!</definedName>
    <definedName name="_2A">#REF!</definedName>
    <definedName name="_2B">#REF!</definedName>
    <definedName name="_2TXPT">#REF!</definedName>
    <definedName name="_2UNDER">#REF!</definedName>
    <definedName name="_3">#REF!</definedName>
    <definedName name="_3TXPT">#REF!</definedName>
    <definedName name="_3UNDER">#REF!</definedName>
    <definedName name="_4">#REF!</definedName>
    <definedName name="_4TXPT">#REF!</definedName>
    <definedName name="_4UNDER">#REF!</definedName>
    <definedName name="_5">#REF!</definedName>
    <definedName name="_5_6">#REF!</definedName>
    <definedName name="_5A">#REF!</definedName>
    <definedName name="_6">#REF!</definedName>
    <definedName name="_7">#REF!</definedName>
    <definedName name="_8">#REF!</definedName>
    <definedName name="_B2">#REF!</definedName>
    <definedName name="_FAS106">#REF!</definedName>
    <definedName name="_Key1" hidden="1">#REF!</definedName>
    <definedName name="_LIB01">#REF!</definedName>
    <definedName name="_LIB87">#REF!</definedName>
    <definedName name="_Order1" hidden="1">255</definedName>
    <definedName name="_SCH5">#REF!</definedName>
    <definedName name="_Sort" hidden="1">#REF!</definedName>
    <definedName name="A10CWIP">#REF!</definedName>
    <definedName name="A11CUSTADV">#REF!</definedName>
    <definedName name="A12JOBSUP">#REF!</definedName>
    <definedName name="A12LPINV">#REF!</definedName>
    <definedName name="A13WORKCAP">#REF!</definedName>
    <definedName name="A14ADDRBASE">#REF!</definedName>
    <definedName name="A16NOIADJ">#REF!</definedName>
    <definedName name="A17DISEXP">#REF!</definedName>
    <definedName name="A17REVENUES">#REF!</definedName>
    <definedName name="A18ENCONS">#REF!</definedName>
    <definedName name="A19EXPALL">#REF!</definedName>
    <definedName name="A1FINSTAT">#REF!</definedName>
    <definedName name="A20NONADJ">#REF!</definedName>
    <definedName name="A21EXPFAC">#REF!</definedName>
    <definedName name="A22RATERELIEF">#REF!</definedName>
    <definedName name="A23COSTCAP">#REF!</definedName>
    <definedName name="A23DEBTCOST">#REF!</definedName>
    <definedName name="A24CEBTCOST">#REF!</definedName>
    <definedName name="A25COSTFREECAP">#REF!</definedName>
    <definedName name="A26INTREL">#REF!</definedName>
    <definedName name="A27PROJDATA">#REF!</definedName>
    <definedName name="A28SAFTYCIT">#REF!</definedName>
    <definedName name="A29RAXINFO">#REF!</definedName>
    <definedName name="A2RATEBASE">#REF!</definedName>
    <definedName name="A30REACQBONDS">#REF!</definedName>
    <definedName name="A31DEFINCTAX">#REF!</definedName>
    <definedName name="A33TAXCHECK">#REF!</definedName>
    <definedName name="A3ADJRBASE">#REF!</definedName>
    <definedName name="A4PLBAL">#REF!</definedName>
    <definedName name="A5BKDEP">#REF!</definedName>
    <definedName name="A5DEPEXP">#REF!</definedName>
    <definedName name="A5PLDEP">#REF!</definedName>
    <definedName name="A6DEPRES">#REF!</definedName>
    <definedName name="A7COMPL">#REF!</definedName>
    <definedName name="A8COMRES">#REF!</definedName>
    <definedName name="A9FUTUSE">#REF!</definedName>
    <definedName name="AREA1">#REF!</definedName>
    <definedName name="AS2DocOpenMode" hidden="1">"AS2DocumentEdit"</definedName>
    <definedName name="ASST01">#REF!</definedName>
    <definedName name="ASST87">#REF!</definedName>
    <definedName name="BACK_UP">#REF!</definedName>
    <definedName name="BUDGET">#REF!</definedName>
    <definedName name="C_10">#REF!</definedName>
    <definedName name="C_11">#REF!</definedName>
    <definedName name="C_12">#REF!</definedName>
    <definedName name="C_13">#REF!</definedName>
    <definedName name="C_14">#REF!</definedName>
    <definedName name="C_15">#REF!</definedName>
    <definedName name="C_16">#REF!</definedName>
    <definedName name="C_19">#REF!</definedName>
    <definedName name="C_20">#REF!</definedName>
    <definedName name="C_21">#REF!</definedName>
    <definedName name="C_22">#REF!</definedName>
    <definedName name="C_24">#REF!</definedName>
    <definedName name="C_24_2">#REF!</definedName>
    <definedName name="C_25">#REF!</definedName>
    <definedName name="C_26">#REF!</definedName>
    <definedName name="C_27">#REF!</definedName>
    <definedName name="C_30">#REF!</definedName>
    <definedName name="C_31">#REF!</definedName>
    <definedName name="C_34">#REF!</definedName>
    <definedName name="C_35">#REF!</definedName>
    <definedName name="C_36">#REF!</definedName>
    <definedName name="C_37">#REF!</definedName>
    <definedName name="C_6">#REF!</definedName>
    <definedName name="C_8">#REF!</definedName>
    <definedName name="C_9">#REF!</definedName>
    <definedName name="CAPITAL">#REF!</definedName>
    <definedName name="CASH">#REF!</definedName>
    <definedName name="CASH1STMTH">#REF!</definedName>
    <definedName name="CASH2NDMTH">#REF!</definedName>
    <definedName name="CASH3RDMTH">#REF!</definedName>
    <definedName name="COMMON">#REF!</definedName>
    <definedName name="CONSERV">#REF!</definedName>
    <definedName name="COSTS">#REF!</definedName>
    <definedName name="COSTWKSHT">#REF!</definedName>
    <definedName name="Coupon">#REF!</definedName>
    <definedName name="COVER">#REF!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EFTAXES">#REF!</definedName>
    <definedName name="DELCUST">#REF!</definedName>
    <definedName name="DELINC">#REF!</definedName>
    <definedName name="DELUNIT">#REF!</definedName>
    <definedName name="DIST_MTCE_1">#REF!</definedName>
    <definedName name="DIST_OP_1">#REF!</definedName>
    <definedName name="DIVIDENDS">#REF!</definedName>
    <definedName name="DRAFT">#REF!</definedName>
    <definedName name="DUMMY">#REF!</definedName>
    <definedName name="ENVIRO">#REF!</definedName>
    <definedName name="EXEC">#REF!</definedName>
    <definedName name="F_1">#REF!</definedName>
    <definedName name="F_2">#REF!</definedName>
    <definedName name="F_2_2">#REF!</definedName>
    <definedName name="F_3">#REF!</definedName>
    <definedName name="F_3_2">#REF!</definedName>
    <definedName name="F_3_3">#REF!</definedName>
    <definedName name="F_4">#REF!</definedName>
    <definedName name="F_5">#REF!</definedName>
    <definedName name="F_5_2">#REF!</definedName>
    <definedName name="F_6">#REF!</definedName>
    <definedName name="F_7">#REF!</definedName>
    <definedName name="F_8">#REF!</definedName>
    <definedName name="FASB106">#REF!</definedName>
    <definedName name="FERNCUST">#REF!</definedName>
    <definedName name="FERNINC">#REF!</definedName>
    <definedName name="FERNUNIT">#REF!</definedName>
    <definedName name="FINAL">#REF!</definedName>
    <definedName name="FLO">#REF!</definedName>
    <definedName name="FPUC_10_year">#REF!</definedName>
    <definedName name="FPUINC">'[5]FPUINC'!#REF!</definedName>
    <definedName name="FPUP1R">#REF!</definedName>
    <definedName name="FPUP2AL">#REF!</definedName>
    <definedName name="FPUP2L">#REF!</definedName>
    <definedName name="INCOME01">#REF!</definedName>
    <definedName name="INCOME87">#REF!</definedName>
    <definedName name="INDEX">#REF!</definedName>
    <definedName name="INT_FY86">#REF!</definedName>
    <definedName name="INTERIM">#REF!</definedName>
    <definedName name="ITC">#REF!</definedName>
    <definedName name="JANET">#REF!</definedName>
    <definedName name="LTDEBT">#REF!</definedName>
    <definedName name="MACROS">#REF!</definedName>
    <definedName name="MARCUST">#REF!</definedName>
    <definedName name="MARINC">#REF!</definedName>
    <definedName name="MARUNIT">#REF!</definedName>
    <definedName name="NDC_TRAN_LOG">#REF!</definedName>
    <definedName name="NDCFORM">#REF!</definedName>
    <definedName name="NOI">#REF!</definedName>
    <definedName name="NOTES">#REF!</definedName>
    <definedName name="PAGE_5">#REF!</definedName>
    <definedName name="PAGE_6">#REF!</definedName>
    <definedName name="PLANT">#REF!</definedName>
    <definedName name="PMT">#REF!</definedName>
    <definedName name="PRINTALL">#REF!</definedName>
    <definedName name="PROD_1">#REF!</definedName>
    <definedName name="RATE">#REF!</definedName>
    <definedName name="RATEBASE">#REF!</definedName>
    <definedName name="RELIEF">#REF!</definedName>
    <definedName name="ROR">#REF!</definedName>
    <definedName name="RORSCHED">#REF!</definedName>
    <definedName name="ROUNDED">#REF!</definedName>
    <definedName name="SALES_1">#REF!</definedName>
    <definedName name="SANCUST">#REF!</definedName>
    <definedName name="SANINC">#REF!</definedName>
    <definedName name="SANUNIT">#REF!</definedName>
    <definedName name="SCH5GAS">#REF!</definedName>
    <definedName name="SCHC19PG1">#REF!</definedName>
    <definedName name="SCHC19PG2">#REF!</definedName>
    <definedName name="SCHC22P1">#REF!</definedName>
    <definedName name="SCHC22P2">#REF!</definedName>
    <definedName name="SCHC24P1">#REF!</definedName>
    <definedName name="SCHC24P2">#REF!</definedName>
    <definedName name="SCHE3P1">#REF!</definedName>
    <definedName name="SCHE3P2">#REF!</definedName>
    <definedName name="SCHE3P3">#REF!</definedName>
    <definedName name="SCHE3P4">#REF!</definedName>
    <definedName name="SCHE6P1">#REF!</definedName>
    <definedName name="SCHE6P2">#REF!</definedName>
    <definedName name="SCHE6P3">#REF!</definedName>
    <definedName name="SCHE6P4">#REF!</definedName>
    <definedName name="Sensitivity">#REF!</definedName>
    <definedName name="STDEBT">#REF!</definedName>
    <definedName name="TAXES">#REF!</definedName>
    <definedName name="TITLE">#REF!</definedName>
    <definedName name="UNAMORT">#REF!</definedName>
    <definedName name="UNDER">#REF!</definedName>
    <definedName name="WATINC">#REF!</definedName>
    <definedName name="WPBCUST">#REF!</definedName>
    <definedName name="WPBINC">#REF!</definedName>
    <definedName name="WPBUNIT">#REF!</definedName>
  </definedNames>
  <calcPr fullCalcOnLoad="1"/>
</workbook>
</file>

<file path=xl/comments1.xml><?xml version="1.0" encoding="utf-8"?>
<comments xmlns="http://schemas.openxmlformats.org/spreadsheetml/2006/main">
  <authors>
    <author>Setup</author>
    <author>michelle_napier</author>
  </authors>
  <commentList>
    <comment ref="E8" authorId="0">
      <text>
        <r>
          <rPr>
            <b/>
            <sz val="9"/>
            <rFont val="Tahoma"/>
            <family val="2"/>
          </rPr>
          <t>Setup:</t>
        </r>
        <r>
          <rPr>
            <sz val="9"/>
            <rFont val="Tahoma"/>
            <family val="2"/>
          </rPr>
          <t xml:space="preserve">
INSERT CU%-2020-2310; CU%-2025-2310; CU%-2020-2311, CU%-19RC-1810, AND CU%-19ST-1810 BALANCES (CAN GET OFF OF 1216_REG-BS13MON REPORT).  HAVE TO SUBTRACT OUT ANY MONTHS THAT WE STILL HAVE THE REFINANCING ADJ.</t>
        </r>
      </text>
    </comment>
    <comment ref="F8" authorId="0">
      <text>
        <r>
          <rPr>
            <b/>
            <sz val="9"/>
            <rFont val="Tahoma"/>
            <family val="2"/>
          </rPr>
          <t>Setup:</t>
        </r>
        <r>
          <rPr>
            <sz val="9"/>
            <rFont val="Tahoma"/>
            <family val="2"/>
          </rPr>
          <t xml:space="preserve">
cu 8720-4310
plus CU 87RC-4280 for the revolving line of credit
AND CU 8720-4280 for the new short term debt consolidation
</t>
        </r>
      </text>
    </comment>
    <comment ref="G63" authorId="1">
      <text>
        <r>
          <rPr>
            <b/>
            <sz val="9"/>
            <rFont val="Tahoma"/>
            <family val="2"/>
          </rPr>
          <t>michelle_napier:</t>
        </r>
        <r>
          <rPr>
            <sz val="9"/>
            <rFont val="Tahoma"/>
            <family val="2"/>
          </rPr>
          <t xml:space="preserve">
Change formula to reference G61; special adj this year</t>
        </r>
      </text>
    </comment>
    <comment ref="G93" authorId="1">
      <text>
        <r>
          <rPr>
            <b/>
            <sz val="9"/>
            <rFont val="Tahoma"/>
            <family val="2"/>
          </rPr>
          <t>michelle_napier:</t>
        </r>
        <r>
          <rPr>
            <sz val="9"/>
            <rFont val="Tahoma"/>
            <family val="2"/>
          </rPr>
          <t xml:space="preserve">
Change formula to reference G61; special adj this year</t>
        </r>
      </text>
    </comment>
  </commentList>
</comments>
</file>

<file path=xl/sharedStrings.xml><?xml version="1.0" encoding="utf-8"?>
<sst xmlns="http://schemas.openxmlformats.org/spreadsheetml/2006/main" count="47" uniqueCount="21">
  <si>
    <t xml:space="preserve">          CHESAPEAKE UTILITIES CORPORATION</t>
  </si>
  <si>
    <t xml:space="preserve">                             FLORIDA DIVISION</t>
  </si>
  <si>
    <t xml:space="preserve">       EFFECTIVE SHORT TERM INTEREST RATE</t>
  </si>
  <si>
    <t># OF</t>
  </si>
  <si>
    <t>AVERAGE SHORT</t>
  </si>
  <si>
    <t>INTEREST</t>
  </si>
  <si>
    <t>EFFECTIVE</t>
  </si>
  <si>
    <t>DAYS</t>
  </si>
  <si>
    <t>TERM DEBT O/S</t>
  </si>
  <si>
    <t>EXPENSE</t>
  </si>
  <si>
    <t>INT RATE</t>
  </si>
  <si>
    <t>*</t>
  </si>
  <si>
    <t>TOTAL</t>
  </si>
  <si>
    <t>WEIGHTED AVERAGE COST OF SHORT TERM DEBT</t>
  </si>
  <si>
    <t>Year End</t>
  </si>
  <si>
    <t>13-Month Avg</t>
  </si>
  <si>
    <t>Cash on Hand Per Balance Sheet</t>
  </si>
  <si>
    <t>Order PSC 10-0029-PAA-GU removed interest on cash working capital</t>
  </si>
  <si>
    <t>Interest Rate</t>
  </si>
  <si>
    <t>Accrued Interest</t>
  </si>
  <si>
    <t>EFFECTIVE SHORT TERM INTEREST RATE-REFINANCED LTD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</si>
</sst>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[$-409]mmm\-yy;@"/>
    <numFmt numFmtId="167" formatCode="_(&quot;$&quot;* #,##0_);_(&quot;$&quot;* \(#,##0\);_(&quot;$&quot;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i/>
      <sz val="8"/>
      <name val="Calibri"/>
      <family val="2"/>
    </font>
    <font>
      <sz val="8"/>
      <color indexed="30"/>
      <name val="Calibri"/>
      <family val="2"/>
    </font>
    <font>
      <i/>
      <sz val="8"/>
      <color indexed="5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Calibri"/>
      <family val="2"/>
    </font>
    <font>
      <sz val="8"/>
      <color rgb="FF0070C0"/>
      <name val="Calibri"/>
      <family val="2"/>
    </font>
    <font>
      <i/>
      <sz val="8"/>
      <color theme="3" tint="0.3999800086021423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7" fontId="18" fillId="0" borderId="0" xfId="0" applyNumberFormat="1" applyFont="1" applyFill="1" applyAlignment="1">
      <alignment/>
    </xf>
    <xf numFmtId="37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10" fontId="18" fillId="0" borderId="0" xfId="0" applyNumberFormat="1" applyFont="1" applyFill="1" applyAlignment="1">
      <alignment/>
    </xf>
    <xf numFmtId="0" fontId="18" fillId="0" borderId="0" xfId="0" applyFont="1" applyFill="1" applyAlignment="1" quotePrefix="1">
      <alignment horizontal="left"/>
    </xf>
    <xf numFmtId="164" fontId="18" fillId="0" borderId="0" xfId="0" applyNumberFormat="1" applyFont="1" applyFill="1" applyAlignment="1">
      <alignment/>
    </xf>
    <xf numFmtId="165" fontId="18" fillId="0" borderId="0" xfId="57" applyNumberFormat="1" applyFont="1" applyFill="1" applyAlignment="1">
      <alignment/>
    </xf>
    <xf numFmtId="166" fontId="18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164" fontId="19" fillId="0" borderId="0" xfId="0" applyNumberFormat="1" applyFont="1" applyFill="1" applyAlignment="1">
      <alignment/>
    </xf>
    <xf numFmtId="10" fontId="18" fillId="0" borderId="0" xfId="0" applyNumberFormat="1" applyFont="1" applyFill="1" applyBorder="1" applyAlignment="1">
      <alignment/>
    </xf>
    <xf numFmtId="17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10" fontId="18" fillId="0" borderId="10" xfId="0" applyNumberFormat="1" applyFont="1" applyFill="1" applyBorder="1" applyAlignment="1">
      <alignment/>
    </xf>
    <xf numFmtId="0" fontId="18" fillId="0" borderId="0" xfId="0" applyFont="1" applyFill="1" applyAlignment="1" quotePrefix="1">
      <alignment horizontal="right"/>
    </xf>
    <xf numFmtId="0" fontId="18" fillId="0" borderId="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5" fontId="18" fillId="0" borderId="0" xfId="0" applyNumberFormat="1" applyFont="1" applyFill="1" applyAlignment="1">
      <alignment/>
    </xf>
    <xf numFmtId="43" fontId="18" fillId="0" borderId="0" xfId="0" applyNumberFormat="1" applyFont="1" applyFill="1" applyAlignment="1">
      <alignment/>
    </xf>
    <xf numFmtId="17" fontId="42" fillId="0" borderId="0" xfId="0" applyNumberFormat="1" applyFont="1" applyFill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7" fontId="43" fillId="0" borderId="0" xfId="44" applyNumberFormat="1" applyFont="1" applyAlignment="1">
      <alignment/>
    </xf>
    <xf numFmtId="167" fontId="44" fillId="0" borderId="0" xfId="0" applyNumberFormat="1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s%20&amp;%20Divisions\Florida%20Regulatory\ROR%20Surveillance%20reports\2021\ROR's\4th%20Quarter\CFG\CFG%20NG%20ROR%20December%20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s%20&amp;%20Divisions\Florida%20Regulatory\Rate%20Proceedings\2022%20Natural%20Gas\MFR's\B%20Schedules%20Rate%20Ba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TES"/>
      <sheetName val="CPK-ISEXT12"/>
      <sheetName val="REVENUES SEG 3"/>
      <sheetName val="COST OF SALES SEG 4"/>
      <sheetName val="FC Common Plt"/>
      <sheetName val="Income Statement"/>
      <sheetName val="Report Summary"/>
      <sheetName val="Avg ROR"/>
      <sheetName val="Year End ROR"/>
      <sheetName val="Capital Structure"/>
      <sheetName val="Earned Ret on Equity"/>
      <sheetName val="CFG Reg_BS 13 Mon"/>
      <sheetName val="FC with Allocations"/>
      <sheetName val="Adjustments to Common Plant"/>
      <sheetName val="Common Plant"/>
      <sheetName val="Cap Struct Adj."/>
      <sheetName val="Inc Tax Adj"/>
      <sheetName val="Sht Trm Int Rate"/>
      <sheetName val="Comp Cost Rate of Debt"/>
      <sheetName val="Cust Dep Int"/>
      <sheetName val="Property Tax"/>
      <sheetName val="Econ. Develop."/>
      <sheetName val="Social"/>
      <sheetName val="Charit. Cont."/>
      <sheetName val="Fran &amp; Cons"/>
      <sheetName val="Promo Exp"/>
      <sheetName val="Mat &amp; Supplies"/>
      <sheetName val="Competitive Rate Adj"/>
      <sheetName val="Flex Liab"/>
      <sheetName val="Conservation"/>
      <sheetName val="Non-Util O&amp;M"/>
      <sheetName val="Out of Period"/>
      <sheetName val="Health Ins Res"/>
      <sheetName val="Int Pay"/>
      <sheetName val="Flex Plt"/>
      <sheetName val="Reg-13MON CU"/>
      <sheetName val="Equity"/>
      <sheetName val="CFG 1010 BS PIS Breakdown"/>
      <sheetName val="B-4 CF"/>
      <sheetName val="May2020-June2021 FPU-AD"/>
      <sheetName val="Sheet2"/>
    </sheetNames>
    <sheetDataSet>
      <sheetData sheetId="5">
        <row r="5">
          <cell r="G5">
            <v>44180</v>
          </cell>
        </row>
      </sheetData>
      <sheetData sheetId="6"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</sheetData>
      <sheetData sheetId="12">
        <row r="114">
          <cell r="X114">
            <v>53046</v>
          </cell>
        </row>
      </sheetData>
      <sheetData sheetId="13">
        <row r="79">
          <cell r="V79">
            <v>146247.8732307692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-1 1of2"/>
      <sheetName val="B-1 1of2 Supplement 1"/>
      <sheetName val="B-1 1of2 Supplement 2"/>
      <sheetName val="B-1 1of2 Supplement 3"/>
      <sheetName val="B-1 1 of 2 FN"/>
      <sheetName val="B-1 1 of 2 CF"/>
      <sheetName val="B-1 1 of 2 FI"/>
      <sheetName val="B-1 1 of 2 FT"/>
      <sheetName val="B-1 2of2"/>
      <sheetName val="B-1 2of2 Supplement 1"/>
      <sheetName val="B-1 2of2 Supplement 2"/>
      <sheetName val="B-1 2of2 Supplement 3"/>
      <sheetName val="B-1 2 of 2 FN"/>
      <sheetName val="B-1 2 of 2 CF"/>
      <sheetName val="B-1 2 of 2 FI"/>
      <sheetName val="B-1 2 of 2 FT"/>
      <sheetName val="B-2 "/>
      <sheetName val="B-2 FN"/>
      <sheetName val="B-2 CF"/>
      <sheetName val="B-2 FI"/>
      <sheetName val="B-2 FT"/>
      <sheetName val="B-3"/>
      <sheetName val="B-3 FN"/>
      <sheetName val="B-3 CF"/>
      <sheetName val="B-3 FI"/>
      <sheetName val="B-3 FT"/>
      <sheetName val="B-4 "/>
      <sheetName val="B-4 FN"/>
      <sheetName val="B-4 CF"/>
      <sheetName val="B-4 FI"/>
      <sheetName val="B-4 FT"/>
      <sheetName val="B-5 1of3"/>
      <sheetName val="B-5 2of3"/>
      <sheetName val="B-5 3of3"/>
      <sheetName val="B-6 1of 2"/>
      <sheetName val="B-6 2of2"/>
      <sheetName val="B-7 1of2"/>
      <sheetName val="B-7 2of2"/>
      <sheetName val="B-8"/>
      <sheetName val="B-8 Supplement 1"/>
      <sheetName val="B-9"/>
      <sheetName val="B-9 FN"/>
      <sheetName val="B-9 CF"/>
      <sheetName val="B-9 FT"/>
      <sheetName val="B-9 FI"/>
      <sheetName val="B-10"/>
      <sheetName val="B-11"/>
      <sheetName val="B-12"/>
      <sheetName val="B-13 1of2"/>
      <sheetName val="B-13 1of 2 Supplement 1"/>
      <sheetName val="B-13 1 of 2 Supplement 2"/>
      <sheetName val="B-13 1of2 FN"/>
      <sheetName val="B-13 1of2 CF"/>
      <sheetName val="B-13 1of2 FI"/>
      <sheetName val="B-13 1of2 FT"/>
      <sheetName val="B-13 2of2"/>
      <sheetName val="B-13 2of2 Supplement 1"/>
      <sheetName val="B-13 2 of 2 Supplement 2"/>
      <sheetName val="B-13 2of2 FN"/>
      <sheetName val="B-13 2of2 CF"/>
      <sheetName val="B-13 2of2 FI"/>
      <sheetName val="B-13 2of2 FT"/>
      <sheetName val="B-14"/>
      <sheetName val="B-15"/>
      <sheetName val="B-16"/>
      <sheetName val="B-17 1of4"/>
      <sheetName val="B-17 1of4 FN"/>
      <sheetName val="B-17 1of4 CF"/>
      <sheetName val="B-17 1of4 FI"/>
      <sheetName val="B-17 1of4 FT"/>
      <sheetName val="B-17 2of4"/>
      <sheetName val="B-17 2of4 FN"/>
      <sheetName val="B-17 2of4 CF"/>
      <sheetName val="B-17 2of4 FI"/>
      <sheetName val="B-17 2of4 FT"/>
      <sheetName val="B-17 3of4"/>
      <sheetName val="B-17 4of4"/>
      <sheetName val="B-18 1of3"/>
      <sheetName val="B-18 1of3 FN"/>
      <sheetName val="B-18 1of3 CF"/>
      <sheetName val="B-18 1of3 FI"/>
      <sheetName val="B-18 1of 3 FT"/>
      <sheetName val="B-18 2of3"/>
      <sheetName val="B-18 2of3 FN"/>
      <sheetName val="B-18 2of3 CF"/>
      <sheetName val="B-18 2of3 FI"/>
      <sheetName val="B-18 2of3 FT"/>
      <sheetName val="B-18 3of3"/>
      <sheetName val="B-18 3of3 FN"/>
      <sheetName val="B-18 3of3 CF"/>
      <sheetName val="B-18 3of3 FI"/>
      <sheetName val="B-18 3of3 F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       Page___of___</v>
          </cell>
        </row>
        <row r="4">
          <cell r="A4" t="str">
            <v>FLORIDA PUBLIC SERVICE COMMISSION</v>
          </cell>
          <cell r="E4" t="str">
            <v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  1.</v>
          </cell>
          <cell r="B15" t="str">
            <v>Pre-tax Interest Coverage Ratio (x)</v>
          </cell>
        </row>
        <row r="17">
          <cell r="A17" t="str">
            <v>  2.</v>
          </cell>
          <cell r="B17" t="str">
            <v>Earned Returns on Average Book Equity (%)</v>
          </cell>
        </row>
        <row r="19">
          <cell r="A19" t="str">
            <v>  3.</v>
          </cell>
          <cell r="B19" t="str">
            <v>Book Value/Share ($)</v>
          </cell>
        </row>
        <row r="21">
          <cell r="A21" t="str">
            <v>  4.</v>
          </cell>
          <cell r="B21" t="str">
            <v>Dividends/Share ($)</v>
          </cell>
        </row>
        <row r="23">
          <cell r="A23" t="str">
            <v>  5.</v>
          </cell>
          <cell r="B23" t="str">
            <v>Earnings/Share ($)</v>
          </cell>
        </row>
        <row r="25">
          <cell r="A25" t="str">
            <v>  6.</v>
          </cell>
          <cell r="B25" t="str">
            <v>Market Value/Share ($)</v>
          </cell>
        </row>
        <row r="27">
          <cell r="A27" t="str">
            <v>  7.</v>
          </cell>
          <cell r="B27" t="str">
            <v>Market/Book Ratio (%)</v>
          </cell>
        </row>
        <row r="29">
          <cell r="A29" t="str">
            <v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2:M94"/>
  <sheetViews>
    <sheetView tabSelected="1" zoomScaleSheetLayoutView="100" zoomScalePageLayoutView="0" workbookViewId="0" topLeftCell="A1">
      <selection activeCell="M67" sqref="M67"/>
    </sheetView>
  </sheetViews>
  <sheetFormatPr defaultColWidth="9.140625" defaultRowHeight="12.75"/>
  <cols>
    <col min="1" max="1" width="9.140625" style="1" customWidth="1"/>
    <col min="2" max="2" width="14.57421875" style="1" customWidth="1"/>
    <col min="3" max="3" width="8.140625" style="1" customWidth="1"/>
    <col min="4" max="4" width="16.140625" style="1" customWidth="1"/>
    <col min="5" max="5" width="18.7109375" style="1" customWidth="1"/>
    <col min="6" max="6" width="11.7109375" style="1" customWidth="1"/>
    <col min="7" max="7" width="11.8515625" style="1" customWidth="1"/>
    <col min="8" max="16384" width="9.140625" style="1" customWidth="1"/>
  </cols>
  <sheetData>
    <row r="1" ht="11.25"/>
    <row r="2" ht="11.25">
      <c r="D2" s="1" t="s">
        <v>0</v>
      </c>
    </row>
    <row r="3" ht="11.25">
      <c r="D3" s="1" t="s">
        <v>1</v>
      </c>
    </row>
    <row r="4" ht="11.25">
      <c r="D4" s="1" t="s">
        <v>2</v>
      </c>
    </row>
    <row r="5" ht="11.25"/>
    <row r="6" ht="11.25"/>
    <row r="7" ht="11.25"/>
    <row r="8" spans="4:7" ht="11.25">
      <c r="D8" s="2" t="s">
        <v>3</v>
      </c>
      <c r="E8" s="2" t="s">
        <v>4</v>
      </c>
      <c r="F8" s="2" t="s">
        <v>5</v>
      </c>
      <c r="G8" s="2" t="s">
        <v>6</v>
      </c>
    </row>
    <row r="9" spans="4:7" ht="11.25">
      <c r="D9" s="2" t="s">
        <v>7</v>
      </c>
      <c r="E9" s="2" t="s">
        <v>8</v>
      </c>
      <c r="F9" s="2" t="s">
        <v>9</v>
      </c>
      <c r="G9" s="2" t="s">
        <v>10</v>
      </c>
    </row>
    <row r="10" ht="11.25"/>
    <row r="11" spans="2:8" ht="11.25" hidden="1">
      <c r="B11" s="3">
        <v>38139</v>
      </c>
      <c r="D11" s="1">
        <v>30</v>
      </c>
      <c r="E11" s="4">
        <f>+D11*0</f>
        <v>0</v>
      </c>
      <c r="F11" s="5">
        <f>1000-1000</f>
        <v>0</v>
      </c>
      <c r="G11" s="6">
        <f aca="true" t="shared" si="0" ref="G11:G28">IF(E11=0,0,ROUND(F11*365/E11,4))</f>
        <v>0</v>
      </c>
      <c r="H11" s="7" t="s">
        <v>11</v>
      </c>
    </row>
    <row r="12" spans="2:8" ht="11.25" hidden="1">
      <c r="B12" s="3">
        <v>38169</v>
      </c>
      <c r="D12" s="1">
        <v>31</v>
      </c>
      <c r="E12" s="4">
        <f>+D12*0</f>
        <v>0</v>
      </c>
      <c r="F12" s="5">
        <f>1000-1000</f>
        <v>0</v>
      </c>
      <c r="G12" s="6">
        <f t="shared" si="0"/>
        <v>0</v>
      </c>
      <c r="H12" s="7" t="s">
        <v>11</v>
      </c>
    </row>
    <row r="13" spans="2:8" ht="11.25" hidden="1">
      <c r="B13" s="3">
        <v>38200</v>
      </c>
      <c r="D13" s="1">
        <v>31</v>
      </c>
      <c r="E13" s="4">
        <f>+D13*36637</f>
        <v>1135747</v>
      </c>
      <c r="F13" s="5">
        <f>1108.42-1133.23</f>
        <v>-24.809999999999945</v>
      </c>
      <c r="G13" s="6">
        <f t="shared" si="0"/>
        <v>-0.008</v>
      </c>
      <c r="H13" s="7" t="s">
        <v>11</v>
      </c>
    </row>
    <row r="14" spans="2:8" ht="11.25" hidden="1">
      <c r="B14" s="3">
        <v>38231</v>
      </c>
      <c r="D14" s="1">
        <v>30</v>
      </c>
      <c r="E14" s="4">
        <f>+D14*43292</f>
        <v>1298760</v>
      </c>
      <c r="F14" s="5">
        <f>1093.55-999.9</f>
        <v>93.64999999999998</v>
      </c>
      <c r="G14" s="6">
        <f t="shared" si="0"/>
        <v>0.0263</v>
      </c>
      <c r="H14" s="7" t="s">
        <v>11</v>
      </c>
    </row>
    <row r="15" spans="2:8" ht="11.25" hidden="1">
      <c r="B15" s="3">
        <v>38261</v>
      </c>
      <c r="D15" s="1">
        <v>31</v>
      </c>
      <c r="E15" s="4">
        <f>+D15*2121728</f>
        <v>65773568</v>
      </c>
      <c r="F15" s="5">
        <f>5150.86-663.33</f>
        <v>4487.53</v>
      </c>
      <c r="G15" s="6">
        <f t="shared" si="0"/>
        <v>0.0249</v>
      </c>
      <c r="H15" s="7" t="s">
        <v>11</v>
      </c>
    </row>
    <row r="16" spans="2:8" ht="11.25" hidden="1">
      <c r="B16" s="3">
        <v>38292</v>
      </c>
      <c r="D16" s="1">
        <v>30</v>
      </c>
      <c r="E16" s="4">
        <f>+D16*2413371</f>
        <v>72401130</v>
      </c>
      <c r="F16" s="5">
        <f>6002.53-589.33</f>
        <v>5413.2</v>
      </c>
      <c r="G16" s="6">
        <f t="shared" si="0"/>
        <v>0.0273</v>
      </c>
      <c r="H16" s="7" t="s">
        <v>11</v>
      </c>
    </row>
    <row r="17" spans="2:8" ht="11.25" hidden="1">
      <c r="B17" s="3">
        <v>38322</v>
      </c>
      <c r="D17" s="1">
        <v>31</v>
      </c>
      <c r="E17" s="8">
        <f>+D17*3911548</f>
        <v>121257988</v>
      </c>
      <c r="F17" s="8">
        <f>10002.56-422</f>
        <v>9580.56</v>
      </c>
      <c r="G17" s="6">
        <f t="shared" si="0"/>
        <v>0.0288</v>
      </c>
      <c r="H17" s="7" t="s">
        <v>11</v>
      </c>
    </row>
    <row r="18" spans="2:8" ht="11.25" hidden="1">
      <c r="B18" s="3">
        <v>38353</v>
      </c>
      <c r="D18" s="1">
        <v>31</v>
      </c>
      <c r="E18" s="8">
        <f>+D18*3250653</f>
        <v>100770243</v>
      </c>
      <c r="F18" s="8">
        <f>8811-426</f>
        <v>8385</v>
      </c>
      <c r="G18" s="6">
        <f t="shared" si="0"/>
        <v>0.0304</v>
      </c>
      <c r="H18" s="7" t="s">
        <v>11</v>
      </c>
    </row>
    <row r="19" spans="2:8" ht="11.25" hidden="1">
      <c r="B19" s="3">
        <v>38384</v>
      </c>
      <c r="D19" s="1">
        <v>28</v>
      </c>
      <c r="E19" s="8">
        <f>+D19*1056670</f>
        <v>29586760</v>
      </c>
      <c r="F19" s="8">
        <f>3350-740</f>
        <v>2610</v>
      </c>
      <c r="G19" s="6">
        <f t="shared" si="0"/>
        <v>0.0322</v>
      </c>
      <c r="H19" s="7" t="s">
        <v>11</v>
      </c>
    </row>
    <row r="20" spans="2:8" ht="11.25" hidden="1">
      <c r="B20" s="3">
        <v>38412</v>
      </c>
      <c r="D20" s="1">
        <v>31</v>
      </c>
      <c r="E20" s="8">
        <f>+D20*1197082</f>
        <v>37109542</v>
      </c>
      <c r="F20" s="8">
        <f>4426-973</f>
        <v>3453</v>
      </c>
      <c r="G20" s="6">
        <f t="shared" si="0"/>
        <v>0.034</v>
      </c>
      <c r="H20" s="7" t="s">
        <v>11</v>
      </c>
    </row>
    <row r="21" spans="2:13" ht="11.25" hidden="1">
      <c r="B21" s="3">
        <v>38443</v>
      </c>
      <c r="D21" s="1">
        <v>30</v>
      </c>
      <c r="E21" s="8">
        <f>+D21*353100</f>
        <v>10593000</v>
      </c>
      <c r="F21" s="8">
        <f>2067-1000</f>
        <v>1067</v>
      </c>
      <c r="G21" s="6">
        <f t="shared" si="0"/>
        <v>0.0368</v>
      </c>
      <c r="H21" s="7" t="s">
        <v>11</v>
      </c>
      <c r="L21" s="6"/>
      <c r="M21" s="9"/>
    </row>
    <row r="22" spans="2:8" ht="11.25" hidden="1">
      <c r="B22" s="3">
        <v>38473</v>
      </c>
      <c r="D22" s="1">
        <v>31</v>
      </c>
      <c r="E22" s="8">
        <f>+D22*117103</f>
        <v>3630193</v>
      </c>
      <c r="F22" s="8">
        <f>1421-1033</f>
        <v>388</v>
      </c>
      <c r="G22" s="6">
        <f t="shared" si="0"/>
        <v>0.039</v>
      </c>
      <c r="H22" s="7" t="s">
        <v>11</v>
      </c>
    </row>
    <row r="23" spans="2:12" ht="11.25" hidden="1">
      <c r="B23" s="3">
        <v>38504</v>
      </c>
      <c r="D23" s="1">
        <v>30</v>
      </c>
      <c r="E23" s="8">
        <f>+D23*253887</f>
        <v>7616610</v>
      </c>
      <c r="F23" s="8">
        <f>1838-1000</f>
        <v>838</v>
      </c>
      <c r="G23" s="6">
        <f t="shared" si="0"/>
        <v>0.0402</v>
      </c>
      <c r="H23" s="7" t="s">
        <v>11</v>
      </c>
      <c r="L23" s="6"/>
    </row>
    <row r="24" spans="2:12" ht="11.25" hidden="1">
      <c r="B24" s="3">
        <v>38534</v>
      </c>
      <c r="D24" s="1">
        <v>31</v>
      </c>
      <c r="E24" s="8">
        <f>+D24*19285</f>
        <v>597835</v>
      </c>
      <c r="F24" s="8">
        <f>1103-1033</f>
        <v>70</v>
      </c>
      <c r="G24" s="6">
        <f t="shared" si="0"/>
        <v>0.0427</v>
      </c>
      <c r="H24" s="7" t="s">
        <v>11</v>
      </c>
      <c r="L24" s="6"/>
    </row>
    <row r="25" spans="2:12" ht="11.25" hidden="1">
      <c r="B25" s="3">
        <v>38565</v>
      </c>
      <c r="D25" s="1">
        <v>31</v>
      </c>
      <c r="E25" s="8">
        <f>+D25*616301</f>
        <v>19105331</v>
      </c>
      <c r="F25" s="8">
        <f>3205-963</f>
        <v>2242</v>
      </c>
      <c r="G25" s="6">
        <f t="shared" si="0"/>
        <v>0.0428</v>
      </c>
      <c r="H25" s="7" t="s">
        <v>11</v>
      </c>
      <c r="L25" s="6"/>
    </row>
    <row r="26" spans="2:12" ht="11.25" hidden="1">
      <c r="B26" s="3">
        <v>38596</v>
      </c>
      <c r="D26" s="1">
        <v>30</v>
      </c>
      <c r="E26" s="8">
        <f>+D26*3976666</f>
        <v>119299980</v>
      </c>
      <c r="F26" s="8">
        <f>14653-371</f>
        <v>14282</v>
      </c>
      <c r="G26" s="6">
        <f t="shared" si="0"/>
        <v>0.0437</v>
      </c>
      <c r="H26" s="7" t="s">
        <v>11</v>
      </c>
      <c r="L26" s="6"/>
    </row>
    <row r="27" spans="2:12" ht="11.25" hidden="1">
      <c r="B27" s="3">
        <v>38626</v>
      </c>
      <c r="D27" s="1">
        <v>31</v>
      </c>
      <c r="E27" s="8">
        <f>+D27*11104686</f>
        <v>344245266</v>
      </c>
      <c r="F27" s="8">
        <f>41989-0</f>
        <v>41989</v>
      </c>
      <c r="G27" s="6">
        <f t="shared" si="0"/>
        <v>0.0445</v>
      </c>
      <c r="H27" s="7" t="s">
        <v>11</v>
      </c>
      <c r="L27" s="6"/>
    </row>
    <row r="28" spans="2:12" ht="11.25" hidden="1">
      <c r="B28" s="3">
        <v>38657</v>
      </c>
      <c r="D28" s="1">
        <v>30</v>
      </c>
      <c r="E28" s="8">
        <f>+D28*18735513</f>
        <v>562065390</v>
      </c>
      <c r="F28" s="8">
        <v>71743</v>
      </c>
      <c r="G28" s="6">
        <f t="shared" si="0"/>
        <v>0.0466</v>
      </c>
      <c r="H28" s="7" t="s">
        <v>11</v>
      </c>
      <c r="L28" s="6"/>
    </row>
    <row r="29" spans="2:12" ht="11.25" hidden="1">
      <c r="B29" s="3">
        <v>38687</v>
      </c>
      <c r="D29" s="1">
        <v>31</v>
      </c>
      <c r="E29" s="8">
        <f>27686249</f>
        <v>27686249</v>
      </c>
      <c r="F29" s="8">
        <f>113115-33</f>
        <v>113082</v>
      </c>
      <c r="G29" s="6">
        <f>F29/D29*365/E29</f>
        <v>0.04809063715488183</v>
      </c>
      <c r="H29" s="7" t="s">
        <v>11</v>
      </c>
      <c r="L29" s="6"/>
    </row>
    <row r="30" spans="2:12" ht="11.25" hidden="1">
      <c r="B30" s="3">
        <v>38718</v>
      </c>
      <c r="D30" s="1">
        <v>31</v>
      </c>
      <c r="E30" s="8">
        <f>32262778</f>
        <v>32262778</v>
      </c>
      <c r="F30" s="8">
        <v>134892</v>
      </c>
      <c r="G30" s="6">
        <f aca="true" t="shared" si="1" ref="G30:G47">F30/D30*365/E30</f>
        <v>0.04922838684657075</v>
      </c>
      <c r="H30" s="7" t="s">
        <v>11</v>
      </c>
      <c r="L30" s="6"/>
    </row>
    <row r="31" spans="2:12" ht="11.25" hidden="1">
      <c r="B31" s="3">
        <v>38749</v>
      </c>
      <c r="D31" s="1">
        <v>28</v>
      </c>
      <c r="E31" s="8">
        <f>30215302</f>
        <v>30215302</v>
      </c>
      <c r="F31" s="8">
        <v>118509</v>
      </c>
      <c r="G31" s="6">
        <f t="shared" si="1"/>
        <v>0.0511280497638486</v>
      </c>
      <c r="H31" s="7" t="s">
        <v>11</v>
      </c>
      <c r="L31" s="6"/>
    </row>
    <row r="32" spans="2:12" ht="11.25" hidden="1">
      <c r="B32" s="3">
        <v>38777</v>
      </c>
      <c r="D32" s="1">
        <v>31</v>
      </c>
      <c r="E32" s="8">
        <f>24805523</f>
        <v>24805523</v>
      </c>
      <c r="F32" s="8">
        <v>108894</v>
      </c>
      <c r="G32" s="6">
        <f t="shared" si="1"/>
        <v>0.05168764360493687</v>
      </c>
      <c r="H32" s="7" t="s">
        <v>11</v>
      </c>
      <c r="L32" s="6"/>
    </row>
    <row r="33" spans="2:12" ht="11.25" hidden="1">
      <c r="B33" s="3">
        <v>38808</v>
      </c>
      <c r="D33" s="1">
        <v>30</v>
      </c>
      <c r="E33" s="8">
        <f>23499301</f>
        <v>23499301</v>
      </c>
      <c r="F33" s="8">
        <v>104042</v>
      </c>
      <c r="G33" s="6">
        <f t="shared" si="1"/>
        <v>0.05386731857825615</v>
      </c>
      <c r="H33" s="7" t="s">
        <v>11</v>
      </c>
      <c r="L33" s="6"/>
    </row>
    <row r="34" spans="2:12" ht="11.25" hidden="1">
      <c r="B34" s="3">
        <v>38838</v>
      </c>
      <c r="D34" s="1">
        <v>31</v>
      </c>
      <c r="E34" s="8">
        <f>24543487</f>
        <v>24543487</v>
      </c>
      <c r="F34" s="8">
        <v>116250</v>
      </c>
      <c r="G34" s="6">
        <f t="shared" si="1"/>
        <v>0.05576835923925561</v>
      </c>
      <c r="H34" s="7" t="s">
        <v>11</v>
      </c>
      <c r="L34" s="6"/>
    </row>
    <row r="35" spans="2:12" ht="11.25" hidden="1">
      <c r="B35" s="3">
        <v>38869</v>
      </c>
      <c r="D35" s="1">
        <v>30</v>
      </c>
      <c r="E35" s="8">
        <f>23649705</f>
        <v>23649705</v>
      </c>
      <c r="F35" s="8">
        <v>109686</v>
      </c>
      <c r="G35" s="6">
        <f t="shared" si="1"/>
        <v>0.05642831485635867</v>
      </c>
      <c r="H35" s="7" t="s">
        <v>11</v>
      </c>
      <c r="L35" s="6"/>
    </row>
    <row r="36" spans="2:12" ht="11.25" hidden="1">
      <c r="B36" s="3">
        <v>38899</v>
      </c>
      <c r="D36" s="1">
        <v>31</v>
      </c>
      <c r="E36" s="8">
        <f>28363028</f>
        <v>28363028</v>
      </c>
      <c r="F36" s="8">
        <v>140988</v>
      </c>
      <c r="G36" s="6">
        <f t="shared" si="1"/>
        <v>0.058527601495862856</v>
      </c>
      <c r="H36" s="7"/>
      <c r="L36" s="6"/>
    </row>
    <row r="37" spans="2:12" ht="11.25" hidden="1">
      <c r="B37" s="3">
        <v>38930</v>
      </c>
      <c r="D37" s="1">
        <v>31</v>
      </c>
      <c r="E37" s="8">
        <v>28894881</v>
      </c>
      <c r="F37" s="8">
        <v>143001</v>
      </c>
      <c r="G37" s="6">
        <f t="shared" si="1"/>
        <v>0.05827057919404144</v>
      </c>
      <c r="H37" s="7"/>
      <c r="L37" s="6"/>
    </row>
    <row r="38" spans="2:12" ht="11.25" hidden="1">
      <c r="B38" s="3">
        <v>38961</v>
      </c>
      <c r="D38" s="1">
        <v>30</v>
      </c>
      <c r="E38" s="8">
        <v>32880439</v>
      </c>
      <c r="F38" s="8">
        <v>156579</v>
      </c>
      <c r="G38" s="6">
        <f t="shared" si="1"/>
        <v>0.05793853603961918</v>
      </c>
      <c r="H38" s="7"/>
      <c r="L38" s="6"/>
    </row>
    <row r="39" spans="2:12" ht="11.25" hidden="1">
      <c r="B39" s="3">
        <v>38991</v>
      </c>
      <c r="D39" s="1">
        <v>31</v>
      </c>
      <c r="E39" s="8">
        <v>32842384</v>
      </c>
      <c r="F39" s="8">
        <v>161059</v>
      </c>
      <c r="G39" s="6">
        <f t="shared" si="1"/>
        <v>0.057740626828724655</v>
      </c>
      <c r="H39" s="7"/>
      <c r="L39" s="6"/>
    </row>
    <row r="40" spans="2:12" ht="11.25" hidden="1">
      <c r="B40" s="3">
        <v>39022</v>
      </c>
      <c r="D40" s="1">
        <v>30</v>
      </c>
      <c r="E40" s="8">
        <v>25540494</v>
      </c>
      <c r="F40" s="8">
        <v>120844</v>
      </c>
      <c r="G40" s="6">
        <f t="shared" si="1"/>
        <v>0.0575661796779133</v>
      </c>
      <c r="H40" s="7"/>
      <c r="L40" s="6"/>
    </row>
    <row r="41" spans="2:12" ht="11.25" hidden="1">
      <c r="B41" s="3">
        <v>39052</v>
      </c>
      <c r="D41" s="1">
        <v>31</v>
      </c>
      <c r="E41" s="8">
        <v>15794346</v>
      </c>
      <c r="F41" s="8">
        <v>77849</v>
      </c>
      <c r="G41" s="6">
        <f t="shared" si="1"/>
        <v>0.058034007457376656</v>
      </c>
      <c r="H41" s="7"/>
      <c r="L41" s="6"/>
    </row>
    <row r="42" spans="2:12" ht="11.25" hidden="1">
      <c r="B42" s="3">
        <v>39083</v>
      </c>
      <c r="D42" s="1">
        <v>31</v>
      </c>
      <c r="E42" s="8">
        <v>19248464</v>
      </c>
      <c r="F42" s="8">
        <v>94555</v>
      </c>
      <c r="G42" s="6">
        <f t="shared" si="1"/>
        <v>0.057838842152170784</v>
      </c>
      <c r="H42" s="7"/>
      <c r="L42" s="6"/>
    </row>
    <row r="43" spans="2:12" ht="11.25" hidden="1">
      <c r="B43" s="3">
        <v>39114</v>
      </c>
      <c r="D43" s="1">
        <v>28</v>
      </c>
      <c r="E43" s="8">
        <v>19822052</v>
      </c>
      <c r="F43" s="8">
        <v>87795</v>
      </c>
      <c r="G43" s="6">
        <f t="shared" si="1"/>
        <v>0.05773723808787736</v>
      </c>
      <c r="H43" s="7"/>
      <c r="L43" s="6"/>
    </row>
    <row r="44" spans="2:12" ht="11.25" hidden="1">
      <c r="B44" s="3">
        <v>39142</v>
      </c>
      <c r="D44" s="1">
        <v>31</v>
      </c>
      <c r="E44" s="8">
        <v>13651183</v>
      </c>
      <c r="F44" s="8">
        <v>67268</v>
      </c>
      <c r="G44" s="6">
        <f t="shared" si="1"/>
        <v>0.058018887565488154</v>
      </c>
      <c r="H44" s="7"/>
      <c r="L44" s="6"/>
    </row>
    <row r="45" spans="2:12" ht="11.25" hidden="1">
      <c r="B45" s="3">
        <v>39173</v>
      </c>
      <c r="D45" s="1">
        <v>30</v>
      </c>
      <c r="E45" s="8">
        <v>18079270</v>
      </c>
      <c r="F45" s="8">
        <v>86345</v>
      </c>
      <c r="G45" s="6">
        <f t="shared" si="1"/>
        <v>0.05810692762115579</v>
      </c>
      <c r="H45" s="7"/>
      <c r="L45" s="6"/>
    </row>
    <row r="46" spans="2:12" ht="11.25" hidden="1">
      <c r="B46" s="3">
        <v>39203</v>
      </c>
      <c r="D46" s="1">
        <v>31</v>
      </c>
      <c r="E46" s="8">
        <v>12496030</v>
      </c>
      <c r="F46" s="8">
        <v>61595</v>
      </c>
      <c r="G46" s="6">
        <f t="shared" si="1"/>
        <v>0.058036948663927924</v>
      </c>
      <c r="H46" s="7"/>
      <c r="L46" s="6"/>
    </row>
    <row r="47" spans="2:12" ht="11.25" hidden="1">
      <c r="B47" s="3">
        <v>39263</v>
      </c>
      <c r="D47" s="1">
        <v>30</v>
      </c>
      <c r="E47" s="8">
        <v>11927715</v>
      </c>
      <c r="F47" s="8">
        <v>57110</v>
      </c>
      <c r="G47" s="6">
        <f t="shared" si="1"/>
        <v>0.058254102594950785</v>
      </c>
      <c r="H47" s="7"/>
      <c r="L47" s="6"/>
    </row>
    <row r="48" spans="2:12" ht="11.25">
      <c r="B48" s="10">
        <f>'[1]FC Common Plt'!G5</f>
        <v>44180</v>
      </c>
      <c r="C48" s="11"/>
      <c r="D48" s="1">
        <v>31</v>
      </c>
      <c r="E48" s="12">
        <v>175218756</v>
      </c>
      <c r="F48" s="12"/>
      <c r="G48" s="13"/>
      <c r="H48" s="7"/>
      <c r="L48" s="6"/>
    </row>
    <row r="49" spans="2:12" ht="11.25">
      <c r="B49" s="14">
        <f>+B48+28</f>
        <v>44208</v>
      </c>
      <c r="C49" s="11"/>
      <c r="D49" s="1">
        <v>31</v>
      </c>
      <c r="E49" s="12">
        <v>178688886</v>
      </c>
      <c r="F49" s="12">
        <v>273495.19</v>
      </c>
      <c r="G49" s="13">
        <f aca="true" t="shared" si="2" ref="G49:G59">F49/D49*365/E49</f>
        <v>0.01802118404618015</v>
      </c>
      <c r="H49" s="7"/>
      <c r="L49" s="6"/>
    </row>
    <row r="50" spans="2:12" ht="11.25">
      <c r="B50" s="14">
        <f>+B49+28</f>
        <v>44236</v>
      </c>
      <c r="C50" s="11"/>
      <c r="D50" s="1">
        <v>28</v>
      </c>
      <c r="E50" s="12">
        <v>160076623</v>
      </c>
      <c r="F50" s="12">
        <v>213610.02</v>
      </c>
      <c r="G50" s="13">
        <f t="shared" si="2"/>
        <v>0.01739516449747765</v>
      </c>
      <c r="H50" s="7"/>
      <c r="L50" s="6"/>
    </row>
    <row r="51" spans="2:12" ht="11.25">
      <c r="B51" s="14">
        <f>+B50+28</f>
        <v>44264</v>
      </c>
      <c r="C51" s="11"/>
      <c r="D51" s="1">
        <v>31</v>
      </c>
      <c r="E51" s="12">
        <v>155839476</v>
      </c>
      <c r="F51" s="12">
        <v>234715.72</v>
      </c>
      <c r="G51" s="13">
        <f t="shared" si="2"/>
        <v>0.01773355754949428</v>
      </c>
      <c r="H51" s="7"/>
      <c r="L51" s="6"/>
    </row>
    <row r="52" spans="2:12" ht="11.25">
      <c r="B52" s="14">
        <f>+B51+28</f>
        <v>44292</v>
      </c>
      <c r="C52" s="11"/>
      <c r="D52" s="1">
        <v>30</v>
      </c>
      <c r="E52" s="12">
        <v>153719474</v>
      </c>
      <c r="F52" s="12">
        <v>208827.25</v>
      </c>
      <c r="G52" s="13">
        <f t="shared" si="2"/>
        <v>0.016528364790440717</v>
      </c>
      <c r="H52" s="7"/>
      <c r="L52" s="6"/>
    </row>
    <row r="53" spans="2:12" ht="11.25">
      <c r="B53" s="14">
        <f>+B52+30</f>
        <v>44322</v>
      </c>
      <c r="C53" s="11"/>
      <c r="D53" s="1">
        <v>31</v>
      </c>
      <c r="E53" s="12">
        <v>155959476</v>
      </c>
      <c r="F53" s="12">
        <v>228840.49</v>
      </c>
      <c r="G53" s="13">
        <f t="shared" si="2"/>
        <v>0.017276361078359493</v>
      </c>
      <c r="H53" s="7"/>
      <c r="L53" s="6"/>
    </row>
    <row r="54" spans="2:12" ht="11.25">
      <c r="B54" s="14">
        <f>+B53+28</f>
        <v>44350</v>
      </c>
      <c r="C54" s="11"/>
      <c r="D54" s="1">
        <v>30</v>
      </c>
      <c r="E54" s="12">
        <v>169152150</v>
      </c>
      <c r="F54" s="12">
        <v>232406.8</v>
      </c>
      <c r="G54" s="13">
        <f t="shared" si="2"/>
        <v>0.01671640630442277</v>
      </c>
      <c r="H54" s="7"/>
      <c r="L54" s="6"/>
    </row>
    <row r="55" spans="2:12" ht="11.25">
      <c r="B55" s="14">
        <f>+B54+30</f>
        <v>44380</v>
      </c>
      <c r="C55" s="11"/>
      <c r="D55" s="1">
        <v>31</v>
      </c>
      <c r="E55" s="12">
        <v>186332893</v>
      </c>
      <c r="F55" s="12">
        <v>250206.28</v>
      </c>
      <c r="G55" s="13">
        <f t="shared" si="2"/>
        <v>0.015810290498424962</v>
      </c>
      <c r="H55" s="7"/>
      <c r="L55" s="6"/>
    </row>
    <row r="56" spans="2:12" ht="11.25">
      <c r="B56" s="14">
        <f>+B55+31</f>
        <v>44411</v>
      </c>
      <c r="C56" s="11"/>
      <c r="D56" s="1">
        <v>31</v>
      </c>
      <c r="E56" s="12">
        <v>187123042</v>
      </c>
      <c r="F56" s="12">
        <v>221066.63</v>
      </c>
      <c r="G56" s="13">
        <f t="shared" si="2"/>
        <v>0.013909998794855405</v>
      </c>
      <c r="H56" s="7"/>
      <c r="L56" s="6"/>
    </row>
    <row r="57" spans="2:12" ht="11.25">
      <c r="B57" s="14">
        <f>+B56+31</f>
        <v>44442</v>
      </c>
      <c r="C57" s="11"/>
      <c r="D57" s="1">
        <v>30</v>
      </c>
      <c r="E57" s="12">
        <v>191527812</v>
      </c>
      <c r="F57" s="12">
        <v>201759.13</v>
      </c>
      <c r="G57" s="13">
        <f t="shared" si="2"/>
        <v>0.012816603792595232</v>
      </c>
      <c r="H57" s="7"/>
      <c r="L57" s="6"/>
    </row>
    <row r="58" spans="2:12" ht="11.25">
      <c r="B58" s="14">
        <f>+B57+30</f>
        <v>44472</v>
      </c>
      <c r="C58" s="11"/>
      <c r="D58" s="1">
        <v>31</v>
      </c>
      <c r="E58" s="12">
        <v>214940019</v>
      </c>
      <c r="F58" s="12">
        <v>245242.51</v>
      </c>
      <c r="G58" s="13">
        <f t="shared" si="2"/>
        <v>0.013434132891894173</v>
      </c>
      <c r="H58" s="7"/>
      <c r="L58" s="6"/>
    </row>
    <row r="59" spans="2:12" ht="11.25">
      <c r="B59" s="14">
        <f>+B58+31</f>
        <v>44503</v>
      </c>
      <c r="C59" s="11"/>
      <c r="D59" s="1">
        <v>30</v>
      </c>
      <c r="E59" s="12">
        <v>238185394</v>
      </c>
      <c r="F59" s="12">
        <v>204194.43</v>
      </c>
      <c r="G59" s="13">
        <f t="shared" si="2"/>
        <v>0.01043038585732927</v>
      </c>
      <c r="H59" s="7"/>
      <c r="L59" s="6"/>
    </row>
    <row r="60" spans="2:12" ht="11.25">
      <c r="B60" s="14">
        <f>+B59+30</f>
        <v>44533</v>
      </c>
      <c r="C60" s="11"/>
      <c r="D60" s="1">
        <v>31</v>
      </c>
      <c r="E60" s="12">
        <v>221169378</v>
      </c>
      <c r="F60" s="12">
        <v>93267.16</v>
      </c>
      <c r="G60" s="13">
        <f>F60/D60*365/E60</f>
        <v>0.004965179191978317</v>
      </c>
      <c r="H60" s="7"/>
      <c r="L60" s="6"/>
    </row>
    <row r="61" spans="2:12" ht="11.25">
      <c r="B61" s="1" t="s">
        <v>12</v>
      </c>
      <c r="D61" s="15">
        <f>SUM(D48:D59)</f>
        <v>365</v>
      </c>
      <c r="E61" s="16">
        <f>AVERAGE(E48:E60)</f>
        <v>183687183</v>
      </c>
      <c r="F61" s="16">
        <f>SUM(F49:F60)</f>
        <v>2607631.61</v>
      </c>
      <c r="G61" s="17">
        <f>ROUND(F61/D61*(365/E61),4)</f>
        <v>0.0142</v>
      </c>
      <c r="H61" s="7"/>
      <c r="L61" s="6"/>
    </row>
    <row r="62" spans="5:12" ht="11.25">
      <c r="E62" s="8"/>
      <c r="F62" s="8"/>
      <c r="H62" s="7"/>
      <c r="L62" s="6"/>
    </row>
    <row r="63" spans="1:12" ht="11.25">
      <c r="A63" s="1" t="s">
        <v>13</v>
      </c>
      <c r="E63" s="16">
        <f>E61</f>
        <v>183687183</v>
      </c>
      <c r="F63" s="16">
        <f>+F61</f>
        <v>2607631.61</v>
      </c>
      <c r="G63" s="17">
        <f>+G61</f>
        <v>0.0142</v>
      </c>
      <c r="H63" s="7"/>
      <c r="L63" s="6"/>
    </row>
    <row r="64" spans="4:12" ht="11.25">
      <c r="D64" s="1" t="s">
        <v>14</v>
      </c>
      <c r="E64" s="16">
        <f>+E60</f>
        <v>221169378</v>
      </c>
      <c r="F64" s="16">
        <f>+F63</f>
        <v>2607631.61</v>
      </c>
      <c r="G64" s="17">
        <f>+F64/E64</f>
        <v>0.011790201851542033</v>
      </c>
      <c r="H64" s="7"/>
      <c r="L64" s="6"/>
    </row>
    <row r="65" spans="1:12" ht="11.25">
      <c r="A65" s="18"/>
      <c r="H65" s="7"/>
      <c r="L65" s="6"/>
    </row>
    <row r="66" spans="8:12" ht="11.25">
      <c r="H66" s="7"/>
      <c r="L66" s="6"/>
    </row>
    <row r="67" spans="6:7" ht="11.25">
      <c r="F67" s="19"/>
      <c r="G67" s="20" t="s">
        <v>15</v>
      </c>
    </row>
    <row r="68" spans="4:7" ht="11.25">
      <c r="D68" s="1" t="s">
        <v>16</v>
      </c>
      <c r="F68" s="21"/>
      <c r="G68" s="22">
        <f>'[1]CFG Reg_BS 13 Mon'!X114+'[1]CFG Reg_BS 13 Mon'!X116+'[1]FC with Allocations'!V79</f>
        <v>199293.8732307692</v>
      </c>
    </row>
    <row r="69" ht="11.25">
      <c r="A69" s="1" t="s">
        <v>17</v>
      </c>
    </row>
    <row r="70" spans="5:7" ht="11.25">
      <c r="E70" s="1" t="s">
        <v>18</v>
      </c>
      <c r="F70" s="6"/>
      <c r="G70" s="6">
        <f>G63</f>
        <v>0.0142</v>
      </c>
    </row>
    <row r="71" ht="11.25">
      <c r="F71" s="6"/>
    </row>
    <row r="72" spans="5:7" ht="11.25">
      <c r="E72" s="1" t="s">
        <v>19</v>
      </c>
      <c r="F72" s="21"/>
      <c r="G72" s="21">
        <f>G68*G70</f>
        <v>2829.972999876923</v>
      </c>
    </row>
    <row r="73" ht="11.25"/>
    <row r="74" ht="11.25"/>
    <row r="75" ht="11.25">
      <c r="D75" s="1" t="s">
        <v>20</v>
      </c>
    </row>
    <row r="76" ht="11.25"/>
    <row r="77" ht="12" customHeight="1"/>
    <row r="78" spans="2:7" ht="11.25">
      <c r="B78" s="23">
        <f>+B48</f>
        <v>44180</v>
      </c>
      <c r="D78" s="19">
        <f>+D48</f>
        <v>31</v>
      </c>
      <c r="E78" s="24">
        <f>+'[1]Income Statement'!C$37</f>
        <v>0</v>
      </c>
      <c r="F78" s="25"/>
      <c r="G78" s="13"/>
    </row>
    <row r="79" spans="2:7" ht="11.25">
      <c r="B79" s="3">
        <f>+B78+31</f>
        <v>44211</v>
      </c>
      <c r="D79" s="19">
        <f aca="true" t="shared" si="3" ref="D79:D90">+D49</f>
        <v>31</v>
      </c>
      <c r="E79" s="24">
        <f>+'[1]Income Statement'!D$37</f>
        <v>0</v>
      </c>
      <c r="F79" s="26"/>
      <c r="G79" s="13">
        <f>IF(F79=0,0,(F79/D79*365/E79))</f>
        <v>0</v>
      </c>
    </row>
    <row r="80" spans="2:7" ht="11.25">
      <c r="B80" s="3">
        <f aca="true" t="shared" si="4" ref="B80:B90">+B79+31</f>
        <v>44242</v>
      </c>
      <c r="D80" s="19">
        <f t="shared" si="3"/>
        <v>28</v>
      </c>
      <c r="E80" s="24">
        <f>+'[1]Income Statement'!E$37</f>
        <v>0</v>
      </c>
      <c r="F80" s="26"/>
      <c r="G80" s="13">
        <f>IF(F80=0,0,(F80/D80*365/E80))</f>
        <v>0</v>
      </c>
    </row>
    <row r="81" spans="2:7" ht="11.25">
      <c r="B81" s="3">
        <f t="shared" si="4"/>
        <v>44273</v>
      </c>
      <c r="D81" s="19">
        <f t="shared" si="3"/>
        <v>31</v>
      </c>
      <c r="E81" s="24">
        <f>+'[1]Income Statement'!F$37</f>
        <v>0</v>
      </c>
      <c r="F81" s="26"/>
      <c r="G81" s="13">
        <f>IF(F81=0,0,(F81/D81*365/E81))</f>
        <v>0</v>
      </c>
    </row>
    <row r="82" spans="2:7" ht="11.25">
      <c r="B82" s="3">
        <f t="shared" si="4"/>
        <v>44304</v>
      </c>
      <c r="D82" s="19">
        <f t="shared" si="3"/>
        <v>30</v>
      </c>
      <c r="E82" s="24">
        <f>+'[1]Income Statement'!G$37</f>
        <v>0</v>
      </c>
      <c r="F82" s="26"/>
      <c r="G82" s="13">
        <f>IF(F82=0,0,(F82/D82*365/E82))</f>
        <v>0</v>
      </c>
    </row>
    <row r="83" spans="2:7" ht="11.25">
      <c r="B83" s="3">
        <f t="shared" si="4"/>
        <v>44335</v>
      </c>
      <c r="D83" s="19">
        <f t="shared" si="3"/>
        <v>31</v>
      </c>
      <c r="E83" s="24">
        <f>+'[1]Income Statement'!H$37</f>
        <v>0</v>
      </c>
      <c r="F83" s="27"/>
      <c r="G83" s="13">
        <f>IF(F83=0,0,(F83/D83*365/E83))</f>
        <v>0</v>
      </c>
    </row>
    <row r="84" spans="2:7" ht="11.25">
      <c r="B84" s="3">
        <f t="shared" si="4"/>
        <v>44366</v>
      </c>
      <c r="D84" s="19">
        <f t="shared" si="3"/>
        <v>30</v>
      </c>
      <c r="E84" s="24">
        <f>+'[1]Income Statement'!I$37</f>
        <v>0</v>
      </c>
      <c r="F84" s="27"/>
      <c r="G84" s="13">
        <f aca="true" t="shared" si="5" ref="G84:G89">IF(F84=0,0,(F84/D84*365/E84))</f>
        <v>0</v>
      </c>
    </row>
    <row r="85" spans="2:7" ht="11.25">
      <c r="B85" s="3">
        <f t="shared" si="4"/>
        <v>44397</v>
      </c>
      <c r="D85" s="19">
        <f t="shared" si="3"/>
        <v>31</v>
      </c>
      <c r="E85" s="24">
        <f>+'[1]Income Statement'!J$37</f>
        <v>0</v>
      </c>
      <c r="F85" s="27"/>
      <c r="G85" s="13">
        <f t="shared" si="5"/>
        <v>0</v>
      </c>
    </row>
    <row r="86" spans="2:7" ht="11.25">
      <c r="B86" s="3">
        <f t="shared" si="4"/>
        <v>44428</v>
      </c>
      <c r="D86" s="19">
        <f t="shared" si="3"/>
        <v>31</v>
      </c>
      <c r="E86" s="24">
        <f>+'[1]Income Statement'!K$37</f>
        <v>0</v>
      </c>
      <c r="F86" s="27"/>
      <c r="G86" s="13">
        <f t="shared" si="5"/>
        <v>0</v>
      </c>
    </row>
    <row r="87" spans="2:7" ht="11.25">
      <c r="B87" s="3">
        <f t="shared" si="4"/>
        <v>44459</v>
      </c>
      <c r="D87" s="19">
        <f t="shared" si="3"/>
        <v>30</v>
      </c>
      <c r="E87" s="24">
        <f>+'[1]Income Statement'!L$37</f>
        <v>0</v>
      </c>
      <c r="F87" s="27"/>
      <c r="G87" s="13">
        <f t="shared" si="5"/>
        <v>0</v>
      </c>
    </row>
    <row r="88" spans="2:7" ht="11.25">
      <c r="B88" s="3">
        <f t="shared" si="4"/>
        <v>44490</v>
      </c>
      <c r="D88" s="19">
        <f t="shared" si="3"/>
        <v>31</v>
      </c>
      <c r="E88" s="24">
        <f>+'[1]Income Statement'!M$37</f>
        <v>0</v>
      </c>
      <c r="F88" s="27"/>
      <c r="G88" s="13">
        <f t="shared" si="5"/>
        <v>0</v>
      </c>
    </row>
    <row r="89" spans="2:7" ht="11.25">
      <c r="B89" s="3">
        <f t="shared" si="4"/>
        <v>44521</v>
      </c>
      <c r="D89" s="19">
        <f t="shared" si="3"/>
        <v>30</v>
      </c>
      <c r="E89" s="24">
        <f>+'[1]Income Statement'!N$37</f>
        <v>0</v>
      </c>
      <c r="F89" s="28"/>
      <c r="G89" s="13">
        <f t="shared" si="5"/>
        <v>0</v>
      </c>
    </row>
    <row r="90" spans="2:7" ht="11.25">
      <c r="B90" s="3">
        <f t="shared" si="4"/>
        <v>44552</v>
      </c>
      <c r="D90" s="19">
        <f t="shared" si="3"/>
        <v>31</v>
      </c>
      <c r="E90" s="24">
        <f>+'[1]Income Statement'!O$37</f>
        <v>0</v>
      </c>
      <c r="F90" s="28"/>
      <c r="G90" s="13">
        <f>IF(E90=0,0,(F90/D90*365/E90))</f>
        <v>0</v>
      </c>
    </row>
    <row r="91" spans="2:7" ht="11.25">
      <c r="B91" s="1" t="s">
        <v>12</v>
      </c>
      <c r="D91" s="15">
        <f>SUM(D78:D89)</f>
        <v>365</v>
      </c>
      <c r="E91" s="16">
        <f>AVERAGE(E78:E90)</f>
        <v>0</v>
      </c>
      <c r="F91" s="16">
        <f>SUM(F79:F90)</f>
        <v>0</v>
      </c>
      <c r="G91" s="17">
        <v>0</v>
      </c>
    </row>
    <row r="92" spans="5:6" ht="11.25">
      <c r="E92" s="8"/>
      <c r="F92" s="8"/>
    </row>
    <row r="93" spans="5:7" ht="11.25">
      <c r="E93" s="16">
        <f>E91</f>
        <v>0</v>
      </c>
      <c r="F93" s="16">
        <f>+F91</f>
        <v>0</v>
      </c>
      <c r="G93" s="17">
        <f>+G91</f>
        <v>0</v>
      </c>
    </row>
    <row r="94" spans="4:7" ht="12.75">
      <c r="D94" s="1" t="s">
        <v>14</v>
      </c>
      <c r="E94" s="16">
        <f>+E90</f>
        <v>0</v>
      </c>
      <c r="F94" s="16">
        <f>+F93</f>
        <v>0</v>
      </c>
      <c r="G94" s="17">
        <v>0</v>
      </c>
    </row>
  </sheetData>
  <sheetProtection/>
  <printOptions/>
  <pageMargins left="0.75" right="0.75" top="1" bottom="1" header="0.5" footer="0.5"/>
  <pageSetup horizontalDpi="600" verticalDpi="600" orientation="portrait" scale="90" r:id="rId3"/>
  <headerFooter alignWithMargins="0">
    <oddHeader>&amp;C&amp;A</oddHeader>
    <oddFooter>&amp;C&amp;Z&amp;F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Chesapeake Utilities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Baugh, Jowi</dc:creator>
  <cp:keywords/>
  <dc:description/>
  <cp:lastModifiedBy>Baugh, Jowi</cp:lastModifiedBy>
  <dcterms:created xsi:type="dcterms:W3CDTF">2022-01-31T16:38:31Z</dcterms:created>
  <dcterms:modified xsi:type="dcterms:W3CDTF">2022-01-31T16:43:17Z</dcterms:modified>
  <cp:category/>
  <cp:version/>
  <cp:contentType/>
  <cp:contentStatus/>
</cp:coreProperties>
</file>