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OPC's 4th IRRs (Nos. 180-210)/Drafter Workspace/Attachments/IRR_198/"/>
    </mc:Choice>
  </mc:AlternateContent>
  <xr:revisionPtr revIDLastSave="0" documentId="13_ncr:1_{C5AA710C-3985-4EFF-9791-18911A673F11}" xr6:coauthVersionLast="47" xr6:coauthVersionMax="47" xr10:uidLastSave="{00000000-0000-0000-0000-000000000000}"/>
  <bookViews>
    <workbookView xWindow="28680" yWindow="-120" windowWidth="29040" windowHeight="15840" tabRatio="843" activeTab="5" xr2:uid="{465E3815-229A-4685-9666-82DBC307E83E}"/>
  </bookViews>
  <sheets>
    <sheet name="Summary" sheetId="8" r:id="rId1"/>
    <sheet name="Brightmark RNG Plant" sheetId="1" r:id="rId2"/>
    <sheet name="Brightmark Pipeline Ext" sheetId="2" r:id="rId3"/>
    <sheet name="New River" sheetId="3" r:id="rId4"/>
    <sheet name="Alliance RNG Total" sheetId="7" r:id="rId5"/>
    <sheet name="Alliance Pipeline Ext detail" sheetId="6" r:id="rId6"/>
  </sheets>
  <definedNames>
    <definedName name="\P">#REF!</definedName>
    <definedName name="_Key1" hidden="1">#REF!</definedName>
    <definedName name="_Order1" hidden="1">255</definedName>
    <definedName name="_Sort" hidden="1">#REF!</definedName>
    <definedName name="CM_GWH_SALES">#REF!</definedName>
    <definedName name="CMREVANAL">#REF!</definedName>
    <definedName name="Derivation_of_Energy_Separation_Factors">#REF!</definedName>
    <definedName name="EV__LASTREFTIME__" hidden="1">"(GMT-05:00)1/4/2018 10:44:54 AM"</definedName>
    <definedName name="FORM42_1A">#REF!</definedName>
    <definedName name="FORM42_4A">#REF!</definedName>
    <definedName name="FORM42_5A">#REF!</definedName>
    <definedName name="FORM42_6A">#REF!</definedName>
    <definedName name="FORM42_7A">#REF!</definedName>
    <definedName name="FORM42_8A_P10">#REF!</definedName>
    <definedName name="FORM42_8A_P11">#REF!</definedName>
    <definedName name="FORM42_8A_P6">#REF!</definedName>
    <definedName name="FORM42_8A_P7">#REF!</definedName>
    <definedName name="FORM42_8A_P8">#REF!</definedName>
    <definedName name="FORM42_8A_P9">#REF!</definedName>
    <definedName name="FORM421E">#REF!</definedName>
    <definedName name="FORM421P">#REF!</definedName>
    <definedName name="FORM422P">#REF!</definedName>
    <definedName name="FORM423P">#REF!</definedName>
    <definedName name="FORM424PP1">#REF!</definedName>
    <definedName name="FORM424PP10">#REF!</definedName>
    <definedName name="FORM424PP11">#REF!</definedName>
    <definedName name="FORM424PP12">#REF!</definedName>
    <definedName name="FORM424PP13">#REF!</definedName>
    <definedName name="FORM424PP14">#REF!</definedName>
    <definedName name="FORM424PP15">#REF!</definedName>
    <definedName name="FORM424PP2">#REF!</definedName>
    <definedName name="FORM424PP3">#REF!</definedName>
    <definedName name="FORM424PP4">#REF!</definedName>
    <definedName name="FORM424PP5">#REF!</definedName>
    <definedName name="FORM424PP6">#REF!</definedName>
    <definedName name="FORM424PP7">#REF!</definedName>
    <definedName name="FORM424PP8">#REF!</definedName>
    <definedName name="FORM424PP9">#REF!</definedName>
    <definedName name="FORM426P">#REF!</definedName>
    <definedName name="FORM427P">#REF!</definedName>
    <definedName name="FORM428EP10">#REF!</definedName>
    <definedName name="FORM428EP13">#REF!</definedName>
    <definedName name="FORM428EP4">#REF!</definedName>
    <definedName name="FORM428EP9">#REF!</definedName>
    <definedName name="FORM428P">#REF!</definedName>
    <definedName name="FORM429P">#REF!</definedName>
    <definedName name="MACRO">#REF!</definedName>
    <definedName name="PKDH">#REF!</definedName>
    <definedName name="_xlnm.Print_Area" localSheetId="5">'Alliance Pipeline Ext detail'!$A$1:$I$57</definedName>
    <definedName name="_xlnm.Print_Area" localSheetId="4">'Alliance RNG Total'!$A$1:$I$62</definedName>
    <definedName name="_xlnm.Print_Area" localSheetId="2">'Brightmark Pipeline Ext'!$A$1:$I$60</definedName>
    <definedName name="_xlnm.Print_Area" localSheetId="1">'Brightmark RNG Plant'!$A$1:$I$60</definedName>
    <definedName name="_xlnm.Print_Area" localSheetId="3">'New River'!$A$1:$I$60</definedName>
    <definedName name="_xlnm.Print_Area" localSheetId="0">Summary!$A$1:$E$11</definedName>
    <definedName name="PYVAR">#REF!</definedName>
    <definedName name="QTR_GWH_SALES">#REF!</definedName>
    <definedName name="QTRREVAN">#REF!</definedName>
    <definedName name="REVENUES">#REF!</definedName>
    <definedName name="SEP_FACTOR">#REF!</definedName>
    <definedName name="SEPDEM">#REF!</definedName>
    <definedName name="SEPDEMAND">#REF!</definedName>
    <definedName name="SEPENERGY">#REF!</definedName>
    <definedName name="SURVRPT">#REF!</definedName>
    <definedName name="TBRR">#REF!</definedName>
    <definedName name="TBRRBUD">#REF!</definedName>
    <definedName name="Total_Emissions">#REF!</definedName>
    <definedName name="WHOLESALE">#REF!</definedName>
    <definedName name="WPFORM421P">#REF!</definedName>
    <definedName name="YTD_GWH_SA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7" l="1"/>
  <c r="F6" i="3"/>
  <c r="F6" i="6"/>
  <c r="F6" i="2"/>
  <c r="F6" i="1"/>
  <c r="E8" i="8"/>
  <c r="G8" i="8"/>
  <c r="C8" i="8"/>
  <c r="D19" i="7"/>
  <c r="D52" i="7"/>
  <c r="D53" i="7" s="1"/>
  <c r="D54" i="7" s="1"/>
  <c r="D55" i="7" s="1"/>
  <c r="D56" i="7" s="1"/>
  <c r="D57" i="7" s="1"/>
  <c r="D58" i="7" s="1"/>
  <c r="D59" i="7" s="1"/>
  <c r="D60" i="7" s="1"/>
  <c r="D61" i="7" s="1"/>
  <c r="D62" i="7" s="1"/>
  <c r="D51" i="7"/>
  <c r="A38" i="7"/>
  <c r="E20" i="7"/>
  <c r="D20" i="7"/>
  <c r="E19" i="7"/>
  <c r="E38" i="7" s="1"/>
  <c r="C17" i="7"/>
  <c r="D17" i="7" s="1"/>
  <c r="E9" i="7"/>
  <c r="D7" i="7"/>
  <c r="E7" i="7" s="1"/>
  <c r="G7" i="7" s="1"/>
  <c r="E6" i="7"/>
  <c r="D19" i="6"/>
  <c r="D46" i="6"/>
  <c r="D47" i="6"/>
  <c r="A36" i="6"/>
  <c r="E20" i="6"/>
  <c r="D20" i="6"/>
  <c r="E19" i="6"/>
  <c r="E36" i="6" s="1"/>
  <c r="E37" i="6" s="1"/>
  <c r="C17" i="6"/>
  <c r="D17" i="6" s="1"/>
  <c r="E9" i="6"/>
  <c r="D7" i="6"/>
  <c r="E7" i="6" s="1"/>
  <c r="E6" i="6"/>
  <c r="G6" i="6" s="1"/>
  <c r="D49" i="3"/>
  <c r="D50" i="3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A36" i="3"/>
  <c r="E20" i="3"/>
  <c r="D20" i="3"/>
  <c r="E19" i="3"/>
  <c r="E36" i="3" s="1"/>
  <c r="E37" i="3" s="1"/>
  <c r="D19" i="3"/>
  <c r="C17" i="3"/>
  <c r="D17" i="3" s="1"/>
  <c r="E9" i="3"/>
  <c r="D7" i="3"/>
  <c r="E7" i="3" s="1"/>
  <c r="G7" i="3" s="1"/>
  <c r="E6" i="3"/>
  <c r="E8" i="3" s="1"/>
  <c r="D19" i="1"/>
  <c r="N60" i="2"/>
  <c r="N59" i="2"/>
  <c r="N58" i="2"/>
  <c r="N57" i="2"/>
  <c r="N56" i="2"/>
  <c r="N55" i="2"/>
  <c r="N54" i="2"/>
  <c r="N53" i="2"/>
  <c r="N52" i="2"/>
  <c r="N51" i="2"/>
  <c r="E51" i="2"/>
  <c r="E52" i="2" s="1"/>
  <c r="E53" i="2" s="1"/>
  <c r="E54" i="2" s="1"/>
  <c r="E55" i="2" s="1"/>
  <c r="E56" i="2" s="1"/>
  <c r="E57" i="2" s="1"/>
  <c r="E58" i="2" s="1"/>
  <c r="E59" i="2" s="1"/>
  <c r="E60" i="2" s="1"/>
  <c r="N50" i="2"/>
  <c r="D50" i="2"/>
  <c r="D51" i="2" s="1"/>
  <c r="N49" i="2"/>
  <c r="A36" i="2"/>
  <c r="E20" i="2"/>
  <c r="E21" i="2" s="1"/>
  <c r="D20" i="2"/>
  <c r="D21" i="2" s="1"/>
  <c r="E19" i="2"/>
  <c r="E36" i="2" s="1"/>
  <c r="E37" i="2" s="1"/>
  <c r="D19" i="2"/>
  <c r="E17" i="2"/>
  <c r="D17" i="2"/>
  <c r="E16" i="2" s="1"/>
  <c r="C17" i="2"/>
  <c r="E9" i="2"/>
  <c r="D7" i="2"/>
  <c r="E7" i="2" s="1"/>
  <c r="G6" i="2"/>
  <c r="E6" i="2"/>
  <c r="E19" i="1"/>
  <c r="E36" i="1"/>
  <c r="E20" i="1"/>
  <c r="D20" i="1"/>
  <c r="A36" i="1"/>
  <c r="E9" i="1"/>
  <c r="D7" i="1"/>
  <c r="E7" i="1" s="1"/>
  <c r="G7" i="1" s="1"/>
  <c r="E6" i="1"/>
  <c r="D21" i="7" l="1"/>
  <c r="E39" i="7"/>
  <c r="E21" i="7"/>
  <c r="E17" i="7"/>
  <c r="E16" i="7" s="1"/>
  <c r="D22" i="7"/>
  <c r="D23" i="7" s="1"/>
  <c r="E22" i="7"/>
  <c r="E23" i="7" s="1"/>
  <c r="E8" i="7"/>
  <c r="G6" i="7"/>
  <c r="E21" i="6"/>
  <c r="D48" i="6"/>
  <c r="D49" i="6" s="1"/>
  <c r="D50" i="6" s="1"/>
  <c r="D51" i="6" s="1"/>
  <c r="D52" i="6" s="1"/>
  <c r="D53" i="6" s="1"/>
  <c r="D54" i="6" s="1"/>
  <c r="D55" i="6" s="1"/>
  <c r="D56" i="6" s="1"/>
  <c r="D57" i="6" s="1"/>
  <c r="E17" i="6"/>
  <c r="E16" i="6" s="1"/>
  <c r="E8" i="6"/>
  <c r="G7" i="6"/>
  <c r="D21" i="6"/>
  <c r="E21" i="3"/>
  <c r="D21" i="3"/>
  <c r="D22" i="3" s="1"/>
  <c r="D23" i="3" s="1"/>
  <c r="E17" i="3"/>
  <c r="E16" i="3"/>
  <c r="G6" i="3"/>
  <c r="E8" i="2"/>
  <c r="G7" i="2"/>
  <c r="E26" i="2"/>
  <c r="D22" i="2"/>
  <c r="D23" i="2" s="1"/>
  <c r="E24" i="2" s="1"/>
  <c r="E22" i="2"/>
  <c r="E23" i="2" s="1"/>
  <c r="D52" i="2"/>
  <c r="D53" i="2" s="1"/>
  <c r="D54" i="2" s="1"/>
  <c r="D55" i="2" s="1"/>
  <c r="D56" i="2" s="1"/>
  <c r="D57" i="2" s="1"/>
  <c r="D58" i="2" s="1"/>
  <c r="D59" i="2" s="1"/>
  <c r="D60" i="2" s="1"/>
  <c r="M48" i="2" s="1"/>
  <c r="D50" i="1"/>
  <c r="C17" i="1"/>
  <c r="E8" i="1"/>
  <c r="G6" i="1"/>
  <c r="E26" i="7" l="1"/>
  <c r="E24" i="7"/>
  <c r="D22" i="6"/>
  <c r="D23" i="6" s="1"/>
  <c r="E22" i="6"/>
  <c r="E23" i="6" s="1"/>
  <c r="E26" i="6" s="1"/>
  <c r="E22" i="3"/>
  <c r="E23" i="3" s="1"/>
  <c r="E26" i="3"/>
  <c r="E24" i="3"/>
  <c r="M49" i="2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E30" i="2"/>
  <c r="E29" i="2"/>
  <c r="E31" i="2" s="1"/>
  <c r="E39" i="2" s="1"/>
  <c r="E43" i="2" s="1"/>
  <c r="D17" i="1"/>
  <c r="D51" i="1"/>
  <c r="D52" i="1" s="1"/>
  <c r="D53" i="1" s="1"/>
  <c r="D54" i="1" s="1"/>
  <c r="D55" i="1" s="1"/>
  <c r="D56" i="1" s="1"/>
  <c r="D57" i="1" s="1"/>
  <c r="D58" i="1" s="1"/>
  <c r="D59" i="1" s="1"/>
  <c r="D60" i="1" s="1"/>
  <c r="E21" i="1"/>
  <c r="D21" i="1"/>
  <c r="E30" i="7" l="1"/>
  <c r="E29" i="7"/>
  <c r="E30" i="6"/>
  <c r="E29" i="6"/>
  <c r="E31" i="6" s="1"/>
  <c r="E24" i="6"/>
  <c r="E29" i="3"/>
  <c r="E30" i="3"/>
  <c r="M61" i="2"/>
  <c r="D22" i="1"/>
  <c r="D23" i="1" s="1"/>
  <c r="E22" i="1"/>
  <c r="E23" i="1" s="1"/>
  <c r="E37" i="1"/>
  <c r="E17" i="1"/>
  <c r="E16" i="1" s="1"/>
  <c r="E39" i="6" l="1"/>
  <c r="E33" i="7"/>
  <c r="E31" i="7"/>
  <c r="E41" i="7" s="1"/>
  <c r="E31" i="3"/>
  <c r="E39" i="3" s="1"/>
  <c r="E24" i="1"/>
  <c r="E26" i="1"/>
  <c r="E43" i="3" l="1"/>
  <c r="E7" i="8"/>
  <c r="E9" i="8" s="1"/>
  <c r="G7" i="8"/>
  <c r="G9" i="8" s="1"/>
  <c r="E45" i="7"/>
  <c r="E30" i="1"/>
  <c r="E29" i="1"/>
  <c r="E31" i="1" s="1"/>
  <c r="E39" i="1" s="1"/>
  <c r="E43" i="1" l="1"/>
  <c r="C7" i="8"/>
  <c r="C9" i="8" s="1"/>
</calcChain>
</file>

<file path=xl/sharedStrings.xml><?xml version="1.0" encoding="utf-8"?>
<sst xmlns="http://schemas.openxmlformats.org/spreadsheetml/2006/main" count="240" uniqueCount="77">
  <si>
    <t>Initial Cost</t>
  </si>
  <si>
    <t>Cap Structure</t>
  </si>
  <si>
    <t>WACC</t>
  </si>
  <si>
    <t>Tax Mulitiplier</t>
  </si>
  <si>
    <t>ROI WACC</t>
  </si>
  <si>
    <t>Cost of Equity</t>
  </si>
  <si>
    <t>Includes taxes on earnings</t>
  </si>
  <si>
    <t>Cost of Debt</t>
  </si>
  <si>
    <t>Tax Rate</t>
  </si>
  <si>
    <t>Months In Service</t>
  </si>
  <si>
    <t>Annual Dep. Rate</t>
  </si>
  <si>
    <t>FERC Account 37600</t>
  </si>
  <si>
    <t>Tax Life</t>
  </si>
  <si>
    <t>20 year MACRS</t>
  </si>
  <si>
    <t>13 mo. Avg. Net Book Value</t>
  </si>
  <si>
    <t>End Balance</t>
  </si>
  <si>
    <t>Book Depreciation</t>
  </si>
  <si>
    <t>Tax Depreciation</t>
  </si>
  <si>
    <t>Tax Timing Difference</t>
  </si>
  <si>
    <t>Cumulative Tax Timing Difference</t>
  </si>
  <si>
    <t>ADIT</t>
  </si>
  <si>
    <t>Avg ADIT Balance</t>
  </si>
  <si>
    <t>Avg. NBV less ADIT</t>
  </si>
  <si>
    <t>Return on Average Net Book Value</t>
  </si>
  <si>
    <t xml:space="preserve">Equity component Grossed up for taxes </t>
  </si>
  <si>
    <t xml:space="preserve">Debt component </t>
  </si>
  <si>
    <t>Investment Expenses</t>
  </si>
  <si>
    <t>O&amp;M Expense</t>
  </si>
  <si>
    <t>Property Taxes</t>
  </si>
  <si>
    <t>Total Revenue Requirements</t>
  </si>
  <si>
    <t>Net Book Value</t>
  </si>
  <si>
    <t>Dep Exp</t>
  </si>
  <si>
    <t>2024 13 mo. Average</t>
  </si>
  <si>
    <t>Account 874</t>
  </si>
  <si>
    <t>Account 408</t>
  </si>
  <si>
    <t>Account 403</t>
  </si>
  <si>
    <t>Account 489</t>
  </si>
  <si>
    <t>Revenue in Filing</t>
  </si>
  <si>
    <t>Revenue In Excess of Revenue Requirements</t>
  </si>
  <si>
    <t>Net Revenue Requirements</t>
  </si>
  <si>
    <t>a</t>
  </si>
  <si>
    <t>b</t>
  </si>
  <si>
    <t>a + b = c</t>
  </si>
  <si>
    <t>d</t>
  </si>
  <si>
    <t>d - c</t>
  </si>
  <si>
    <t>7 year MACRS</t>
  </si>
  <si>
    <t>FERC Account 33601</t>
  </si>
  <si>
    <t>Account 412</t>
  </si>
  <si>
    <t>FERC Account 33600</t>
  </si>
  <si>
    <t>New River RNG</t>
  </si>
  <si>
    <t>Brightmark RNG Plant</t>
  </si>
  <si>
    <t>Brightmark RNG Pipeline Extension</t>
  </si>
  <si>
    <t>Revenue Deficiency</t>
  </si>
  <si>
    <t>c - d</t>
  </si>
  <si>
    <t>Alliance RNG Pipeline Extension</t>
  </si>
  <si>
    <t>Alliance RNG Plant</t>
  </si>
  <si>
    <t>Account 930.2</t>
  </si>
  <si>
    <t>(included in RNG Plant)</t>
  </si>
  <si>
    <t>c</t>
  </si>
  <si>
    <t>a + b + c = d</t>
  </si>
  <si>
    <t>e</t>
  </si>
  <si>
    <t>e - d</t>
  </si>
  <si>
    <t>Peoples Gas System</t>
  </si>
  <si>
    <t>Brightmark</t>
  </si>
  <si>
    <t>Revenue Requirement</t>
  </si>
  <si>
    <t>Excess Revenue / (Revenue Deficiency)</t>
  </si>
  <si>
    <t>OPC Interrogatory No. 198</t>
  </si>
  <si>
    <t xml:space="preserve">Revenue Included in Filing </t>
  </si>
  <si>
    <t>Alliance</t>
  </si>
  <si>
    <t>New River</t>
  </si>
  <si>
    <t>RNG Projects Net Revenue Requirements - 2024 Test Year</t>
  </si>
  <si>
    <t xml:space="preserve">* See other tabs for detailed calculations supporting above amounts. </t>
  </si>
  <si>
    <t>Proof</t>
  </si>
  <si>
    <t>(included in Alliance RNG Total)</t>
  </si>
  <si>
    <t>(includes pipeline extension)</t>
  </si>
  <si>
    <t>Return on Average Net Book Value - Pipeline extension</t>
  </si>
  <si>
    <t>(all reflected in Alliance RNG Total tab)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</si>
</sst>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_(* #,##0_);_(* \(#,##0\);_(* &quot;-&quot;??_);_(@_)"/>
    <numFmt numFmtId="167" formatCode="0.0%"/>
    <numFmt numFmtId="168" formatCode="_(&quot;$&quot;* #,##0.0_);_(&quot;$&quot;* \(#,##0.0\);_(&quot;$&quot;* &quot;-&quot;??_);_(@_)"/>
    <numFmt numFmtId="169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164" fontId="4" fillId="0" borderId="0" xfId="2" applyNumberFormat="1" applyFont="1"/>
    <xf numFmtId="165" fontId="5" fillId="0" borderId="0" xfId="0" applyNumberFormat="1" applyFont="1"/>
    <xf numFmtId="0" fontId="3" fillId="0" borderId="0" xfId="0" applyFont="1" applyAlignment="1">
      <alignment horizontal="center"/>
    </xf>
    <xf numFmtId="10" fontId="5" fillId="0" borderId="0" xfId="0" applyNumberFormat="1" applyFont="1"/>
    <xf numFmtId="10" fontId="4" fillId="0" borderId="0" xfId="0" applyNumberFormat="1" applyFont="1"/>
    <xf numFmtId="0" fontId="6" fillId="0" borderId="0" xfId="0" applyFont="1"/>
    <xf numFmtId="166" fontId="4" fillId="0" borderId="0" xfId="0" applyNumberFormat="1" applyFont="1"/>
    <xf numFmtId="10" fontId="4" fillId="0" borderId="1" xfId="3" applyNumberFormat="1" applyFont="1" applyBorder="1"/>
    <xf numFmtId="0" fontId="7" fillId="0" borderId="0" xfId="0" applyFont="1"/>
    <xf numFmtId="10" fontId="8" fillId="0" borderId="0" xfId="0" applyNumberFormat="1" applyFont="1"/>
    <xf numFmtId="14" fontId="8" fillId="0" borderId="0" xfId="0" applyNumberFormat="1" applyFont="1"/>
    <xf numFmtId="0" fontId="8" fillId="0" borderId="0" xfId="0" applyFont="1"/>
    <xf numFmtId="0" fontId="6" fillId="0" borderId="0" xfId="0" applyFont="1" applyAlignment="1">
      <alignment horizontal="center"/>
    </xf>
    <xf numFmtId="166" fontId="4" fillId="0" borderId="0" xfId="1" applyNumberFormat="1" applyFont="1"/>
    <xf numFmtId="167" fontId="4" fillId="0" borderId="0" xfId="0" applyNumberFormat="1" applyFont="1"/>
    <xf numFmtId="10" fontId="4" fillId="0" borderId="0" xfId="3" applyNumberFormat="1" applyFont="1"/>
    <xf numFmtId="0" fontId="4" fillId="0" borderId="0" xfId="0" applyFont="1" applyAlignment="1">
      <alignment horizontal="left"/>
    </xf>
    <xf numFmtId="166" fontId="9" fillId="0" borderId="0" xfId="0" applyNumberFormat="1" applyFont="1"/>
    <xf numFmtId="166" fontId="10" fillId="0" borderId="0" xfId="0" applyNumberFormat="1" applyFont="1"/>
    <xf numFmtId="166" fontId="8" fillId="0" borderId="0" xfId="0" applyNumberFormat="1" applyFont="1"/>
    <xf numFmtId="166" fontId="4" fillId="0" borderId="1" xfId="0" applyNumberFormat="1" applyFont="1" applyBorder="1"/>
    <xf numFmtId="6" fontId="4" fillId="0" borderId="0" xfId="0" applyNumberFormat="1" applyFont="1"/>
    <xf numFmtId="0" fontId="4" fillId="0" borderId="0" xfId="0" applyFont="1" applyAlignment="1">
      <alignment horizontal="center"/>
    </xf>
    <xf numFmtId="17" fontId="4" fillId="0" borderId="0" xfId="0" applyNumberFormat="1" applyFont="1"/>
    <xf numFmtId="166" fontId="4" fillId="0" borderId="2" xfId="0" applyNumberFormat="1" applyFont="1" applyBorder="1"/>
    <xf numFmtId="0" fontId="4" fillId="0" borderId="0" xfId="0" applyFont="1" applyAlignment="1">
      <alignment horizontal="right"/>
    </xf>
    <xf numFmtId="164" fontId="4" fillId="0" borderId="0" xfId="2" applyNumberFormat="1" applyFont="1" applyBorder="1"/>
    <xf numFmtId="168" fontId="4" fillId="0" borderId="0" xfId="2" applyNumberFormat="1" applyFont="1"/>
    <xf numFmtId="10" fontId="4" fillId="0" borderId="0" xfId="3" applyNumberFormat="1" applyFont="1" applyFill="1" applyBorder="1"/>
    <xf numFmtId="166" fontId="4" fillId="0" borderId="0" xfId="1" applyNumberFormat="1" applyFont="1" applyFill="1" applyBorder="1"/>
    <xf numFmtId="6" fontId="6" fillId="0" borderId="0" xfId="0" applyNumberFormat="1" applyFont="1"/>
    <xf numFmtId="166" fontId="4" fillId="0" borderId="0" xfId="1" applyNumberFormat="1" applyFont="1" applyFill="1"/>
    <xf numFmtId="166" fontId="4" fillId="0" borderId="3" xfId="0" applyNumberFormat="1" applyFont="1" applyBorder="1"/>
    <xf numFmtId="166" fontId="4" fillId="0" borderId="4" xfId="0" applyNumberFormat="1" applyFont="1" applyBorder="1"/>
    <xf numFmtId="166" fontId="4" fillId="0" borderId="0" xfId="0" quotePrefix="1" applyNumberFormat="1" applyFont="1"/>
    <xf numFmtId="0" fontId="4" fillId="0" borderId="0" xfId="0" quotePrefix="1" applyFont="1"/>
    <xf numFmtId="167" fontId="6" fillId="0" borderId="0" xfId="0" applyNumberFormat="1" applyFont="1"/>
    <xf numFmtId="166" fontId="4" fillId="0" borderId="0" xfId="1" applyNumberFormat="1" applyFont="1" applyBorder="1"/>
    <xf numFmtId="166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166" fontId="0" fillId="0" borderId="2" xfId="1" applyNumberFormat="1" applyFont="1" applyBorder="1"/>
    <xf numFmtId="166" fontId="0" fillId="0" borderId="0" xfId="0" applyNumberFormat="1"/>
    <xf numFmtId="169" fontId="4" fillId="0" borderId="0" xfId="0" applyNumberFormat="1" applyFont="1"/>
    <xf numFmtId="0" fontId="6" fillId="0" borderId="0" xfId="0" applyFont="1" applyAlignment="1">
      <alignment horizontal="left"/>
    </xf>
    <xf numFmtId="166" fontId="6" fillId="0" borderId="0" xfId="0" applyNumberFormat="1" applyFont="1"/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E2AD7-FF94-4CE1-A03B-4E5320174711}">
  <dimension ref="A1:G11"/>
  <sheetViews>
    <sheetView workbookViewId="0">
      <selection activeCell="C7" sqref="C7"/>
    </sheetView>
  </sheetViews>
  <sheetFormatPr defaultRowHeight="15" x14ac:dyDescent="0.25"/>
  <cols>
    <col min="1" max="1" width="39" customWidth="1"/>
    <col min="2" max="2" width="2.28515625" customWidth="1"/>
    <col min="3" max="3" width="13.7109375" customWidth="1"/>
    <col min="4" max="4" width="1.140625" customWidth="1"/>
    <col min="5" max="5" width="13.7109375" customWidth="1"/>
    <col min="6" max="6" width="1.140625" customWidth="1"/>
    <col min="7" max="7" width="13.7109375" customWidth="1"/>
  </cols>
  <sheetData>
    <row r="1" spans="1:7" x14ac:dyDescent="0.25">
      <c r="A1" s="50" t="s">
        <v>62</v>
      </c>
      <c r="B1" s="50"/>
      <c r="C1" s="50"/>
      <c r="D1" s="50"/>
      <c r="E1" s="50"/>
      <c r="F1" s="50"/>
      <c r="G1" s="50"/>
    </row>
    <row r="2" spans="1:7" x14ac:dyDescent="0.25">
      <c r="A2" s="50" t="s">
        <v>70</v>
      </c>
      <c r="B2" s="50"/>
      <c r="C2" s="50"/>
      <c r="D2" s="50"/>
      <c r="E2" s="50"/>
      <c r="F2" s="50"/>
      <c r="G2" s="50"/>
    </row>
    <row r="3" spans="1:7" x14ac:dyDescent="0.25">
      <c r="A3" s="50" t="s">
        <v>66</v>
      </c>
      <c r="B3" s="50"/>
      <c r="C3" s="50"/>
      <c r="D3" s="50"/>
      <c r="E3" s="50"/>
      <c r="F3" s="50"/>
      <c r="G3" s="50"/>
    </row>
    <row r="4" spans="1:7" x14ac:dyDescent="0.25">
      <c r="A4" s="44"/>
    </row>
    <row r="6" spans="1:7" x14ac:dyDescent="0.25">
      <c r="C6" s="43" t="s">
        <v>63</v>
      </c>
      <c r="E6" s="43" t="s">
        <v>69</v>
      </c>
      <c r="G6" s="43" t="s">
        <v>68</v>
      </c>
    </row>
    <row r="7" spans="1:7" x14ac:dyDescent="0.25">
      <c r="A7" t="s">
        <v>64</v>
      </c>
      <c r="C7" s="42">
        <f>'Brightmark RNG Plant'!E39+'Brightmark Pipeline Ext'!E39</f>
        <v>6610942.4849607581</v>
      </c>
      <c r="E7" s="42">
        <f>'New River'!E39</f>
        <v>1080103.9434827515</v>
      </c>
      <c r="G7" s="42">
        <f>'Alliance RNG Total'!E41</f>
        <v>5492677.684438765</v>
      </c>
    </row>
    <row r="8" spans="1:7" x14ac:dyDescent="0.25">
      <c r="A8" t="s">
        <v>67</v>
      </c>
      <c r="C8" s="45">
        <f>'Brightmark RNG Plant'!E41+'Brightmark Pipeline Ext'!E41</f>
        <v>5221620</v>
      </c>
      <c r="E8" s="45">
        <f>'New River'!E41</f>
        <v>936000</v>
      </c>
      <c r="G8" s="45">
        <f>'Alliance RNG Total'!E43</f>
        <v>5726091.5901992973</v>
      </c>
    </row>
    <row r="9" spans="1:7" x14ac:dyDescent="0.25">
      <c r="A9" t="s">
        <v>65</v>
      </c>
      <c r="C9" s="46">
        <f>C8-C7</f>
        <v>-1389322.4849607581</v>
      </c>
      <c r="E9" s="46">
        <f>E8-E7</f>
        <v>-144103.94348275149</v>
      </c>
      <c r="G9" s="46">
        <f>G8-G7</f>
        <v>233413.90576053225</v>
      </c>
    </row>
    <row r="11" spans="1:7" x14ac:dyDescent="0.25">
      <c r="A11" t="s">
        <v>71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3656E-FE00-4395-93DE-9C0902C798D5}">
  <sheetPr>
    <pageSetUpPr fitToPage="1"/>
  </sheetPr>
  <dimension ref="A1:S70"/>
  <sheetViews>
    <sheetView topLeftCell="A13" workbookViewId="0">
      <selection activeCell="H41" sqref="H41"/>
    </sheetView>
  </sheetViews>
  <sheetFormatPr defaultColWidth="9.140625" defaultRowHeight="12.75" x14ac:dyDescent="0.2"/>
  <cols>
    <col min="1" max="1" width="15.85546875" style="2" customWidth="1"/>
    <col min="2" max="2" width="15.7109375" style="2" customWidth="1"/>
    <col min="3" max="3" width="4.140625" style="2" customWidth="1"/>
    <col min="4" max="4" width="13.5703125" style="2" bestFit="1" customWidth="1"/>
    <col min="5" max="19" width="12.5703125" style="2" bestFit="1" customWidth="1"/>
    <col min="20" max="16384" width="9.140625" style="2"/>
  </cols>
  <sheetData>
    <row r="1" spans="1:19" x14ac:dyDescent="0.2">
      <c r="A1" s="1" t="s">
        <v>50</v>
      </c>
    </row>
    <row r="2" spans="1:19" x14ac:dyDescent="0.2">
      <c r="A2" s="1" t="s">
        <v>39</v>
      </c>
    </row>
    <row r="3" spans="1:19" x14ac:dyDescent="0.2">
      <c r="A3" s="1"/>
    </row>
    <row r="4" spans="1:19" x14ac:dyDescent="0.2">
      <c r="A4" s="3" t="s">
        <v>0</v>
      </c>
      <c r="B4" s="4">
        <v>35668591.620000005</v>
      </c>
    </row>
    <row r="5" spans="1:19" x14ac:dyDescent="0.2">
      <c r="A5" s="1"/>
      <c r="B5" s="5"/>
      <c r="D5" s="6" t="s">
        <v>1</v>
      </c>
      <c r="E5" s="6" t="s">
        <v>2</v>
      </c>
      <c r="F5" s="6" t="s">
        <v>3</v>
      </c>
      <c r="G5" s="6" t="s">
        <v>4</v>
      </c>
    </row>
    <row r="6" spans="1:19" x14ac:dyDescent="0.2">
      <c r="A6" s="1" t="s">
        <v>5</v>
      </c>
      <c r="B6" s="7">
        <v>0.11</v>
      </c>
      <c r="D6" s="7">
        <v>0.54700000000000004</v>
      </c>
      <c r="E6" s="8">
        <f>B6*D6</f>
        <v>6.0170000000000008E-2</v>
      </c>
      <c r="F6" s="47">
        <f>1/(1-B8)</f>
        <v>1.3394950103810863</v>
      </c>
      <c r="G6" s="8">
        <f>E6*F6</f>
        <v>8.0597414774629977E-2</v>
      </c>
      <c r="H6" s="9" t="s">
        <v>6</v>
      </c>
    </row>
    <row r="7" spans="1:19" x14ac:dyDescent="0.2">
      <c r="A7" s="1" t="s">
        <v>7</v>
      </c>
      <c r="B7" s="7">
        <v>5.5399999999999998E-2</v>
      </c>
      <c r="D7" s="7">
        <f>1-D6</f>
        <v>0.45299999999999996</v>
      </c>
      <c r="E7" s="8">
        <f>B7*D7</f>
        <v>2.5096199999999996E-2</v>
      </c>
      <c r="F7" s="10"/>
      <c r="G7" s="8">
        <f>E7</f>
        <v>2.5096199999999996E-2</v>
      </c>
    </row>
    <row r="8" spans="1:19" x14ac:dyDescent="0.2">
      <c r="A8" s="1" t="s">
        <v>8</v>
      </c>
      <c r="B8" s="5">
        <v>0.25345000000000001</v>
      </c>
      <c r="E8" s="11">
        <f>SUM(E6:E7)</f>
        <v>8.52662E-2</v>
      </c>
    </row>
    <row r="9" spans="1:19" s="15" customFormat="1" x14ac:dyDescent="0.2">
      <c r="A9" s="12"/>
      <c r="B9" s="13"/>
      <c r="C9" s="14">
        <v>44986</v>
      </c>
      <c r="D9" s="14">
        <v>45291</v>
      </c>
      <c r="E9" s="14">
        <f>D9+365.25</f>
        <v>45656.25</v>
      </c>
      <c r="F9" s="14"/>
      <c r="G9" s="8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x14ac:dyDescent="0.2">
      <c r="D10" s="16"/>
      <c r="E10" s="16"/>
      <c r="F10" s="16"/>
      <c r="G10" s="8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x14ac:dyDescent="0.2">
      <c r="A11" s="3"/>
      <c r="B11" s="17"/>
      <c r="D11" s="6">
        <v>2023</v>
      </c>
      <c r="E11" s="6">
        <v>2024</v>
      </c>
      <c r="F11" s="6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x14ac:dyDescent="0.2">
      <c r="A12" s="3" t="s">
        <v>9</v>
      </c>
      <c r="B12" s="17"/>
      <c r="D12" s="2">
        <v>10</v>
      </c>
      <c r="E12" s="2">
        <v>12</v>
      </c>
      <c r="G12" s="8"/>
    </row>
    <row r="13" spans="1:19" x14ac:dyDescent="0.2">
      <c r="A13" s="3" t="s">
        <v>10</v>
      </c>
      <c r="B13" s="2" t="s">
        <v>46</v>
      </c>
      <c r="D13" s="18">
        <v>6.7000000000000004E-2</v>
      </c>
      <c r="E13" s="18">
        <v>6.7000000000000004E-2</v>
      </c>
      <c r="F13" s="40"/>
      <c r="G13" s="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x14ac:dyDescent="0.2">
      <c r="A14" s="3" t="s">
        <v>12</v>
      </c>
      <c r="B14" s="2" t="s">
        <v>45</v>
      </c>
      <c r="D14" s="7">
        <v>0.1429</v>
      </c>
      <c r="E14" s="7">
        <v>0.24490000000000001</v>
      </c>
      <c r="F14" s="32"/>
      <c r="G14" s="8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9"/>
      <c r="S14" s="19"/>
    </row>
    <row r="15" spans="1:19" x14ac:dyDescent="0.2">
      <c r="A15" s="20"/>
    </row>
    <row r="16" spans="1:19" x14ac:dyDescent="0.2">
      <c r="A16" s="2" t="s">
        <v>14</v>
      </c>
      <c r="D16" s="21"/>
      <c r="E16" s="22">
        <f>AVERAGE(D17:E17)</f>
        <v>32511921.261630006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x14ac:dyDescent="0.2">
      <c r="A17" s="2" t="s">
        <v>15</v>
      </c>
      <c r="C17" s="23">
        <f>B4</f>
        <v>35668591.620000005</v>
      </c>
      <c r="D17" s="10">
        <f t="shared" ref="D17:E17" si="0">C17-D19</f>
        <v>33706819.080900006</v>
      </c>
      <c r="E17" s="10">
        <f t="shared" si="0"/>
        <v>31317023.442360006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x14ac:dyDescent="0.2">
      <c r="C18" s="2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x14ac:dyDescent="0.2">
      <c r="A19" s="2" t="s">
        <v>16</v>
      </c>
      <c r="D19" s="10">
        <f>SUM(E51:E60)</f>
        <v>1961772.5391000002</v>
      </c>
      <c r="E19" s="10">
        <f>$B$4*E13*E12/12</f>
        <v>2389795.6385400007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x14ac:dyDescent="0.2">
      <c r="A20" s="2" t="s">
        <v>17</v>
      </c>
      <c r="D20" s="10">
        <f>$B$4*D14</f>
        <v>5097041.7424980011</v>
      </c>
      <c r="E20" s="10">
        <f>$B$4*E14</f>
        <v>8735238.0877380017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x14ac:dyDescent="0.2">
      <c r="A21" s="2" t="s">
        <v>18</v>
      </c>
      <c r="D21" s="10">
        <f>D20-D19</f>
        <v>3135269.2033980009</v>
      </c>
      <c r="E21" s="10">
        <f t="shared" ref="E21" si="1">E20-E19</f>
        <v>6345442.4491980011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x14ac:dyDescent="0.2">
      <c r="A22" s="2" t="s">
        <v>19</v>
      </c>
      <c r="D22" s="10">
        <f>SUM($D$21:D21)</f>
        <v>3135269.2033980009</v>
      </c>
      <c r="E22" s="10">
        <f>SUM($D$21:E21)</f>
        <v>9480711.6525960024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2">
      <c r="A23" s="2" t="s">
        <v>20</v>
      </c>
      <c r="C23" s="15">
        <v>0</v>
      </c>
      <c r="D23" s="10">
        <f t="shared" ref="D23:E23" si="2">D22*$B$8</f>
        <v>794633.97960122337</v>
      </c>
      <c r="E23" s="10">
        <f t="shared" si="2"/>
        <v>2402886.3683504569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x14ac:dyDescent="0.2">
      <c r="A24" s="2" t="s">
        <v>21</v>
      </c>
      <c r="D24" s="17"/>
      <c r="E24" s="17">
        <f>AVERAGE(D23:E23)</f>
        <v>1598760.1739758402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17"/>
      <c r="S24" s="17"/>
    </row>
    <row r="25" spans="1:19" x14ac:dyDescent="0.2">
      <c r="A25" s="1"/>
    </row>
    <row r="26" spans="1:19" x14ac:dyDescent="0.2">
      <c r="A26" s="2" t="s">
        <v>22</v>
      </c>
      <c r="D26" s="10"/>
      <c r="E26" s="10">
        <f t="shared" ref="E26" si="3">E16-E23</f>
        <v>30109034.893279549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">
      <c r="A27" s="1"/>
    </row>
    <row r="28" spans="1:19" x14ac:dyDescent="0.2">
      <c r="A28" s="1" t="s">
        <v>23</v>
      </c>
    </row>
    <row r="29" spans="1:19" x14ac:dyDescent="0.2">
      <c r="A29" s="2" t="s">
        <v>24</v>
      </c>
      <c r="E29" s="17">
        <f>E$26*$G6*E$12/12</f>
        <v>2426710.3737574588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9" x14ac:dyDescent="0.2">
      <c r="A30" s="2" t="s">
        <v>25</v>
      </c>
      <c r="E30" s="17">
        <f>E$26*$G7*E$12/12</f>
        <v>755622.36148872192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9" x14ac:dyDescent="0.2">
      <c r="E31" s="24">
        <f t="shared" ref="E31" si="4">E29+E30</f>
        <v>3182332.7352461806</v>
      </c>
      <c r="F31" s="10" t="s">
        <v>40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3" spans="1:16" x14ac:dyDescent="0.2">
      <c r="A33" s="1" t="s">
        <v>26</v>
      </c>
    </row>
    <row r="34" spans="1:16" x14ac:dyDescent="0.2">
      <c r="A34" s="2" t="s">
        <v>27</v>
      </c>
      <c r="B34" s="9" t="s">
        <v>33</v>
      </c>
      <c r="E34" s="35">
        <v>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x14ac:dyDescent="0.2">
      <c r="A35" s="2" t="s">
        <v>28</v>
      </c>
      <c r="B35" s="9" t="s">
        <v>34</v>
      </c>
      <c r="E35" s="10"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x14ac:dyDescent="0.2">
      <c r="A36" s="2" t="str">
        <f>A19</f>
        <v>Book Depreciation</v>
      </c>
      <c r="B36" s="9" t="s">
        <v>35</v>
      </c>
      <c r="E36" s="10">
        <f>E19</f>
        <v>2389795.6385400007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x14ac:dyDescent="0.2">
      <c r="E37" s="24">
        <f>SUM(E34:E36)</f>
        <v>2389795.6385400007</v>
      </c>
      <c r="F37" s="10" t="s">
        <v>41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9" spans="1:16" ht="13.5" thickBot="1" x14ac:dyDescent="0.25">
      <c r="A39" s="1" t="s">
        <v>29</v>
      </c>
      <c r="C39" s="15">
        <v>0</v>
      </c>
      <c r="E39" s="36">
        <f>+E31+E37</f>
        <v>5572128.3737861812</v>
      </c>
      <c r="F39" s="38" t="s">
        <v>42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x14ac:dyDescent="0.2">
      <c r="B40" s="25"/>
    </row>
    <row r="41" spans="1:16" ht="13.5" thickBot="1" x14ac:dyDescent="0.25">
      <c r="A41" s="1" t="s">
        <v>37</v>
      </c>
      <c r="B41" s="34" t="s">
        <v>47</v>
      </c>
      <c r="E41" s="36">
        <v>4017816</v>
      </c>
      <c r="F41" s="2" t="s">
        <v>43</v>
      </c>
    </row>
    <row r="42" spans="1:16" x14ac:dyDescent="0.2">
      <c r="B42" s="25"/>
    </row>
    <row r="43" spans="1:16" ht="13.5" thickBot="1" x14ac:dyDescent="0.25">
      <c r="A43" s="1" t="s">
        <v>52</v>
      </c>
      <c r="B43" s="25"/>
      <c r="E43" s="37">
        <f>E39-E41</f>
        <v>1554312.3737861812</v>
      </c>
      <c r="F43" s="39" t="s">
        <v>53</v>
      </c>
    </row>
    <row r="44" spans="1:16" ht="13.5" thickTop="1" x14ac:dyDescent="0.2"/>
    <row r="47" spans="1:16" x14ac:dyDescent="0.2">
      <c r="D47" s="26" t="s">
        <v>30</v>
      </c>
      <c r="E47" s="26" t="s">
        <v>31</v>
      </c>
      <c r="I47" s="26"/>
      <c r="J47" s="26"/>
    </row>
    <row r="48" spans="1:16" x14ac:dyDescent="0.2">
      <c r="B48" s="27">
        <v>44896</v>
      </c>
      <c r="D48" s="2">
        <v>0</v>
      </c>
      <c r="G48" s="27"/>
      <c r="I48" s="10"/>
    </row>
    <row r="49" spans="2:10" x14ac:dyDescent="0.2">
      <c r="B49" s="27">
        <v>44927</v>
      </c>
      <c r="D49" s="2">
        <v>0</v>
      </c>
      <c r="G49" s="27"/>
      <c r="I49" s="10"/>
      <c r="J49" s="17"/>
    </row>
    <row r="50" spans="2:10" x14ac:dyDescent="0.2">
      <c r="B50" s="27">
        <v>44958</v>
      </c>
      <c r="D50" s="10">
        <f>+$B$4-E50</f>
        <v>35668591.620000005</v>
      </c>
      <c r="E50" s="17"/>
      <c r="G50" s="27"/>
      <c r="I50" s="10"/>
      <c r="J50" s="17"/>
    </row>
    <row r="51" spans="2:10" x14ac:dyDescent="0.2">
      <c r="B51" s="27">
        <v>44986</v>
      </c>
      <c r="D51" s="10">
        <f>+D50-E51</f>
        <v>35472414.366090007</v>
      </c>
      <c r="E51" s="17">
        <v>196177.25391000006</v>
      </c>
      <c r="G51" s="27"/>
      <c r="I51" s="10"/>
      <c r="J51" s="17"/>
    </row>
    <row r="52" spans="2:10" x14ac:dyDescent="0.2">
      <c r="B52" s="27">
        <v>45017</v>
      </c>
      <c r="D52" s="10">
        <f t="shared" ref="D52:D60" si="5">+D51-E52</f>
        <v>35276237.112180009</v>
      </c>
      <c r="E52" s="10">
        <v>196177.25391000006</v>
      </c>
      <c r="G52" s="27"/>
      <c r="I52" s="10"/>
      <c r="J52" s="17"/>
    </row>
    <row r="53" spans="2:10" x14ac:dyDescent="0.2">
      <c r="B53" s="27">
        <v>45047</v>
      </c>
      <c r="D53" s="10">
        <f t="shared" si="5"/>
        <v>35080059.858270012</v>
      </c>
      <c r="E53" s="10">
        <v>196177.25391000006</v>
      </c>
      <c r="G53" s="27"/>
      <c r="I53" s="10"/>
      <c r="J53" s="17"/>
    </row>
    <row r="54" spans="2:10" x14ac:dyDescent="0.2">
      <c r="B54" s="27">
        <v>45078</v>
      </c>
      <c r="D54" s="10">
        <f t="shared" si="5"/>
        <v>34883882.604360014</v>
      </c>
      <c r="E54" s="10">
        <v>196177.25391000006</v>
      </c>
      <c r="G54" s="27"/>
      <c r="I54" s="10"/>
      <c r="J54" s="17"/>
    </row>
    <row r="55" spans="2:10" x14ac:dyDescent="0.2">
      <c r="B55" s="27">
        <v>45108</v>
      </c>
      <c r="D55" s="10">
        <f t="shared" si="5"/>
        <v>34687705.350450017</v>
      </c>
      <c r="E55" s="10">
        <v>196177.25391000006</v>
      </c>
      <c r="G55" s="27"/>
      <c r="I55" s="10"/>
      <c r="J55" s="17"/>
    </row>
    <row r="56" spans="2:10" x14ac:dyDescent="0.2">
      <c r="B56" s="27">
        <v>45139</v>
      </c>
      <c r="D56" s="10">
        <f t="shared" si="5"/>
        <v>34491528.096540019</v>
      </c>
      <c r="E56" s="10">
        <v>196177.25391000006</v>
      </c>
      <c r="G56" s="27"/>
      <c r="I56" s="10"/>
      <c r="J56" s="17"/>
    </row>
    <row r="57" spans="2:10" x14ac:dyDescent="0.2">
      <c r="B57" s="27">
        <v>45170</v>
      </c>
      <c r="D57" s="10">
        <f t="shared" si="5"/>
        <v>34295350.842630021</v>
      </c>
      <c r="E57" s="10">
        <v>196177.25391000006</v>
      </c>
      <c r="G57" s="27"/>
      <c r="I57" s="10"/>
      <c r="J57" s="17"/>
    </row>
    <row r="58" spans="2:10" x14ac:dyDescent="0.2">
      <c r="B58" s="27">
        <v>45200</v>
      </c>
      <c r="D58" s="10">
        <f t="shared" si="5"/>
        <v>34099173.588720024</v>
      </c>
      <c r="E58" s="10">
        <v>196177.25391000006</v>
      </c>
      <c r="G58" s="27"/>
      <c r="I58" s="10"/>
      <c r="J58" s="17"/>
    </row>
    <row r="59" spans="2:10" x14ac:dyDescent="0.2">
      <c r="B59" s="27">
        <v>45231</v>
      </c>
      <c r="D59" s="10">
        <f t="shared" si="5"/>
        <v>33902996.334810026</v>
      </c>
      <c r="E59" s="10">
        <v>196177.25391000006</v>
      </c>
      <c r="G59" s="27"/>
      <c r="I59" s="10"/>
      <c r="J59" s="17"/>
    </row>
    <row r="60" spans="2:10" x14ac:dyDescent="0.2">
      <c r="B60" s="27">
        <v>45261</v>
      </c>
      <c r="D60" s="10">
        <f t="shared" si="5"/>
        <v>33706819.080900028</v>
      </c>
      <c r="E60" s="10">
        <v>196177.25391000006</v>
      </c>
      <c r="G60" s="27"/>
      <c r="I60" s="10"/>
      <c r="J60" s="17"/>
    </row>
    <row r="61" spans="2:10" x14ac:dyDescent="0.2">
      <c r="I61" s="10"/>
    </row>
    <row r="62" spans="2:10" x14ac:dyDescent="0.2">
      <c r="I62" s="10"/>
    </row>
    <row r="63" spans="2:10" x14ac:dyDescent="0.2">
      <c r="I63" s="10"/>
    </row>
    <row r="67" spans="2:4" x14ac:dyDescent="0.2">
      <c r="B67" s="29"/>
      <c r="D67" s="4"/>
    </row>
    <row r="70" spans="2:4" x14ac:dyDescent="0.2">
      <c r="D70" s="31"/>
    </row>
  </sheetData>
  <phoneticPr fontId="11" type="noConversion"/>
  <pageMargins left="0.5" right="0.5" top="1" bottom="0.25" header="0.5" footer="0.5"/>
  <pageSetup scale="83" orientation="portrait" horizontalDpi="90" verticalDpi="9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88235-8ACE-491D-A74C-67106A56E455}">
  <sheetPr>
    <pageSetUpPr fitToPage="1"/>
  </sheetPr>
  <dimension ref="A1:S70"/>
  <sheetViews>
    <sheetView zoomScale="89" workbookViewId="0">
      <selection activeCell="D44" sqref="D44"/>
    </sheetView>
  </sheetViews>
  <sheetFormatPr defaultColWidth="9.140625" defaultRowHeight="12.75" x14ac:dyDescent="0.2"/>
  <cols>
    <col min="1" max="1" width="15.85546875" style="2" customWidth="1"/>
    <col min="2" max="2" width="15.7109375" style="2" customWidth="1"/>
    <col min="3" max="3" width="4.140625" style="2" customWidth="1"/>
    <col min="4" max="4" width="13.5703125" style="2" bestFit="1" customWidth="1"/>
    <col min="5" max="19" width="12.5703125" style="2" bestFit="1" customWidth="1"/>
    <col min="20" max="16384" width="9.140625" style="2"/>
  </cols>
  <sheetData>
    <row r="1" spans="1:19" x14ac:dyDescent="0.2">
      <c r="A1" s="1" t="s">
        <v>51</v>
      </c>
    </row>
    <row r="2" spans="1:19" x14ac:dyDescent="0.2">
      <c r="A2" s="1" t="s">
        <v>39</v>
      </c>
    </row>
    <row r="3" spans="1:19" x14ac:dyDescent="0.2">
      <c r="A3" s="1"/>
    </row>
    <row r="4" spans="1:19" x14ac:dyDescent="0.2">
      <c r="A4" s="3" t="s">
        <v>0</v>
      </c>
      <c r="B4" s="4">
        <v>7476911.9499999993</v>
      </c>
    </row>
    <row r="5" spans="1:19" x14ac:dyDescent="0.2">
      <c r="A5" s="1"/>
      <c r="B5" s="5"/>
      <c r="D5" s="6" t="s">
        <v>1</v>
      </c>
      <c r="E5" s="6" t="s">
        <v>2</v>
      </c>
      <c r="F5" s="6" t="s">
        <v>3</v>
      </c>
      <c r="G5" s="6" t="s">
        <v>4</v>
      </c>
    </row>
    <row r="6" spans="1:19" x14ac:dyDescent="0.2">
      <c r="A6" s="1" t="s">
        <v>5</v>
      </c>
      <c r="B6" s="7">
        <v>0.11</v>
      </c>
      <c r="D6" s="7">
        <v>0.54700000000000004</v>
      </c>
      <c r="E6" s="8">
        <f>B6*D6</f>
        <v>6.0170000000000008E-2</v>
      </c>
      <c r="F6" s="47">
        <f>1/(1-B8)</f>
        <v>1.3394950103810863</v>
      </c>
      <c r="G6" s="8">
        <f>E6*F6</f>
        <v>8.0597414774629977E-2</v>
      </c>
      <c r="H6" s="9" t="s">
        <v>6</v>
      </c>
    </row>
    <row r="7" spans="1:19" x14ac:dyDescent="0.2">
      <c r="A7" s="1" t="s">
        <v>7</v>
      </c>
      <c r="B7" s="7">
        <v>5.5399999999999998E-2</v>
      </c>
      <c r="D7" s="7">
        <f>1-D6</f>
        <v>0.45299999999999996</v>
      </c>
      <c r="E7" s="8">
        <f>B7*D7</f>
        <v>2.5096199999999996E-2</v>
      </c>
      <c r="F7" s="10"/>
      <c r="G7" s="8">
        <f>E7</f>
        <v>2.5096199999999996E-2</v>
      </c>
    </row>
    <row r="8" spans="1:19" x14ac:dyDescent="0.2">
      <c r="A8" s="1" t="s">
        <v>8</v>
      </c>
      <c r="B8" s="5">
        <v>0.25345000000000001</v>
      </c>
      <c r="E8" s="11">
        <f>SUM(E6:E7)</f>
        <v>8.52662E-2</v>
      </c>
    </row>
    <row r="9" spans="1:19" s="15" customFormat="1" x14ac:dyDescent="0.2">
      <c r="A9" s="12"/>
      <c r="B9" s="13"/>
      <c r="C9" s="14">
        <v>44986</v>
      </c>
      <c r="D9" s="14">
        <v>45291</v>
      </c>
      <c r="E9" s="14">
        <f>D9+365.25</f>
        <v>45656.25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x14ac:dyDescent="0.2"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x14ac:dyDescent="0.2">
      <c r="A11" s="3"/>
      <c r="B11" s="17"/>
      <c r="D11" s="6">
        <v>2023</v>
      </c>
      <c r="E11" s="6">
        <v>2024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x14ac:dyDescent="0.2">
      <c r="A12" s="3" t="s">
        <v>9</v>
      </c>
      <c r="B12" s="17"/>
      <c r="D12" s="2">
        <v>10</v>
      </c>
      <c r="E12" s="2">
        <v>12</v>
      </c>
    </row>
    <row r="13" spans="1:19" x14ac:dyDescent="0.2">
      <c r="A13" s="3" t="s">
        <v>10</v>
      </c>
      <c r="B13" s="2" t="s">
        <v>11</v>
      </c>
      <c r="D13" s="18">
        <v>2.1000000000000001E-2</v>
      </c>
      <c r="E13" s="18">
        <v>2.4E-2</v>
      </c>
      <c r="F13" s="40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x14ac:dyDescent="0.2">
      <c r="A14" s="3" t="s">
        <v>12</v>
      </c>
      <c r="B14" s="2" t="s">
        <v>13</v>
      </c>
      <c r="D14" s="7">
        <v>3.7499999999999999E-2</v>
      </c>
      <c r="E14" s="7">
        <v>7.2190000000000004E-2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9"/>
      <c r="S14" s="19"/>
    </row>
    <row r="15" spans="1:19" x14ac:dyDescent="0.2">
      <c r="A15" s="20"/>
    </row>
    <row r="16" spans="1:19" x14ac:dyDescent="0.2">
      <c r="A16" s="2" t="s">
        <v>14</v>
      </c>
      <c r="D16" s="21"/>
      <c r="E16" s="22">
        <f>AVERAGE(D17:E17)</f>
        <v>7256343.047474999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x14ac:dyDescent="0.2">
      <c r="A17" s="2" t="s">
        <v>15</v>
      </c>
      <c r="C17" s="23">
        <f>B4</f>
        <v>7476911.9499999993</v>
      </c>
      <c r="D17" s="10">
        <f t="shared" ref="D17:E17" si="0">C17-D19</f>
        <v>7346065.9908749992</v>
      </c>
      <c r="E17" s="10">
        <f t="shared" si="0"/>
        <v>7166620.1040749997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x14ac:dyDescent="0.2">
      <c r="C18" s="2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x14ac:dyDescent="0.2">
      <c r="A19" s="2" t="s">
        <v>16</v>
      </c>
      <c r="D19" s="10">
        <f t="shared" ref="D19" si="1">$B$4*D13*D12/12</f>
        <v>130845.95912499998</v>
      </c>
      <c r="E19" s="10">
        <f>$B$4*E13*E12/12</f>
        <v>179445.88679999998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x14ac:dyDescent="0.2">
      <c r="A20" s="2" t="s">
        <v>17</v>
      </c>
      <c r="D20" s="10">
        <f>$B$4*D14</f>
        <v>280384.19812499994</v>
      </c>
      <c r="E20" s="10">
        <f>$B$4*E14</f>
        <v>539758.27367050003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x14ac:dyDescent="0.2">
      <c r="A21" s="2" t="s">
        <v>18</v>
      </c>
      <c r="D21" s="10">
        <f>D20-D19</f>
        <v>149538.23899999994</v>
      </c>
      <c r="E21" s="10">
        <f t="shared" ref="E21" si="2">E20-E19</f>
        <v>360312.38687050005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x14ac:dyDescent="0.2">
      <c r="A22" s="2" t="s">
        <v>19</v>
      </c>
      <c r="D22" s="10">
        <f>SUM($D$21:D21)</f>
        <v>149538.23899999994</v>
      </c>
      <c r="E22" s="10">
        <f>SUM($D$21:E21)</f>
        <v>509850.62587049999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2">
      <c r="A23" s="2" t="s">
        <v>20</v>
      </c>
      <c r="C23" s="15">
        <v>0</v>
      </c>
      <c r="D23" s="10">
        <f t="shared" ref="D23:E23" si="3">D22*$B$8</f>
        <v>37900.466674549985</v>
      </c>
      <c r="E23" s="10">
        <f t="shared" si="3"/>
        <v>129221.64112687822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x14ac:dyDescent="0.2">
      <c r="A24" s="2" t="s">
        <v>21</v>
      </c>
      <c r="D24" s="17"/>
      <c r="E24" s="17">
        <f>AVERAGE(D23:E23)</f>
        <v>83561.053900714105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17"/>
      <c r="S24" s="17"/>
    </row>
    <row r="25" spans="1:19" x14ac:dyDescent="0.2">
      <c r="A25" s="1"/>
    </row>
    <row r="26" spans="1:19" x14ac:dyDescent="0.2">
      <c r="A26" s="2" t="s">
        <v>22</v>
      </c>
      <c r="D26" s="10"/>
      <c r="E26" s="10">
        <f t="shared" ref="E26" si="4">E16-E23</f>
        <v>7127121.4063481204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">
      <c r="A27" s="1"/>
    </row>
    <row r="28" spans="1:19" x14ac:dyDescent="0.2">
      <c r="A28" s="1" t="s">
        <v>23</v>
      </c>
    </row>
    <row r="29" spans="1:19" x14ac:dyDescent="0.2">
      <c r="A29" s="2" t="s">
        <v>24</v>
      </c>
      <c r="E29" s="17">
        <f>E$26*$G6*E$12/12</f>
        <v>574427.56013658363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x14ac:dyDescent="0.2">
      <c r="A30" s="2" t="s">
        <v>25</v>
      </c>
      <c r="E30" s="17">
        <f>E$26*$G7*E$12/12</f>
        <v>178863.66423799368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x14ac:dyDescent="0.2">
      <c r="E31" s="24">
        <f t="shared" ref="E31" si="5">E29+E30</f>
        <v>753291.22437457729</v>
      </c>
      <c r="F31" s="10" t="s">
        <v>40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3" spans="1:19" x14ac:dyDescent="0.2">
      <c r="A33" s="1" t="s">
        <v>26</v>
      </c>
    </row>
    <row r="34" spans="1:19" x14ac:dyDescent="0.2">
      <c r="A34" s="2" t="s">
        <v>27</v>
      </c>
      <c r="B34" s="9" t="s">
        <v>33</v>
      </c>
      <c r="E34" s="35">
        <v>47760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x14ac:dyDescent="0.2">
      <c r="A35" s="2" t="s">
        <v>28</v>
      </c>
      <c r="B35" s="9" t="s">
        <v>34</v>
      </c>
      <c r="E35" s="10">
        <v>58317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">
      <c r="A36" s="2" t="str">
        <f>A19</f>
        <v>Book Depreciation</v>
      </c>
      <c r="B36" s="9" t="s">
        <v>35</v>
      </c>
      <c r="E36" s="10">
        <f>E19</f>
        <v>179445.88679999998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">
      <c r="E37" s="24">
        <f>SUM(E34:E36)</f>
        <v>285522.88679999998</v>
      </c>
      <c r="F37" s="10" t="s">
        <v>41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9" spans="1:19" ht="13.5" thickBot="1" x14ac:dyDescent="0.25">
      <c r="A39" s="1" t="s">
        <v>29</v>
      </c>
      <c r="C39" s="15">
        <v>0</v>
      </c>
      <c r="E39" s="36">
        <f>+E31+E37</f>
        <v>1038814.1111745773</v>
      </c>
      <c r="F39" s="38" t="s">
        <v>42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x14ac:dyDescent="0.2">
      <c r="B40" s="25"/>
    </row>
    <row r="41" spans="1:19" ht="13.5" thickBot="1" x14ac:dyDescent="0.25">
      <c r="A41" s="1" t="s">
        <v>37</v>
      </c>
      <c r="B41" s="34" t="s">
        <v>36</v>
      </c>
      <c r="E41" s="36">
        <v>1203804</v>
      </c>
      <c r="F41" s="2" t="s">
        <v>43</v>
      </c>
    </row>
    <row r="42" spans="1:19" x14ac:dyDescent="0.2">
      <c r="B42" s="25"/>
    </row>
    <row r="43" spans="1:19" ht="13.5" thickBot="1" x14ac:dyDescent="0.25">
      <c r="A43" s="1" t="s">
        <v>38</v>
      </c>
      <c r="B43" s="25"/>
      <c r="E43" s="37">
        <f>E41-E39</f>
        <v>164989.88882542273</v>
      </c>
      <c r="F43" s="39" t="s">
        <v>44</v>
      </c>
    </row>
    <row r="44" spans="1:19" ht="13.5" thickTop="1" x14ac:dyDescent="0.2"/>
    <row r="46" spans="1:19" x14ac:dyDescent="0.2">
      <c r="K46" s="2" t="s">
        <v>72</v>
      </c>
    </row>
    <row r="47" spans="1:19" x14ac:dyDescent="0.2">
      <c r="D47" s="26" t="s">
        <v>30</v>
      </c>
      <c r="E47" s="26" t="s">
        <v>31</v>
      </c>
      <c r="M47" s="26" t="s">
        <v>30</v>
      </c>
      <c r="N47" s="26" t="s">
        <v>31</v>
      </c>
    </row>
    <row r="48" spans="1:19" x14ac:dyDescent="0.2">
      <c r="B48" s="27">
        <v>44896</v>
      </c>
      <c r="D48" s="2">
        <v>0</v>
      </c>
      <c r="K48" s="27">
        <v>45261</v>
      </c>
      <c r="M48" s="10">
        <f>D60</f>
        <v>7346065.9908749964</v>
      </c>
    </row>
    <row r="49" spans="2:14" x14ac:dyDescent="0.2">
      <c r="B49" s="27">
        <v>44927</v>
      </c>
      <c r="D49" s="2">
        <v>0</v>
      </c>
      <c r="K49" s="27">
        <v>45292</v>
      </c>
      <c r="M49" s="10">
        <f t="shared" ref="M49:M60" si="6">+M48-N49</f>
        <v>7331112.1669749962</v>
      </c>
      <c r="N49" s="17">
        <f>+$B$4*$E$13/12</f>
        <v>14953.823899999998</v>
      </c>
    </row>
    <row r="50" spans="2:14" x14ac:dyDescent="0.2">
      <c r="B50" s="27">
        <v>44958</v>
      </c>
      <c r="D50" s="10">
        <f>+$B$4-E50</f>
        <v>7476911.9499999993</v>
      </c>
      <c r="E50" s="17"/>
      <c r="K50" s="27">
        <v>45323</v>
      </c>
      <c r="M50" s="10">
        <f t="shared" si="6"/>
        <v>7316158.343074996</v>
      </c>
      <c r="N50" s="17">
        <f t="shared" ref="N50:N60" si="7">+$B$4*$E$13/12</f>
        <v>14953.823899999998</v>
      </c>
    </row>
    <row r="51" spans="2:14" x14ac:dyDescent="0.2">
      <c r="B51" s="27">
        <v>44986</v>
      </c>
      <c r="D51" s="10">
        <f>+D50-E51</f>
        <v>7463827.354087499</v>
      </c>
      <c r="E51" s="17">
        <f>+$B$4*$D$13/12</f>
        <v>13084.595912499999</v>
      </c>
      <c r="K51" s="27">
        <v>45352</v>
      </c>
      <c r="M51" s="10">
        <f t="shared" si="6"/>
        <v>7301204.5191749958</v>
      </c>
      <c r="N51" s="17">
        <f t="shared" si="7"/>
        <v>14953.823899999998</v>
      </c>
    </row>
    <row r="52" spans="2:14" x14ac:dyDescent="0.2">
      <c r="B52" s="27">
        <v>45017</v>
      </c>
      <c r="D52" s="10">
        <f t="shared" ref="D52:D60" si="8">+D51-E52</f>
        <v>7450742.7581749987</v>
      </c>
      <c r="E52" s="10">
        <f>+E51</f>
        <v>13084.595912499999</v>
      </c>
      <c r="K52" s="27">
        <v>45383</v>
      </c>
      <c r="M52" s="10">
        <f t="shared" si="6"/>
        <v>7286250.6952749956</v>
      </c>
      <c r="N52" s="17">
        <f t="shared" si="7"/>
        <v>14953.823899999998</v>
      </c>
    </row>
    <row r="53" spans="2:14" x14ac:dyDescent="0.2">
      <c r="B53" s="27">
        <v>45047</v>
      </c>
      <c r="D53" s="10">
        <f t="shared" si="8"/>
        <v>7437658.1622624984</v>
      </c>
      <c r="E53" s="10">
        <f t="shared" ref="E53:E60" si="9">+E52</f>
        <v>13084.595912499999</v>
      </c>
      <c r="K53" s="27">
        <v>45413</v>
      </c>
      <c r="M53" s="10">
        <f t="shared" si="6"/>
        <v>7271296.8713749954</v>
      </c>
      <c r="N53" s="17">
        <f t="shared" si="7"/>
        <v>14953.823899999998</v>
      </c>
    </row>
    <row r="54" spans="2:14" x14ac:dyDescent="0.2">
      <c r="B54" s="27">
        <v>45078</v>
      </c>
      <c r="D54" s="10">
        <f t="shared" si="8"/>
        <v>7424573.5663499981</v>
      </c>
      <c r="E54" s="10">
        <f t="shared" si="9"/>
        <v>13084.595912499999</v>
      </c>
      <c r="K54" s="27">
        <v>45444</v>
      </c>
      <c r="M54" s="10">
        <f t="shared" si="6"/>
        <v>7256343.0474749953</v>
      </c>
      <c r="N54" s="17">
        <f t="shared" si="7"/>
        <v>14953.823899999998</v>
      </c>
    </row>
    <row r="55" spans="2:14" x14ac:dyDescent="0.2">
      <c r="B55" s="27">
        <v>45108</v>
      </c>
      <c r="D55" s="10">
        <f t="shared" si="8"/>
        <v>7411488.9704374978</v>
      </c>
      <c r="E55" s="10">
        <f t="shared" si="9"/>
        <v>13084.595912499999</v>
      </c>
      <c r="K55" s="27">
        <v>45474</v>
      </c>
      <c r="M55" s="10">
        <f t="shared" si="6"/>
        <v>7241389.2235749951</v>
      </c>
      <c r="N55" s="17">
        <f t="shared" si="7"/>
        <v>14953.823899999998</v>
      </c>
    </row>
    <row r="56" spans="2:14" x14ac:dyDescent="0.2">
      <c r="B56" s="27">
        <v>45139</v>
      </c>
      <c r="D56" s="10">
        <f t="shared" si="8"/>
        <v>7398404.3745249975</v>
      </c>
      <c r="E56" s="10">
        <f t="shared" si="9"/>
        <v>13084.595912499999</v>
      </c>
      <c r="K56" s="27">
        <v>45505</v>
      </c>
      <c r="M56" s="10">
        <f t="shared" si="6"/>
        <v>7226435.3996749949</v>
      </c>
      <c r="N56" s="17">
        <f t="shared" si="7"/>
        <v>14953.823899999998</v>
      </c>
    </row>
    <row r="57" spans="2:14" x14ac:dyDescent="0.2">
      <c r="B57" s="27">
        <v>45170</v>
      </c>
      <c r="D57" s="10">
        <f t="shared" si="8"/>
        <v>7385319.7786124973</v>
      </c>
      <c r="E57" s="10">
        <f t="shared" si="9"/>
        <v>13084.595912499999</v>
      </c>
      <c r="K57" s="27">
        <v>45536</v>
      </c>
      <c r="M57" s="10">
        <f t="shared" si="6"/>
        <v>7211481.5757749947</v>
      </c>
      <c r="N57" s="17">
        <f t="shared" si="7"/>
        <v>14953.823899999998</v>
      </c>
    </row>
    <row r="58" spans="2:14" x14ac:dyDescent="0.2">
      <c r="B58" s="27">
        <v>45200</v>
      </c>
      <c r="D58" s="10">
        <f t="shared" si="8"/>
        <v>7372235.182699997</v>
      </c>
      <c r="E58" s="10">
        <f t="shared" si="9"/>
        <v>13084.595912499999</v>
      </c>
      <c r="K58" s="27">
        <v>45566</v>
      </c>
      <c r="M58" s="10">
        <f t="shared" si="6"/>
        <v>7196527.7518749945</v>
      </c>
      <c r="N58" s="17">
        <f t="shared" si="7"/>
        <v>14953.823899999998</v>
      </c>
    </row>
    <row r="59" spans="2:14" x14ac:dyDescent="0.2">
      <c r="B59" s="27">
        <v>45231</v>
      </c>
      <c r="D59" s="10">
        <f t="shared" si="8"/>
        <v>7359150.5867874967</v>
      </c>
      <c r="E59" s="10">
        <f t="shared" si="9"/>
        <v>13084.595912499999</v>
      </c>
      <c r="K59" s="27">
        <v>45597</v>
      </c>
      <c r="M59" s="10">
        <f t="shared" si="6"/>
        <v>7181573.9279749943</v>
      </c>
      <c r="N59" s="17">
        <f t="shared" si="7"/>
        <v>14953.823899999998</v>
      </c>
    </row>
    <row r="60" spans="2:14" x14ac:dyDescent="0.2">
      <c r="B60" s="27">
        <v>45261</v>
      </c>
      <c r="D60" s="10">
        <f t="shared" si="8"/>
        <v>7346065.9908749964</v>
      </c>
      <c r="E60" s="10">
        <f t="shared" si="9"/>
        <v>13084.595912499999</v>
      </c>
      <c r="K60" s="27">
        <v>45627</v>
      </c>
      <c r="M60" s="28">
        <f t="shared" si="6"/>
        <v>7166620.1040749941</v>
      </c>
      <c r="N60" s="17">
        <f t="shared" si="7"/>
        <v>14953.823899999998</v>
      </c>
    </row>
    <row r="61" spans="2:14" x14ac:dyDescent="0.2">
      <c r="K61" s="2" t="s">
        <v>32</v>
      </c>
      <c r="M61" s="4">
        <f>AVERAGE(M48:M60)</f>
        <v>7256343.0474749962</v>
      </c>
    </row>
    <row r="67" spans="2:4" x14ac:dyDescent="0.2">
      <c r="B67" s="29"/>
      <c r="D67" s="4"/>
    </row>
    <row r="70" spans="2:4" x14ac:dyDescent="0.2">
      <c r="D70" s="31"/>
    </row>
  </sheetData>
  <pageMargins left="0.5" right="0.5" top="1" bottom="0.25" header="0.5" footer="0.5"/>
  <pageSetup scale="83" orientation="portrait" horizontalDpi="90" verticalDpi="90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3DCF2-2BCF-4D35-A870-56916A993A67}">
  <sheetPr>
    <pageSetUpPr fitToPage="1"/>
  </sheetPr>
  <dimension ref="A1:S70"/>
  <sheetViews>
    <sheetView topLeftCell="A5" workbookViewId="0">
      <selection activeCell="H32" sqref="H32"/>
    </sheetView>
  </sheetViews>
  <sheetFormatPr defaultColWidth="9.140625" defaultRowHeight="12.75" x14ac:dyDescent="0.2"/>
  <cols>
    <col min="1" max="1" width="15.85546875" style="2" customWidth="1"/>
    <col min="2" max="2" width="15.7109375" style="2" customWidth="1"/>
    <col min="3" max="3" width="4.140625" style="2" customWidth="1"/>
    <col min="4" max="4" width="13.5703125" style="2" bestFit="1" customWidth="1"/>
    <col min="5" max="19" width="12.5703125" style="2" bestFit="1" customWidth="1"/>
    <col min="20" max="16384" width="9.140625" style="2"/>
  </cols>
  <sheetData>
    <row r="1" spans="1:19" x14ac:dyDescent="0.2">
      <c r="A1" s="1" t="s">
        <v>49</v>
      </c>
    </row>
    <row r="2" spans="1:19" x14ac:dyDescent="0.2">
      <c r="A2" s="1" t="s">
        <v>39</v>
      </c>
    </row>
    <row r="3" spans="1:19" x14ac:dyDescent="0.2">
      <c r="A3" s="1"/>
    </row>
    <row r="4" spans="1:19" x14ac:dyDescent="0.2">
      <c r="A4" s="3" t="s">
        <v>0</v>
      </c>
      <c r="B4" s="4">
        <v>7812333.1300000008</v>
      </c>
    </row>
    <row r="5" spans="1:19" x14ac:dyDescent="0.2">
      <c r="A5" s="1"/>
      <c r="B5" s="5"/>
      <c r="D5" s="6" t="s">
        <v>1</v>
      </c>
      <c r="E5" s="6" t="s">
        <v>2</v>
      </c>
      <c r="F5" s="6" t="s">
        <v>3</v>
      </c>
      <c r="G5" s="6" t="s">
        <v>4</v>
      </c>
    </row>
    <row r="6" spans="1:19" x14ac:dyDescent="0.2">
      <c r="A6" s="1" t="s">
        <v>5</v>
      </c>
      <c r="B6" s="7">
        <v>0.11</v>
      </c>
      <c r="D6" s="7">
        <v>0.54700000000000004</v>
      </c>
      <c r="E6" s="8">
        <f>B6*D6</f>
        <v>6.0170000000000008E-2</v>
      </c>
      <c r="F6" s="47">
        <f>1/(1-B8)</f>
        <v>1.3394950103810863</v>
      </c>
      <c r="G6" s="8">
        <f>E6*F6</f>
        <v>8.0597414774629977E-2</v>
      </c>
      <c r="H6" s="9" t="s">
        <v>6</v>
      </c>
    </row>
    <row r="7" spans="1:19" x14ac:dyDescent="0.2">
      <c r="A7" s="1" t="s">
        <v>7</v>
      </c>
      <c r="B7" s="7">
        <v>5.5399999999999998E-2</v>
      </c>
      <c r="D7" s="7">
        <f>1-D6</f>
        <v>0.45299999999999996</v>
      </c>
      <c r="E7" s="8">
        <f>B7*D7</f>
        <v>2.5096199999999996E-2</v>
      </c>
      <c r="F7" s="10"/>
      <c r="G7" s="8">
        <f>E7</f>
        <v>2.5096199999999996E-2</v>
      </c>
    </row>
    <row r="8" spans="1:19" x14ac:dyDescent="0.2">
      <c r="A8" s="1" t="s">
        <v>8</v>
      </c>
      <c r="B8" s="5">
        <v>0.25345000000000001</v>
      </c>
      <c r="E8" s="11">
        <f>SUM(E6:E7)</f>
        <v>8.52662E-2</v>
      </c>
    </row>
    <row r="9" spans="1:19" s="15" customFormat="1" x14ac:dyDescent="0.2">
      <c r="A9" s="12"/>
      <c r="B9" s="13"/>
      <c r="C9" s="14">
        <v>44986</v>
      </c>
      <c r="D9" s="14">
        <v>45291</v>
      </c>
      <c r="E9" s="14">
        <f>D9+365.25</f>
        <v>45656.25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x14ac:dyDescent="0.2"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x14ac:dyDescent="0.2">
      <c r="A11" s="3"/>
      <c r="B11" s="17"/>
      <c r="D11" s="6">
        <v>2023</v>
      </c>
      <c r="E11" s="6">
        <v>2024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x14ac:dyDescent="0.2">
      <c r="A12" s="3" t="s">
        <v>9</v>
      </c>
      <c r="B12" s="17"/>
      <c r="D12" s="2">
        <v>11</v>
      </c>
      <c r="E12" s="2">
        <v>12</v>
      </c>
    </row>
    <row r="13" spans="1:19" x14ac:dyDescent="0.2">
      <c r="A13" s="3" t="s">
        <v>10</v>
      </c>
      <c r="B13" s="2" t="s">
        <v>48</v>
      </c>
      <c r="D13" s="18">
        <v>3.5000000000000003E-2</v>
      </c>
      <c r="E13" s="18">
        <v>3.4000000000000002E-2</v>
      </c>
      <c r="F13" s="40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x14ac:dyDescent="0.2">
      <c r="A14" s="3" t="s">
        <v>12</v>
      </c>
      <c r="B14" s="2" t="s">
        <v>45</v>
      </c>
      <c r="D14" s="7">
        <v>0.1429</v>
      </c>
      <c r="E14" s="7">
        <v>0.24490000000000001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9"/>
      <c r="S14" s="19"/>
    </row>
    <row r="15" spans="1:19" x14ac:dyDescent="0.2">
      <c r="A15" s="20"/>
    </row>
    <row r="16" spans="1:19" x14ac:dyDescent="0.2">
      <c r="A16" s="2" t="s">
        <v>14</v>
      </c>
      <c r="D16" s="21"/>
      <c r="E16" s="22">
        <f>AVERAGE(D17:E17)</f>
        <v>7451824.4004983343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x14ac:dyDescent="0.2">
      <c r="A17" s="2" t="s">
        <v>15</v>
      </c>
      <c r="C17" s="23">
        <f>B4</f>
        <v>7812333.1300000008</v>
      </c>
      <c r="D17" s="10">
        <f t="shared" ref="D17:E17" si="0">C17-D19</f>
        <v>7584634.0637083342</v>
      </c>
      <c r="E17" s="10">
        <f t="shared" si="0"/>
        <v>7319014.7372883344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x14ac:dyDescent="0.2">
      <c r="C18" s="2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x14ac:dyDescent="0.2">
      <c r="A19" s="2" t="s">
        <v>16</v>
      </c>
      <c r="D19" s="10">
        <f>SUM(E51:E60)</f>
        <v>227699.06629166676</v>
      </c>
      <c r="E19" s="10">
        <f>$B$4*E13*E12/12</f>
        <v>265619.32642000006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x14ac:dyDescent="0.2">
      <c r="A20" s="2" t="s">
        <v>17</v>
      </c>
      <c r="D20" s="10">
        <f>$B$4*D14</f>
        <v>1116382.4042770001</v>
      </c>
      <c r="E20" s="10">
        <f>$B$4*E14</f>
        <v>1913240.3835370003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x14ac:dyDescent="0.2">
      <c r="A21" s="2" t="s">
        <v>18</v>
      </c>
      <c r="D21" s="10">
        <f>D20-D19</f>
        <v>888683.33798533329</v>
      </c>
      <c r="E21" s="10">
        <f t="shared" ref="E21" si="1">E20-E19</f>
        <v>1647621.0571170002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x14ac:dyDescent="0.2">
      <c r="A22" s="2" t="s">
        <v>19</v>
      </c>
      <c r="D22" s="10">
        <f>SUM($D$21:D21)</f>
        <v>888683.33798533329</v>
      </c>
      <c r="E22" s="10">
        <f>SUM($D$21:E21)</f>
        <v>2536304.3951023333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2">
      <c r="A23" s="2" t="s">
        <v>20</v>
      </c>
      <c r="C23" s="15">
        <v>0</v>
      </c>
      <c r="D23" s="10">
        <f t="shared" ref="D23:E23" si="2">D22*$B$8</f>
        <v>225236.79201238274</v>
      </c>
      <c r="E23" s="10">
        <f t="shared" si="2"/>
        <v>642826.34893868642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x14ac:dyDescent="0.2">
      <c r="A24" s="2" t="s">
        <v>21</v>
      </c>
      <c r="D24" s="17"/>
      <c r="E24" s="17">
        <f>AVERAGE(D23:E23)</f>
        <v>434031.57047553459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17"/>
      <c r="S24" s="17"/>
    </row>
    <row r="25" spans="1:19" x14ac:dyDescent="0.2">
      <c r="A25" s="1"/>
    </row>
    <row r="26" spans="1:19" x14ac:dyDescent="0.2">
      <c r="A26" s="2" t="s">
        <v>22</v>
      </c>
      <c r="D26" s="10"/>
      <c r="E26" s="10">
        <f t="shared" ref="E26" si="3">E16-E23</f>
        <v>6808998.0515596475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">
      <c r="A27" s="1"/>
    </row>
    <row r="28" spans="1:19" x14ac:dyDescent="0.2">
      <c r="A28" s="1" t="s">
        <v>23</v>
      </c>
    </row>
    <row r="29" spans="1:19" x14ac:dyDescent="0.2">
      <c r="A29" s="2" t="s">
        <v>24</v>
      </c>
      <c r="E29" s="17">
        <f>E$26*$G6*E$12/12</f>
        <v>548787.64016120031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9" x14ac:dyDescent="0.2">
      <c r="A30" s="2" t="s">
        <v>25</v>
      </c>
      <c r="E30" s="17">
        <f>E$26*$G7*E$12/12</f>
        <v>170879.97690155118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9" x14ac:dyDescent="0.2">
      <c r="E31" s="24">
        <f t="shared" ref="E31" si="4">E29+E30</f>
        <v>719667.61706275144</v>
      </c>
      <c r="F31" s="10" t="s">
        <v>40</v>
      </c>
      <c r="G31" s="10"/>
      <c r="H31" s="10"/>
      <c r="I31" s="10"/>
      <c r="J31" s="10"/>
      <c r="K31" s="10"/>
      <c r="L31" s="10"/>
      <c r="M31" s="10"/>
      <c r="N31" s="10"/>
      <c r="O31" s="10"/>
    </row>
    <row r="33" spans="1:15" x14ac:dyDescent="0.2">
      <c r="A33" s="1" t="s">
        <v>26</v>
      </c>
    </row>
    <row r="34" spans="1:15" x14ac:dyDescent="0.2">
      <c r="A34" s="2" t="s">
        <v>27</v>
      </c>
      <c r="B34" s="9" t="s">
        <v>33</v>
      </c>
      <c r="E34" s="35">
        <v>34290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x14ac:dyDescent="0.2">
      <c r="A35" s="2" t="s">
        <v>28</v>
      </c>
      <c r="B35" s="9" t="s">
        <v>34</v>
      </c>
      <c r="E35" s="10">
        <v>60527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x14ac:dyDescent="0.2">
      <c r="A36" s="2" t="str">
        <f>A19</f>
        <v>Book Depreciation</v>
      </c>
      <c r="B36" s="9" t="s">
        <v>35</v>
      </c>
      <c r="E36" s="10">
        <f>E19</f>
        <v>265619.32642000006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x14ac:dyDescent="0.2">
      <c r="E37" s="24">
        <f>SUM(E34:E36)</f>
        <v>360436.32642000006</v>
      </c>
      <c r="F37" s="10" t="s">
        <v>41</v>
      </c>
      <c r="G37" s="10"/>
      <c r="H37" s="10"/>
      <c r="I37" s="10"/>
      <c r="J37" s="10"/>
      <c r="K37" s="10"/>
      <c r="L37" s="10"/>
      <c r="M37" s="10"/>
      <c r="N37" s="10"/>
      <c r="O37" s="10"/>
    </row>
    <row r="39" spans="1:15" ht="13.5" thickBot="1" x14ac:dyDescent="0.25">
      <c r="A39" s="1" t="s">
        <v>29</v>
      </c>
      <c r="C39" s="15">
        <v>0</v>
      </c>
      <c r="E39" s="36">
        <f>+E31+E37</f>
        <v>1080103.9434827515</v>
      </c>
      <c r="F39" s="38" t="s">
        <v>42</v>
      </c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2">
      <c r="B40" s="25"/>
    </row>
    <row r="41" spans="1:15" ht="13.5" thickBot="1" x14ac:dyDescent="0.25">
      <c r="A41" s="1" t="s">
        <v>37</v>
      </c>
      <c r="B41" s="34" t="s">
        <v>36</v>
      </c>
      <c r="E41" s="36">
        <v>936000</v>
      </c>
      <c r="F41" s="2" t="s">
        <v>43</v>
      </c>
    </row>
    <row r="42" spans="1:15" x14ac:dyDescent="0.2">
      <c r="B42" s="25"/>
    </row>
    <row r="43" spans="1:15" ht="13.5" thickBot="1" x14ac:dyDescent="0.25">
      <c r="A43" s="1" t="s">
        <v>52</v>
      </c>
      <c r="B43" s="25"/>
      <c r="E43" s="37">
        <f>E39-E41</f>
        <v>144103.94348275149</v>
      </c>
      <c r="F43" s="39" t="s">
        <v>53</v>
      </c>
    </row>
    <row r="44" spans="1:15" ht="13.5" thickTop="1" x14ac:dyDescent="0.2"/>
    <row r="47" spans="1:15" x14ac:dyDescent="0.2">
      <c r="D47" s="26" t="s">
        <v>30</v>
      </c>
      <c r="E47" s="26" t="s">
        <v>31</v>
      </c>
      <c r="I47" s="26"/>
      <c r="J47" s="26"/>
    </row>
    <row r="48" spans="1:15" x14ac:dyDescent="0.2">
      <c r="B48" s="27">
        <v>44896</v>
      </c>
      <c r="D48" s="2">
        <v>0</v>
      </c>
      <c r="G48" s="27"/>
      <c r="I48" s="10"/>
    </row>
    <row r="49" spans="2:10" x14ac:dyDescent="0.2">
      <c r="B49" s="27">
        <v>44927</v>
      </c>
      <c r="D49" s="10">
        <f>+$B$4-E49</f>
        <v>7812333.1300000008</v>
      </c>
      <c r="G49" s="27"/>
      <c r="I49" s="10"/>
      <c r="J49" s="17"/>
    </row>
    <row r="50" spans="2:10" x14ac:dyDescent="0.2">
      <c r="B50" s="27">
        <v>44958</v>
      </c>
      <c r="D50" s="10">
        <f>+$B$4-E50</f>
        <v>7789678.0583708342</v>
      </c>
      <c r="E50" s="17">
        <v>22655.071629166672</v>
      </c>
      <c r="G50" s="27"/>
      <c r="I50" s="10"/>
      <c r="J50" s="17"/>
    </row>
    <row r="51" spans="2:10" x14ac:dyDescent="0.2">
      <c r="B51" s="27">
        <v>44986</v>
      </c>
      <c r="D51" s="10">
        <f>+D50-E51</f>
        <v>7766981.3367416672</v>
      </c>
      <c r="E51" s="17">
        <v>22696.721629166674</v>
      </c>
      <c r="G51" s="27"/>
      <c r="I51" s="10"/>
      <c r="J51" s="17"/>
    </row>
    <row r="52" spans="2:10" x14ac:dyDescent="0.2">
      <c r="B52" s="27">
        <v>45017</v>
      </c>
      <c r="D52" s="10">
        <f t="shared" ref="D52:D60" si="5">+D51-E52</f>
        <v>7744242.9651125008</v>
      </c>
      <c r="E52" s="10">
        <v>22738.371629166664</v>
      </c>
      <c r="G52" s="27"/>
      <c r="I52" s="10"/>
      <c r="J52" s="17"/>
    </row>
    <row r="53" spans="2:10" x14ac:dyDescent="0.2">
      <c r="B53" s="27">
        <v>45047</v>
      </c>
      <c r="D53" s="10">
        <f t="shared" si="5"/>
        <v>7721480.7934833346</v>
      </c>
      <c r="E53" s="10">
        <v>22762.171629166667</v>
      </c>
      <c r="G53" s="27"/>
      <c r="I53" s="10"/>
      <c r="J53" s="17"/>
    </row>
    <row r="54" spans="2:10" x14ac:dyDescent="0.2">
      <c r="B54" s="27">
        <v>45078</v>
      </c>
      <c r="D54" s="10">
        <f t="shared" si="5"/>
        <v>7698694.8218541676</v>
      </c>
      <c r="E54" s="10">
        <v>22785.97162916667</v>
      </c>
      <c r="G54" s="27"/>
      <c r="I54" s="10"/>
      <c r="J54" s="17"/>
    </row>
    <row r="55" spans="2:10" x14ac:dyDescent="0.2">
      <c r="B55" s="27">
        <v>45108</v>
      </c>
      <c r="D55" s="10">
        <f t="shared" si="5"/>
        <v>7675908.8502250006</v>
      </c>
      <c r="E55" s="10">
        <v>22785.971629166655</v>
      </c>
      <c r="G55" s="27"/>
      <c r="I55" s="10"/>
      <c r="J55" s="17"/>
    </row>
    <row r="56" spans="2:10" x14ac:dyDescent="0.2">
      <c r="B56" s="27">
        <v>45139</v>
      </c>
      <c r="D56" s="10">
        <f t="shared" si="5"/>
        <v>7653122.8785958337</v>
      </c>
      <c r="E56" s="10">
        <v>22785.971629166685</v>
      </c>
      <c r="G56" s="27"/>
      <c r="I56" s="10"/>
      <c r="J56" s="17"/>
    </row>
    <row r="57" spans="2:10" x14ac:dyDescent="0.2">
      <c r="B57" s="27">
        <v>45170</v>
      </c>
      <c r="D57" s="10">
        <f t="shared" si="5"/>
        <v>7630336.9069666667</v>
      </c>
      <c r="E57" s="10">
        <v>22785.971629166685</v>
      </c>
      <c r="G57" s="27"/>
      <c r="I57" s="10"/>
      <c r="J57" s="17"/>
    </row>
    <row r="58" spans="2:10" x14ac:dyDescent="0.2">
      <c r="B58" s="27">
        <v>45200</v>
      </c>
      <c r="D58" s="10">
        <f t="shared" si="5"/>
        <v>7607550.9353374997</v>
      </c>
      <c r="E58" s="10">
        <v>22785.971629166685</v>
      </c>
      <c r="G58" s="27"/>
      <c r="I58" s="10"/>
      <c r="J58" s="17"/>
    </row>
    <row r="59" spans="2:10" x14ac:dyDescent="0.2">
      <c r="B59" s="27">
        <v>45231</v>
      </c>
      <c r="D59" s="10">
        <f t="shared" si="5"/>
        <v>7584764.9637083327</v>
      </c>
      <c r="E59" s="10">
        <v>22785.971629166685</v>
      </c>
      <c r="G59" s="27"/>
      <c r="I59" s="10"/>
      <c r="J59" s="17"/>
    </row>
    <row r="60" spans="2:10" x14ac:dyDescent="0.2">
      <c r="B60" s="27">
        <v>45261</v>
      </c>
      <c r="D60" s="10">
        <f t="shared" si="5"/>
        <v>7561978.9920791658</v>
      </c>
      <c r="E60" s="10">
        <v>22785.971629166685</v>
      </c>
      <c r="G60" s="27"/>
      <c r="I60" s="10"/>
      <c r="J60" s="17"/>
    </row>
    <row r="61" spans="2:10" x14ac:dyDescent="0.2">
      <c r="I61" s="10"/>
    </row>
    <row r="62" spans="2:10" x14ac:dyDescent="0.2">
      <c r="I62" s="10"/>
    </row>
    <row r="63" spans="2:10" x14ac:dyDescent="0.2">
      <c r="I63" s="10"/>
    </row>
    <row r="67" spans="2:4" x14ac:dyDescent="0.2">
      <c r="B67" s="29"/>
      <c r="D67" s="4"/>
    </row>
    <row r="70" spans="2:4" x14ac:dyDescent="0.2">
      <c r="D70" s="31"/>
    </row>
  </sheetData>
  <pageMargins left="0.5" right="0.5" top="1" bottom="0.25" header="0.5" footer="0.5"/>
  <pageSetup scale="83" orientation="portrait" horizontalDpi="90" verticalDpi="90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517DB-1EDF-4F8E-A01B-B513EA5C7F02}">
  <sheetPr>
    <pageSetUpPr fitToPage="1"/>
  </sheetPr>
  <dimension ref="A1:S72"/>
  <sheetViews>
    <sheetView topLeftCell="A17" workbookViewId="0">
      <selection activeCell="F47" sqref="F47"/>
    </sheetView>
  </sheetViews>
  <sheetFormatPr defaultColWidth="9.140625" defaultRowHeight="12.75" x14ac:dyDescent="0.2"/>
  <cols>
    <col min="1" max="1" width="15.85546875" style="2" customWidth="1"/>
    <col min="2" max="2" width="15.7109375" style="2" customWidth="1"/>
    <col min="3" max="3" width="4.140625" style="2" customWidth="1"/>
    <col min="4" max="4" width="13.5703125" style="2" bestFit="1" customWidth="1"/>
    <col min="5" max="19" width="12.5703125" style="2" bestFit="1" customWidth="1"/>
    <col min="20" max="16384" width="9.140625" style="2"/>
  </cols>
  <sheetData>
    <row r="1" spans="1:19" x14ac:dyDescent="0.2">
      <c r="A1" s="1" t="s">
        <v>55</v>
      </c>
    </row>
    <row r="2" spans="1:19" x14ac:dyDescent="0.2">
      <c r="A2" s="1" t="s">
        <v>39</v>
      </c>
    </row>
    <row r="3" spans="1:19" x14ac:dyDescent="0.2">
      <c r="A3" s="1"/>
    </row>
    <row r="4" spans="1:19" x14ac:dyDescent="0.2">
      <c r="A4" s="3" t="s">
        <v>0</v>
      </c>
      <c r="B4" s="4">
        <v>8297313.21</v>
      </c>
    </row>
    <row r="5" spans="1:19" x14ac:dyDescent="0.2">
      <c r="A5" s="1"/>
      <c r="B5" s="5"/>
      <c r="D5" s="6" t="s">
        <v>1</v>
      </c>
      <c r="E5" s="6" t="s">
        <v>2</v>
      </c>
      <c r="F5" s="6" t="s">
        <v>3</v>
      </c>
      <c r="G5" s="6" t="s">
        <v>4</v>
      </c>
    </row>
    <row r="6" spans="1:19" x14ac:dyDescent="0.2">
      <c r="A6" s="1" t="s">
        <v>5</v>
      </c>
      <c r="B6" s="7">
        <v>0.11</v>
      </c>
      <c r="D6" s="7">
        <v>0.54700000000000004</v>
      </c>
      <c r="E6" s="8">
        <f>B6*D6</f>
        <v>6.0170000000000008E-2</v>
      </c>
      <c r="F6" s="47">
        <f>1/(1-B8)</f>
        <v>1.3394950103810863</v>
      </c>
      <c r="G6" s="8">
        <f>E6*F6</f>
        <v>8.0597414774629977E-2</v>
      </c>
      <c r="H6" s="9" t="s">
        <v>6</v>
      </c>
    </row>
    <row r="7" spans="1:19" x14ac:dyDescent="0.2">
      <c r="A7" s="1" t="s">
        <v>7</v>
      </c>
      <c r="B7" s="7">
        <v>5.5399999999999998E-2</v>
      </c>
      <c r="D7" s="7">
        <f>1-D6</f>
        <v>0.45299999999999996</v>
      </c>
      <c r="E7" s="8">
        <f>B7*D7</f>
        <v>2.5096199999999996E-2</v>
      </c>
      <c r="F7" s="10"/>
      <c r="G7" s="8">
        <f>E7</f>
        <v>2.5096199999999996E-2</v>
      </c>
    </row>
    <row r="8" spans="1:19" x14ac:dyDescent="0.2">
      <c r="A8" s="1" t="s">
        <v>8</v>
      </c>
      <c r="B8" s="5">
        <v>0.25345000000000001</v>
      </c>
      <c r="E8" s="11">
        <f>SUM(E6:E7)</f>
        <v>8.52662E-2</v>
      </c>
    </row>
    <row r="9" spans="1:19" s="15" customFormat="1" x14ac:dyDescent="0.2">
      <c r="A9" s="12"/>
      <c r="B9" s="13"/>
      <c r="C9" s="14">
        <v>44986</v>
      </c>
      <c r="D9" s="14">
        <v>45291</v>
      </c>
      <c r="E9" s="14">
        <f>D9+365.25</f>
        <v>45656.25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x14ac:dyDescent="0.2"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x14ac:dyDescent="0.2">
      <c r="A11" s="3"/>
      <c r="B11" s="17"/>
      <c r="D11" s="6">
        <v>2023</v>
      </c>
      <c r="E11" s="6">
        <v>2024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x14ac:dyDescent="0.2">
      <c r="A12" s="3" t="s">
        <v>9</v>
      </c>
      <c r="B12" s="17"/>
      <c r="D12" s="2">
        <v>11</v>
      </c>
      <c r="E12" s="2">
        <v>12</v>
      </c>
    </row>
    <row r="13" spans="1:19" x14ac:dyDescent="0.2">
      <c r="A13" s="3" t="s">
        <v>10</v>
      </c>
      <c r="B13" s="2" t="s">
        <v>48</v>
      </c>
      <c r="D13" s="18">
        <v>3.5000000000000003E-2</v>
      </c>
      <c r="E13" s="18">
        <v>3.4000000000000002E-2</v>
      </c>
      <c r="F13" s="40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x14ac:dyDescent="0.2">
      <c r="A14" s="3" t="s">
        <v>12</v>
      </c>
      <c r="B14" s="2" t="s">
        <v>45</v>
      </c>
      <c r="D14" s="7">
        <v>0.1429</v>
      </c>
      <c r="E14" s="7">
        <v>0.24490000000000001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9"/>
      <c r="S14" s="19"/>
    </row>
    <row r="15" spans="1:19" x14ac:dyDescent="0.2">
      <c r="A15" s="20"/>
    </row>
    <row r="16" spans="1:19" x14ac:dyDescent="0.2">
      <c r="A16" s="2" t="s">
        <v>14</v>
      </c>
      <c r="D16" s="21"/>
      <c r="E16" s="22">
        <f>AVERAGE(D17:E17)</f>
        <v>7891141.8786133332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x14ac:dyDescent="0.2">
      <c r="A17" s="2" t="s">
        <v>15</v>
      </c>
      <c r="C17" s="23">
        <f>B4</f>
        <v>8297313.21</v>
      </c>
      <c r="D17" s="10">
        <f t="shared" ref="D17:E17" si="0">C17-D19</f>
        <v>8032196.2031833334</v>
      </c>
      <c r="E17" s="10">
        <f t="shared" si="0"/>
        <v>7750087.554043333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x14ac:dyDescent="0.2">
      <c r="C18" s="2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x14ac:dyDescent="0.2">
      <c r="A19" s="2" t="s">
        <v>16</v>
      </c>
      <c r="D19" s="10">
        <f>SUM(E52:E62)</f>
        <v>265117.00681666669</v>
      </c>
      <c r="E19" s="10">
        <f>$B$4*E13*E12/12</f>
        <v>282108.64913999999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x14ac:dyDescent="0.2">
      <c r="A20" s="2" t="s">
        <v>17</v>
      </c>
      <c r="D20" s="10">
        <f>$B$4*D14</f>
        <v>1185686.0577090001</v>
      </c>
      <c r="E20" s="10">
        <f>$B$4*E14</f>
        <v>2032012.0051289999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x14ac:dyDescent="0.2">
      <c r="A21" s="2" t="s">
        <v>18</v>
      </c>
      <c r="D21" s="10">
        <f>D20-D19</f>
        <v>920569.05089233338</v>
      </c>
      <c r="E21" s="10">
        <f t="shared" ref="E21" si="1">E20-E19</f>
        <v>1749903.3559889998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x14ac:dyDescent="0.2">
      <c r="A22" s="2" t="s">
        <v>19</v>
      </c>
      <c r="D22" s="10">
        <f>SUM($D$21:D21)</f>
        <v>920569.05089233338</v>
      </c>
      <c r="E22" s="10">
        <f>SUM($D$21:E21)</f>
        <v>2670472.4068813333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2">
      <c r="A23" s="2" t="s">
        <v>20</v>
      </c>
      <c r="C23" s="15">
        <v>0</v>
      </c>
      <c r="D23" s="10">
        <f t="shared" ref="D23:E23" si="2">D22*$B$8</f>
        <v>233318.22594866192</v>
      </c>
      <c r="E23" s="10">
        <f t="shared" si="2"/>
        <v>676831.23152407398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x14ac:dyDescent="0.2">
      <c r="A24" s="2" t="s">
        <v>21</v>
      </c>
      <c r="D24" s="17"/>
      <c r="E24" s="17">
        <f>AVERAGE(D23:E23)</f>
        <v>455074.72873636795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17"/>
      <c r="S24" s="17"/>
    </row>
    <row r="25" spans="1:19" x14ac:dyDescent="0.2">
      <c r="A25" s="1"/>
    </row>
    <row r="26" spans="1:19" x14ac:dyDescent="0.2">
      <c r="A26" s="2" t="s">
        <v>22</v>
      </c>
      <c r="D26" s="10"/>
      <c r="E26" s="10">
        <f t="shared" ref="E26" si="3">E16-E23</f>
        <v>7214310.6470892597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">
      <c r="A27" s="1"/>
    </row>
    <row r="28" spans="1:19" x14ac:dyDescent="0.2">
      <c r="A28" s="1" t="s">
        <v>23</v>
      </c>
    </row>
    <row r="29" spans="1:19" x14ac:dyDescent="0.2">
      <c r="A29" s="2" t="s">
        <v>24</v>
      </c>
      <c r="E29" s="17">
        <f>E$26*$G6*E$12/12</f>
        <v>581454.78753648221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9" x14ac:dyDescent="0.2">
      <c r="A30" s="2" t="s">
        <v>25</v>
      </c>
      <c r="E30" s="17">
        <f>E$26*$G7*E$12/12</f>
        <v>181051.78286148145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9" x14ac:dyDescent="0.2">
      <c r="E31" s="24">
        <f t="shared" ref="E31" si="4">E29+E30</f>
        <v>762506.57039796363</v>
      </c>
      <c r="F31" s="10" t="s">
        <v>40</v>
      </c>
      <c r="G31" s="10"/>
      <c r="H31" s="10"/>
      <c r="I31" s="10"/>
      <c r="J31" s="10"/>
      <c r="K31" s="10"/>
      <c r="L31" s="10"/>
      <c r="M31" s="10"/>
      <c r="N31" s="10"/>
      <c r="O31" s="10"/>
    </row>
    <row r="32" spans="1:19" x14ac:dyDescent="0.2"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x14ac:dyDescent="0.2">
      <c r="A33" s="2" t="s">
        <v>75</v>
      </c>
      <c r="E33" s="10">
        <f>'Alliance Pipeline Ext detail'!E31</f>
        <v>325130.347780718</v>
      </c>
      <c r="F33" s="10" t="s">
        <v>41</v>
      </c>
      <c r="G33" s="10"/>
      <c r="H33" s="10"/>
      <c r="I33" s="10"/>
      <c r="J33" s="10"/>
      <c r="K33" s="10"/>
      <c r="L33" s="10"/>
      <c r="M33" s="10"/>
      <c r="N33" s="10"/>
      <c r="O33" s="10"/>
    </row>
    <row r="35" spans="1:15" x14ac:dyDescent="0.2">
      <c r="A35" s="1" t="s">
        <v>26</v>
      </c>
    </row>
    <row r="36" spans="1:15" x14ac:dyDescent="0.2">
      <c r="A36" s="2" t="s">
        <v>27</v>
      </c>
      <c r="B36" s="9" t="s">
        <v>56</v>
      </c>
      <c r="E36" s="35">
        <v>3956652.5306960945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x14ac:dyDescent="0.2">
      <c r="A37" s="2" t="s">
        <v>28</v>
      </c>
      <c r="B37" s="9" t="s">
        <v>34</v>
      </c>
      <c r="E37" s="10">
        <v>88687.027463988969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x14ac:dyDescent="0.2">
      <c r="A38" s="2" t="str">
        <f>A19</f>
        <v>Book Depreciation</v>
      </c>
      <c r="B38" s="9" t="s">
        <v>35</v>
      </c>
      <c r="E38" s="10">
        <f>E19+'Alliance Pipeline Ext detail'!E19</f>
        <v>359701.20809999999</v>
      </c>
      <c r="F38" s="49" t="s">
        <v>74</v>
      </c>
      <c r="G38" s="10"/>
      <c r="H38" s="10"/>
      <c r="I38" s="10"/>
      <c r="J38" s="10"/>
      <c r="K38" s="10"/>
      <c r="L38" s="10"/>
      <c r="M38" s="10"/>
      <c r="N38" s="10"/>
      <c r="O38" s="10"/>
    </row>
    <row r="39" spans="1:15" x14ac:dyDescent="0.2">
      <c r="E39" s="24">
        <f>SUM(E36:E38)</f>
        <v>4405040.7662600838</v>
      </c>
      <c r="F39" s="10" t="s">
        <v>58</v>
      </c>
      <c r="G39" s="10"/>
      <c r="H39" s="10"/>
      <c r="I39" s="10"/>
      <c r="J39" s="10"/>
      <c r="K39" s="10"/>
      <c r="L39" s="10"/>
      <c r="M39" s="10"/>
      <c r="N39" s="10"/>
      <c r="O39" s="10"/>
    </row>
    <row r="41" spans="1:15" ht="13.5" thickBot="1" x14ac:dyDescent="0.25">
      <c r="A41" s="1" t="s">
        <v>29</v>
      </c>
      <c r="C41" s="15">
        <v>0</v>
      </c>
      <c r="E41" s="36">
        <f>+E31+E39+E33</f>
        <v>5492677.684438765</v>
      </c>
      <c r="F41" s="38" t="s">
        <v>59</v>
      </c>
      <c r="G41" s="10"/>
      <c r="H41" s="10"/>
      <c r="I41" s="10"/>
      <c r="J41" s="10"/>
      <c r="K41" s="10"/>
      <c r="L41" s="10"/>
      <c r="M41" s="10"/>
      <c r="N41" s="10"/>
      <c r="O41" s="10"/>
    </row>
    <row r="42" spans="1:15" x14ac:dyDescent="0.2">
      <c r="B42" s="25"/>
    </row>
    <row r="43" spans="1:15" ht="13.5" thickBot="1" x14ac:dyDescent="0.25">
      <c r="A43" s="1" t="s">
        <v>37</v>
      </c>
      <c r="B43" s="34" t="s">
        <v>47</v>
      </c>
      <c r="E43" s="36">
        <v>5726091.5901992973</v>
      </c>
      <c r="F43" s="2" t="s">
        <v>60</v>
      </c>
    </row>
    <row r="44" spans="1:15" x14ac:dyDescent="0.2">
      <c r="B44" s="25"/>
    </row>
    <row r="45" spans="1:15" ht="13.5" thickBot="1" x14ac:dyDescent="0.25">
      <c r="A45" s="1" t="s">
        <v>38</v>
      </c>
      <c r="B45" s="25"/>
      <c r="E45" s="37">
        <f>E43-E41</f>
        <v>233413.90576053225</v>
      </c>
      <c r="F45" s="39" t="s">
        <v>61</v>
      </c>
    </row>
    <row r="46" spans="1:15" ht="13.5" thickTop="1" x14ac:dyDescent="0.2"/>
    <row r="49" spans="2:10" x14ac:dyDescent="0.2">
      <c r="D49" s="26" t="s">
        <v>30</v>
      </c>
      <c r="E49" s="26" t="s">
        <v>31</v>
      </c>
      <c r="I49" s="26"/>
      <c r="J49" s="26"/>
    </row>
    <row r="50" spans="2:10" x14ac:dyDescent="0.2">
      <c r="B50" s="27">
        <v>44896</v>
      </c>
      <c r="D50" s="2">
        <v>0</v>
      </c>
      <c r="G50" s="27"/>
      <c r="I50" s="10"/>
    </row>
    <row r="51" spans="2:10" x14ac:dyDescent="0.2">
      <c r="B51" s="27">
        <v>44927</v>
      </c>
      <c r="D51" s="10">
        <f t="shared" ref="D51" si="5">+$B$4-E51</f>
        <v>8297313.21</v>
      </c>
      <c r="G51" s="27"/>
      <c r="I51" s="10"/>
      <c r="J51" s="17"/>
    </row>
    <row r="52" spans="2:10" x14ac:dyDescent="0.2">
      <c r="B52" s="27">
        <v>44958</v>
      </c>
      <c r="D52" s="10">
        <f>+$B$4-E52</f>
        <v>8274201.1718083331</v>
      </c>
      <c r="E52" s="17">
        <v>23112.038191666667</v>
      </c>
      <c r="G52" s="27"/>
      <c r="I52" s="10"/>
      <c r="J52" s="17"/>
    </row>
    <row r="53" spans="2:10" x14ac:dyDescent="0.2">
      <c r="B53" s="27">
        <v>44986</v>
      </c>
      <c r="D53" s="10">
        <f>+D52-E53</f>
        <v>8250000.6749458332</v>
      </c>
      <c r="E53" s="17">
        <v>24200.496862500004</v>
      </c>
      <c r="G53" s="27"/>
      <c r="I53" s="10"/>
      <c r="J53" s="17"/>
    </row>
    <row r="54" spans="2:10" x14ac:dyDescent="0.2">
      <c r="B54" s="27">
        <v>45017</v>
      </c>
      <c r="D54" s="10">
        <f t="shared" ref="D54:D62" si="6">+D53-E54</f>
        <v>8225800.1780833332</v>
      </c>
      <c r="E54" s="10">
        <v>24200.496862500004</v>
      </c>
      <c r="G54" s="27"/>
      <c r="I54" s="10"/>
      <c r="J54" s="17"/>
    </row>
    <row r="55" spans="2:10" x14ac:dyDescent="0.2">
      <c r="B55" s="27">
        <v>45047</v>
      </c>
      <c r="D55" s="10">
        <f t="shared" si="6"/>
        <v>8201599.6812208332</v>
      </c>
      <c r="E55" s="10">
        <v>24200.496862500004</v>
      </c>
      <c r="G55" s="27"/>
      <c r="I55" s="10"/>
      <c r="J55" s="17"/>
    </row>
    <row r="56" spans="2:10" x14ac:dyDescent="0.2">
      <c r="B56" s="27">
        <v>45078</v>
      </c>
      <c r="D56" s="10">
        <f t="shared" si="6"/>
        <v>8177399.1843583332</v>
      </c>
      <c r="E56" s="10">
        <v>24200.496862500004</v>
      </c>
      <c r="G56" s="27"/>
      <c r="I56" s="10"/>
      <c r="J56" s="17"/>
    </row>
    <row r="57" spans="2:10" x14ac:dyDescent="0.2">
      <c r="B57" s="27">
        <v>45108</v>
      </c>
      <c r="D57" s="10">
        <f t="shared" si="6"/>
        <v>8153198.6874958333</v>
      </c>
      <c r="E57" s="10">
        <v>24200.496862500018</v>
      </c>
      <c r="G57" s="27"/>
      <c r="I57" s="10"/>
      <c r="J57" s="17"/>
    </row>
    <row r="58" spans="2:10" x14ac:dyDescent="0.2">
      <c r="B58" s="27">
        <v>45139</v>
      </c>
      <c r="D58" s="10">
        <f t="shared" si="6"/>
        <v>8128998.1906333333</v>
      </c>
      <c r="E58" s="10">
        <v>24200.496862500004</v>
      </c>
      <c r="G58" s="27"/>
      <c r="I58" s="10"/>
      <c r="J58" s="17"/>
    </row>
    <row r="59" spans="2:10" x14ac:dyDescent="0.2">
      <c r="B59" s="27">
        <v>45170</v>
      </c>
      <c r="D59" s="10">
        <f t="shared" si="6"/>
        <v>8104797.6937708333</v>
      </c>
      <c r="E59" s="10">
        <v>24200.496862500004</v>
      </c>
      <c r="G59" s="27"/>
      <c r="I59" s="10"/>
      <c r="J59" s="17"/>
    </row>
    <row r="60" spans="2:10" x14ac:dyDescent="0.2">
      <c r="B60" s="27">
        <v>45200</v>
      </c>
      <c r="D60" s="10">
        <f t="shared" si="6"/>
        <v>8080597.1969083333</v>
      </c>
      <c r="E60" s="10">
        <v>24200.496862500004</v>
      </c>
      <c r="G60" s="27"/>
      <c r="I60" s="10"/>
      <c r="J60" s="17"/>
    </row>
    <row r="61" spans="2:10" x14ac:dyDescent="0.2">
      <c r="B61" s="27">
        <v>45231</v>
      </c>
      <c r="D61" s="10">
        <f t="shared" si="6"/>
        <v>8056396.7000458334</v>
      </c>
      <c r="E61" s="10">
        <v>24200.496862500004</v>
      </c>
      <c r="G61" s="27"/>
      <c r="I61" s="10"/>
      <c r="J61" s="17"/>
    </row>
    <row r="62" spans="2:10" x14ac:dyDescent="0.2">
      <c r="B62" s="27">
        <v>45261</v>
      </c>
      <c r="D62" s="10">
        <f t="shared" si="6"/>
        <v>8032196.2031833334</v>
      </c>
      <c r="E62" s="10">
        <v>24200.496862499975</v>
      </c>
      <c r="G62" s="27"/>
      <c r="I62" s="10"/>
      <c r="J62" s="17"/>
    </row>
    <row r="63" spans="2:10" x14ac:dyDescent="0.2">
      <c r="I63" s="10"/>
    </row>
    <row r="64" spans="2:10" x14ac:dyDescent="0.2">
      <c r="I64" s="10"/>
    </row>
    <row r="65" spans="2:9" x14ac:dyDescent="0.2">
      <c r="I65" s="10"/>
    </row>
    <row r="69" spans="2:9" x14ac:dyDescent="0.2">
      <c r="B69" s="29"/>
      <c r="D69" s="4"/>
    </row>
    <row r="72" spans="2:9" x14ac:dyDescent="0.2">
      <c r="D72" s="31"/>
    </row>
  </sheetData>
  <pageMargins left="0.5" right="0.5" top="1" bottom="0.25" header="0.5" footer="0.5"/>
  <pageSetup scale="79" orientation="portrait" horizontalDpi="90" verticalDpi="90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79B1B-8A9C-4185-8BC4-740074EADF44}">
  <sheetPr>
    <pageSetUpPr fitToPage="1"/>
  </sheetPr>
  <dimension ref="A1:S67"/>
  <sheetViews>
    <sheetView tabSelected="1" workbookViewId="0">
      <selection activeCell="A44" sqref="A44"/>
    </sheetView>
  </sheetViews>
  <sheetFormatPr defaultColWidth="9.140625" defaultRowHeight="12.75" x14ac:dyDescent="0.2"/>
  <cols>
    <col min="1" max="1" width="15.85546875" style="2" customWidth="1"/>
    <col min="2" max="2" width="15.7109375" style="2" customWidth="1"/>
    <col min="3" max="3" width="4.140625" style="2" customWidth="1"/>
    <col min="4" max="4" width="13.5703125" style="2" bestFit="1" customWidth="1"/>
    <col min="5" max="19" width="12.5703125" style="2" bestFit="1" customWidth="1"/>
    <col min="20" max="16384" width="9.140625" style="2"/>
  </cols>
  <sheetData>
    <row r="1" spans="1:19" x14ac:dyDescent="0.2">
      <c r="A1" s="1" t="s">
        <v>54</v>
      </c>
    </row>
    <row r="2" spans="1:19" x14ac:dyDescent="0.2">
      <c r="A2" s="1" t="s">
        <v>39</v>
      </c>
    </row>
    <row r="3" spans="1:19" x14ac:dyDescent="0.2">
      <c r="A3" s="1"/>
    </row>
    <row r="4" spans="1:19" x14ac:dyDescent="0.2">
      <c r="A4" s="3" t="s">
        <v>0</v>
      </c>
      <c r="B4" s="4">
        <v>3233023.29</v>
      </c>
    </row>
    <row r="5" spans="1:19" x14ac:dyDescent="0.2">
      <c r="A5" s="1"/>
      <c r="B5" s="5"/>
      <c r="D5" s="6" t="s">
        <v>1</v>
      </c>
      <c r="E5" s="6" t="s">
        <v>2</v>
      </c>
      <c r="F5" s="6" t="s">
        <v>3</v>
      </c>
      <c r="G5" s="6" t="s">
        <v>4</v>
      </c>
    </row>
    <row r="6" spans="1:19" x14ac:dyDescent="0.2">
      <c r="A6" s="1" t="s">
        <v>5</v>
      </c>
      <c r="B6" s="7">
        <v>0.11</v>
      </c>
      <c r="D6" s="7">
        <v>0.54700000000000004</v>
      </c>
      <c r="E6" s="8">
        <f>B6*D6</f>
        <v>6.0170000000000008E-2</v>
      </c>
      <c r="F6" s="47">
        <f>1/(1-B8)</f>
        <v>1.3394950103810863</v>
      </c>
      <c r="G6" s="8">
        <f>E6*F6</f>
        <v>8.0597414774629977E-2</v>
      </c>
      <c r="H6" s="9" t="s">
        <v>6</v>
      </c>
    </row>
    <row r="7" spans="1:19" x14ac:dyDescent="0.2">
      <c r="A7" s="1" t="s">
        <v>7</v>
      </c>
      <c r="B7" s="7">
        <v>5.5399999999999998E-2</v>
      </c>
      <c r="D7" s="7">
        <f>1-D6</f>
        <v>0.45299999999999996</v>
      </c>
      <c r="E7" s="8">
        <f>B7*D7</f>
        <v>2.5096199999999996E-2</v>
      </c>
      <c r="F7" s="10"/>
      <c r="G7" s="8">
        <f>E7</f>
        <v>2.5096199999999996E-2</v>
      </c>
    </row>
    <row r="8" spans="1:19" x14ac:dyDescent="0.2">
      <c r="A8" s="1" t="s">
        <v>8</v>
      </c>
      <c r="B8" s="5">
        <v>0.25345000000000001</v>
      </c>
      <c r="E8" s="11">
        <f>SUM(E6:E7)</f>
        <v>8.52662E-2</v>
      </c>
    </row>
    <row r="9" spans="1:19" s="15" customFormat="1" x14ac:dyDescent="0.2">
      <c r="A9" s="12"/>
      <c r="B9" s="13"/>
      <c r="C9" s="14">
        <v>44986</v>
      </c>
      <c r="D9" s="14">
        <v>45291</v>
      </c>
      <c r="E9" s="14">
        <f>D9+365.25</f>
        <v>45656.25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x14ac:dyDescent="0.2"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x14ac:dyDescent="0.2">
      <c r="A11" s="3"/>
      <c r="B11" s="17"/>
      <c r="D11" s="6">
        <v>2023</v>
      </c>
      <c r="E11" s="6">
        <v>2024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x14ac:dyDescent="0.2">
      <c r="A12" s="3" t="s">
        <v>9</v>
      </c>
      <c r="B12" s="17"/>
      <c r="D12" s="2">
        <v>11</v>
      </c>
      <c r="E12" s="2">
        <v>12</v>
      </c>
    </row>
    <row r="13" spans="1:19" x14ac:dyDescent="0.2">
      <c r="A13" s="3" t="s">
        <v>10</v>
      </c>
      <c r="B13" s="2" t="s">
        <v>11</v>
      </c>
      <c r="D13" s="18">
        <v>2.1000000000000001E-2</v>
      </c>
      <c r="E13" s="18">
        <v>2.4E-2</v>
      </c>
      <c r="F13" s="40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x14ac:dyDescent="0.2">
      <c r="A14" s="3" t="s">
        <v>12</v>
      </c>
      <c r="B14" s="2" t="s">
        <v>13</v>
      </c>
      <c r="D14" s="7">
        <v>3.7499999999999999E-2</v>
      </c>
      <c r="E14" s="7">
        <v>7.2190000000000004E-2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19"/>
      <c r="S14" s="19"/>
    </row>
    <row r="15" spans="1:19" x14ac:dyDescent="0.2">
      <c r="A15" s="20"/>
    </row>
    <row r="16" spans="1:19" x14ac:dyDescent="0.2">
      <c r="A16" s="2" t="s">
        <v>14</v>
      </c>
      <c r="D16" s="21"/>
      <c r="E16" s="22">
        <f>AVERAGE(D17:E17)</f>
        <v>3130128.2289375002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x14ac:dyDescent="0.2">
      <c r="A17" s="2" t="s">
        <v>15</v>
      </c>
      <c r="C17" s="23">
        <f>B4</f>
        <v>3233023.29</v>
      </c>
      <c r="D17" s="10">
        <f t="shared" ref="D17:E17" si="0">C17-D19</f>
        <v>3168924.5084175002</v>
      </c>
      <c r="E17" s="10">
        <f t="shared" si="0"/>
        <v>3091331.9494575001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x14ac:dyDescent="0.2">
      <c r="C18" s="2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x14ac:dyDescent="0.2">
      <c r="A19" s="2" t="s">
        <v>16</v>
      </c>
      <c r="D19" s="10">
        <f>SUM(E47:E57)</f>
        <v>64098.781582499993</v>
      </c>
      <c r="E19" s="10">
        <f>$B$4*E13*E12/12</f>
        <v>77592.558960000009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x14ac:dyDescent="0.2">
      <c r="A20" s="2" t="s">
        <v>17</v>
      </c>
      <c r="D20" s="10">
        <f>$B$4*D14</f>
        <v>121238.373375</v>
      </c>
      <c r="E20" s="10">
        <f>$B$4*E14</f>
        <v>233391.95130510002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x14ac:dyDescent="0.2">
      <c r="A21" s="2" t="s">
        <v>18</v>
      </c>
      <c r="D21" s="10">
        <f>D20-D19</f>
        <v>57139.591792500003</v>
      </c>
      <c r="E21" s="10">
        <f t="shared" ref="E21" si="1">E20-E19</f>
        <v>155799.3923451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x14ac:dyDescent="0.2">
      <c r="A22" s="2" t="s">
        <v>19</v>
      </c>
      <c r="D22" s="10">
        <f>SUM($D$21:D21)</f>
        <v>57139.591792500003</v>
      </c>
      <c r="E22" s="10">
        <f>SUM($D$21:E21)</f>
        <v>212938.9841376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2">
      <c r="A23" s="2" t="s">
        <v>20</v>
      </c>
      <c r="C23" s="15">
        <v>0</v>
      </c>
      <c r="D23" s="10">
        <f t="shared" ref="D23:E23" si="2">D22*$B$8</f>
        <v>14482.029539809126</v>
      </c>
      <c r="E23" s="10">
        <f t="shared" si="2"/>
        <v>53969.385529674721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x14ac:dyDescent="0.2">
      <c r="A24" s="2" t="s">
        <v>21</v>
      </c>
      <c r="D24" s="17"/>
      <c r="E24" s="17">
        <f>AVERAGE(D23:E23)</f>
        <v>34225.707534741923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17"/>
      <c r="S24" s="17"/>
    </row>
    <row r="25" spans="1:19" x14ac:dyDescent="0.2">
      <c r="A25" s="1"/>
    </row>
    <row r="26" spans="1:19" x14ac:dyDescent="0.2">
      <c r="A26" s="2" t="s">
        <v>22</v>
      </c>
      <c r="D26" s="10"/>
      <c r="E26" s="10">
        <f t="shared" ref="E26" si="3">E16-E23</f>
        <v>3076158.8434078256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">
      <c r="A27" s="1"/>
    </row>
    <row r="28" spans="1:19" x14ac:dyDescent="0.2">
      <c r="A28" s="1" t="s">
        <v>23</v>
      </c>
    </row>
    <row r="29" spans="1:19" x14ac:dyDescent="0.2">
      <c r="A29" s="2" t="s">
        <v>24</v>
      </c>
      <c r="E29" s="17">
        <f>E$26*$G6*E$12/12</f>
        <v>247930.45021478654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9" x14ac:dyDescent="0.2">
      <c r="A30" s="2" t="s">
        <v>25</v>
      </c>
      <c r="E30" s="17">
        <f>E$26*$G7*E$12/12</f>
        <v>77199.89756593146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9" x14ac:dyDescent="0.2">
      <c r="E31" s="24">
        <f t="shared" ref="E31" si="4">E29+E30</f>
        <v>325130.347780718</v>
      </c>
      <c r="F31" s="10" t="s">
        <v>40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3" spans="1:16" x14ac:dyDescent="0.2">
      <c r="A33" s="1" t="s">
        <v>26</v>
      </c>
    </row>
    <row r="34" spans="1:16" x14ac:dyDescent="0.2">
      <c r="A34" s="2" t="s">
        <v>27</v>
      </c>
      <c r="B34" s="9" t="s">
        <v>57</v>
      </c>
      <c r="E34" s="35">
        <v>0</v>
      </c>
      <c r="F34" s="33"/>
      <c r="G34" s="48" t="s">
        <v>76</v>
      </c>
      <c r="H34" s="33"/>
      <c r="I34" s="33"/>
      <c r="J34" s="33"/>
      <c r="K34" s="33"/>
      <c r="L34" s="33"/>
      <c r="M34" s="33"/>
      <c r="N34" s="33"/>
      <c r="O34" s="33"/>
      <c r="P34" s="33"/>
    </row>
    <row r="35" spans="1:16" x14ac:dyDescent="0.2">
      <c r="A35" s="2" t="s">
        <v>28</v>
      </c>
      <c r="B35" s="9" t="s">
        <v>57</v>
      </c>
      <c r="E35" s="10">
        <v>0</v>
      </c>
      <c r="F35" s="10"/>
      <c r="G35" s="48" t="s">
        <v>76</v>
      </c>
      <c r="H35" s="10"/>
      <c r="I35" s="10"/>
      <c r="J35" s="10"/>
      <c r="K35" s="10"/>
      <c r="L35" s="10"/>
      <c r="M35" s="10"/>
      <c r="N35" s="10"/>
      <c r="O35" s="10"/>
      <c r="P35" s="10"/>
    </row>
    <row r="36" spans="1:16" x14ac:dyDescent="0.2">
      <c r="A36" s="2" t="str">
        <f>A19</f>
        <v>Book Depreciation</v>
      </c>
      <c r="B36" s="9" t="s">
        <v>35</v>
      </c>
      <c r="E36" s="10">
        <f>E19</f>
        <v>77592.558960000009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x14ac:dyDescent="0.2">
      <c r="E37" s="24">
        <f>SUM(E34:E36)</f>
        <v>77592.558960000009</v>
      </c>
      <c r="F37" s="10" t="s">
        <v>41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9" spans="1:16" ht="13.5" thickBot="1" x14ac:dyDescent="0.25">
      <c r="A39" s="1" t="s">
        <v>29</v>
      </c>
      <c r="C39" s="15">
        <v>0</v>
      </c>
      <c r="E39" s="36">
        <f>+E31+E37</f>
        <v>402722.906740718</v>
      </c>
      <c r="F39" s="38" t="s">
        <v>42</v>
      </c>
      <c r="G39" s="48" t="s">
        <v>73</v>
      </c>
      <c r="H39" s="10"/>
      <c r="I39" s="10"/>
      <c r="J39" s="10"/>
      <c r="K39" s="10"/>
      <c r="L39" s="10"/>
      <c r="M39" s="10"/>
      <c r="N39" s="10"/>
      <c r="O39" s="10"/>
      <c r="P39" s="10"/>
    </row>
    <row r="40" spans="1:16" x14ac:dyDescent="0.2">
      <c r="B40" s="25"/>
    </row>
    <row r="44" spans="1:16" x14ac:dyDescent="0.2">
      <c r="D44" s="26" t="s">
        <v>30</v>
      </c>
      <c r="E44" s="26" t="s">
        <v>31</v>
      </c>
      <c r="I44" s="26"/>
      <c r="J44" s="26"/>
    </row>
    <row r="45" spans="1:16" x14ac:dyDescent="0.2">
      <c r="B45" s="27">
        <v>44896</v>
      </c>
      <c r="D45" s="10"/>
      <c r="G45" s="27"/>
      <c r="I45" s="10"/>
    </row>
    <row r="46" spans="1:16" x14ac:dyDescent="0.2">
      <c r="B46" s="27">
        <v>44927</v>
      </c>
      <c r="D46" s="10">
        <f t="shared" ref="D46" si="5">+$B$4-E46</f>
        <v>3233023.29</v>
      </c>
      <c r="E46" s="17"/>
      <c r="G46" s="27"/>
      <c r="I46" s="10"/>
      <c r="J46" s="41"/>
    </row>
    <row r="47" spans="1:16" x14ac:dyDescent="0.2">
      <c r="B47" s="27">
        <v>44958</v>
      </c>
      <c r="D47" s="10">
        <f>+$B$4-E47</f>
        <v>3225502.4159925003</v>
      </c>
      <c r="E47" s="17">
        <v>7520.8740075000014</v>
      </c>
      <c r="G47" s="27"/>
      <c r="I47" s="10"/>
      <c r="J47" s="41"/>
    </row>
    <row r="48" spans="1:16" x14ac:dyDescent="0.2">
      <c r="B48" s="27">
        <v>44986</v>
      </c>
      <c r="D48" s="10">
        <f>+D47-E48</f>
        <v>3219844.6252350002</v>
      </c>
      <c r="E48" s="17">
        <v>5657.7907574999999</v>
      </c>
      <c r="G48" s="27"/>
      <c r="I48" s="10"/>
      <c r="J48" s="41"/>
    </row>
    <row r="49" spans="2:10" x14ac:dyDescent="0.2">
      <c r="B49" s="27">
        <v>45017</v>
      </c>
      <c r="D49" s="10">
        <f t="shared" ref="D49:D57" si="6">+D48-E49</f>
        <v>3214186.8344775001</v>
      </c>
      <c r="E49" s="10">
        <v>5657.790757499999</v>
      </c>
      <c r="G49" s="27"/>
      <c r="I49" s="10"/>
      <c r="J49" s="41"/>
    </row>
    <row r="50" spans="2:10" x14ac:dyDescent="0.2">
      <c r="B50" s="27">
        <v>45047</v>
      </c>
      <c r="D50" s="10">
        <f t="shared" si="6"/>
        <v>3208529.04372</v>
      </c>
      <c r="E50" s="10">
        <v>5657.790757499999</v>
      </c>
      <c r="G50" s="27"/>
      <c r="I50" s="10"/>
      <c r="J50" s="41"/>
    </row>
    <row r="51" spans="2:10" x14ac:dyDescent="0.2">
      <c r="B51" s="27">
        <v>45078</v>
      </c>
      <c r="D51" s="10">
        <f t="shared" si="6"/>
        <v>3202871.2529624999</v>
      </c>
      <c r="E51" s="10">
        <v>5657.790757499999</v>
      </c>
      <c r="G51" s="27"/>
      <c r="I51" s="10"/>
      <c r="J51" s="41"/>
    </row>
    <row r="52" spans="2:10" x14ac:dyDescent="0.2">
      <c r="B52" s="27">
        <v>45108</v>
      </c>
      <c r="D52" s="10">
        <f t="shared" si="6"/>
        <v>3197213.4622049998</v>
      </c>
      <c r="E52" s="10">
        <v>5657.790757499999</v>
      </c>
      <c r="G52" s="27"/>
      <c r="I52" s="10"/>
      <c r="J52" s="41"/>
    </row>
    <row r="53" spans="2:10" x14ac:dyDescent="0.2">
      <c r="B53" s="27">
        <v>45139</v>
      </c>
      <c r="D53" s="10">
        <f t="shared" si="6"/>
        <v>3191555.6714474997</v>
      </c>
      <c r="E53" s="10">
        <v>5657.790757499999</v>
      </c>
      <c r="G53" s="27"/>
      <c r="I53" s="10"/>
      <c r="J53" s="41"/>
    </row>
    <row r="54" spans="2:10" x14ac:dyDescent="0.2">
      <c r="B54" s="27">
        <v>45170</v>
      </c>
      <c r="D54" s="10">
        <f t="shared" si="6"/>
        <v>3185897.8806899996</v>
      </c>
      <c r="E54" s="10">
        <v>5657.790757499999</v>
      </c>
      <c r="G54" s="27"/>
      <c r="I54" s="10"/>
      <c r="J54" s="41"/>
    </row>
    <row r="55" spans="2:10" x14ac:dyDescent="0.2">
      <c r="B55" s="27">
        <v>45200</v>
      </c>
      <c r="D55" s="10">
        <f t="shared" si="6"/>
        <v>3180240.0899324995</v>
      </c>
      <c r="E55" s="10">
        <v>5657.790757499999</v>
      </c>
      <c r="G55" s="27"/>
      <c r="I55" s="10"/>
      <c r="J55" s="41"/>
    </row>
    <row r="56" spans="2:10" x14ac:dyDescent="0.2">
      <c r="B56" s="27">
        <v>45231</v>
      </c>
      <c r="D56" s="10">
        <f t="shared" si="6"/>
        <v>3174582.2991749994</v>
      </c>
      <c r="E56" s="10">
        <v>5657.790757499999</v>
      </c>
      <c r="G56" s="27"/>
      <c r="I56" s="10"/>
      <c r="J56" s="41"/>
    </row>
    <row r="57" spans="2:10" x14ac:dyDescent="0.2">
      <c r="B57" s="27">
        <v>45261</v>
      </c>
      <c r="D57" s="10">
        <f t="shared" si="6"/>
        <v>3168924.5084174993</v>
      </c>
      <c r="E57" s="10">
        <v>5657.790757499999</v>
      </c>
      <c r="G57" s="27"/>
      <c r="I57" s="10"/>
      <c r="J57" s="41"/>
    </row>
    <row r="58" spans="2:10" x14ac:dyDescent="0.2">
      <c r="I58" s="30"/>
    </row>
    <row r="64" spans="2:10" x14ac:dyDescent="0.2">
      <c r="B64" s="29"/>
      <c r="D64" s="4"/>
    </row>
    <row r="67" spans="4:4" x14ac:dyDescent="0.2">
      <c r="D67" s="31"/>
    </row>
  </sheetData>
  <pageMargins left="0.5" right="0.5" top="1" bottom="0.25" header="0.5" footer="0.5"/>
  <pageSetup scale="85" orientation="portrait" horizontalDpi="90" verticalDpi="90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4" ma:contentTypeDescription="Create a new document." ma:contentTypeScope="" ma:versionID="e2b9750623e9e809d78ee09474a05ce2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987123375e93d0f6cbdbe1f9c6a12d70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C4896C-41D7-45A8-946C-2C94B7FD8A8B}"/>
</file>

<file path=customXml/itemProps2.xml><?xml version="1.0" encoding="utf-8"?>
<ds:datastoreItem xmlns:ds="http://schemas.openxmlformats.org/officeDocument/2006/customXml" ds:itemID="{939C5A4C-0C62-4099-A425-53A4E59E3D5E}"/>
</file>

<file path=customXml/itemProps3.xml><?xml version="1.0" encoding="utf-8"?>
<ds:datastoreItem xmlns:ds="http://schemas.openxmlformats.org/officeDocument/2006/customXml" ds:itemID="{5C8D5737-6D5A-4174-87DA-EE08E0CC0C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</vt:lpstr>
      <vt:lpstr>Brightmark RNG Plant</vt:lpstr>
      <vt:lpstr>Brightmark Pipeline Ext</vt:lpstr>
      <vt:lpstr>New River</vt:lpstr>
      <vt:lpstr>Alliance RNG Total</vt:lpstr>
      <vt:lpstr>Alliance Pipeline Ext detail</vt:lpstr>
      <vt:lpstr>'Alliance Pipeline Ext detail'!Print_Area</vt:lpstr>
      <vt:lpstr>'Alliance RNG Total'!Print_Area</vt:lpstr>
      <vt:lpstr>'Brightmark Pipeline Ext'!Print_Area</vt:lpstr>
      <vt:lpstr>'Brightmark RNG Plant'!Print_Area</vt:lpstr>
      <vt:lpstr>'New River'!Print_Area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Hillary, Sean P.</dc:creator>
  <cp:lastModifiedBy>Irizarry, Brenda L.</cp:lastModifiedBy>
  <cp:lastPrinted>2023-05-10T16:02:31Z</cp:lastPrinted>
  <dcterms:created xsi:type="dcterms:W3CDTF">2023-05-09T23:26:07Z</dcterms:created>
  <dcterms:modified xsi:type="dcterms:W3CDTF">2023-05-11T15:00:23Z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2023-05-10T10:43:10Z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25566f26-708c-45d5-8b1e-dab89a78a6b3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0x01010093961404F3F6B34988E14CCD792B016F</vt:lpwstr>
  </property>
</Properties>
</file>